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18"/>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Амортизация!$AE$25:$BB$324</definedName>
    <definedName name="Amortization_LOAD_2">Амортизация!$BC$24:$BC$324</definedName>
    <definedName name="Amortization_pIns_comm">Амортизация!$AB$329</definedName>
    <definedName name="AUTHORIZED_PERSON_EMAIL">'Общие сведения'!$AE$223</definedName>
    <definedName name="AUTHORIZED_PERSON_FIO">'Общие сведения'!$AE$220</definedName>
    <definedName name="AUTHORIZED_PERSON_PHONE">'Общие сведения'!$AE$222</definedName>
    <definedName name="AUTHORIZED_PERSON_POSITION">'Общие сведения'!$AE$221</definedName>
    <definedName name="BalancePr_check_range1">'Баланс Пр'!$AE$26:$BB$232</definedName>
    <definedName name="BalancePr_LOAD_VOTR">'Баланс Пр'!$AE$232:$BB$232</definedName>
    <definedName name="BalancePr_LOAD_VOTR_COM">'Баланс Пр'!$BC$232:$BC$232</definedName>
    <definedName name="BalancePr_LOAD_VS">'Баланс Пр'!$AE$26:$BB$82</definedName>
    <definedName name="BalancePr_LOAD_VS_COM">'Баланс Пр'!$BC$25:$BC$82</definedName>
    <definedName name="BalancePr_pIns_comm">'Баланс Пр'!$AB$237</definedName>
    <definedName name="BaseLevelMSA_LOAD_1">'Базовый уровень (МСА)'!$AE$25:$AF$99</definedName>
    <definedName name="BaseLevelMSA_LOAD_2">'Базовый уровень (МСА)'!$AG$24:$AI$99</definedName>
    <definedName name="BaseLevelMSA_pIns_comm">'Базовый уровень (МСА)'!$AC$104</definedName>
    <definedName name="Calculation46_LOAD_2">'Калькуляция (4.6)'!$AM$24:$AO$228</definedName>
    <definedName name="Calculation46_pIns_comm">'Калькуляция (4.6)'!$AB$233</definedName>
    <definedName name="Calculation59_LOAD_2">'Калькуляция (5.9)'!$BN$24:$BP$192</definedName>
    <definedName name="Calculation59_pIns_comm">'Калькуляция (5.9)'!$AB$197</definedName>
    <definedName name="CalculationMSA_LOAD_2">'Калькуляция (МСА)'!$AY$24:$BA$108</definedName>
    <definedName name="CalculationMSA_pIns_comm">'Калькуляция (МСА)'!$AB$113</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сведения'!$AE$232</definedName>
    <definedName name="DOCUMENT_TYPES">TEHSHEET!$K$46:$K$52</definedName>
    <definedName name="DPR_ee_divide">ДПР!$AK$24</definedName>
    <definedName name="dpr_list">DICTIONARIES!$C$2</definedName>
    <definedName name="DPR_LOAD_1">ДПР!$AC$29:$AK$182</definedName>
    <definedName name="DPR_pIns_comm">ДПР!$AB$186</definedName>
    <definedName name="END_ROW_wsCalculation46">'Калькуляция (4.6)'!$AE$228</definedName>
    <definedName name="END_ROW_wsCalculation59">'Калькуляция (5.9)'!$AE$192</definedName>
    <definedName name="END_ROW_wsCalculationMSA">'Калькуляция (МСА)'!$AE$108</definedName>
    <definedName name="END_ROW_wsGeneralInfo">'Общие сведения'!$AB$233</definedName>
    <definedName name="END_ROW_wsTM">ТМ!$AD$166</definedName>
    <definedName name="EnergyResources_LOAD_1">ЭнергоРесурсы!$AE$25:$BB$156</definedName>
    <definedName name="EnergyResources_LOAD_2">ЭнергоРесурсы!$BC$24:$BC$156</definedName>
    <definedName name="EnergyResources_pIns_comm">ЭнергоРесурсы!$AC$161</definedName>
    <definedName name="FIRST_TIME_REG">'Общие сведения'!$AE$165</definedName>
    <definedName name="first_year">'Общие сведения'!$AE$25</definedName>
    <definedName name="flag_end_Amortization">Амортизация!$BD$330</definedName>
    <definedName name="flag_end_BalancePr">'Баланс Пр'!$BD$238</definedName>
    <definedName name="flag_end_BalanceTr">'Баланс Тр'!$BD$55</definedName>
    <definedName name="flag_end_BaseLevelMSA">'Базовый уровень (МСА)'!$AJ$105</definedName>
    <definedName name="flag_end_Calculation46">'Калькуляция (4.6)'!$AP$234</definedName>
    <definedName name="flag_end_Calculation59">'Калькуляция (5.9)'!$BQ$198</definedName>
    <definedName name="flag_end_CalculationMSA">'Калькуляция (МСА)'!$BB$114</definedName>
    <definedName name="flag_end_Comments">Комментарии!$AC$36</definedName>
    <definedName name="flag_end_CorrFact">'Корр Факт'!$AV$169</definedName>
    <definedName name="flag_end_DPR">ДПР!$AL$187</definedName>
    <definedName name="flag_end_EnergyResources">ЭнергоРесурсы!$BD$162</definedName>
    <definedName name="flag_end_Fuel">'Топливо 4.4'!$CU$411</definedName>
    <definedName name="flag_end_GeneralInfo">'Общие сведения'!$AF$233</definedName>
    <definedName name="flag_end_HVSTN">'ХВС, ТН'!$BD$78</definedName>
    <definedName name="flag_end_IPSources">'ИП источники'!$BD$95</definedName>
    <definedName name="flag_end_ObjectList">'Список объектов'!$AI$40</definedName>
    <definedName name="flag_end_Operating51">'Операционные (5.1)'!$AP$105</definedName>
    <definedName name="flag_end_Operating52">'Операционные (5.2)'!$BQ$60</definedName>
    <definedName name="flag_end_Rent">Аренда!$BD$69</definedName>
    <definedName name="flag_end_Resources">'Ресурсы (5.4)'!$BQ$63</definedName>
    <definedName name="flag_end_SavingsCorr">Экономия_корр!$AZ$57</definedName>
    <definedName name="flag_end_Scenarios">Сценарии!$AY$109</definedName>
    <definedName name="flag_end_ScenariosMSA">'Сценарии (МСА)'!$AZ$49</definedName>
    <definedName name="flag_end_ServicePurchase">'Покупка услуг'!$BD$93</definedName>
    <definedName name="flag_end_SheetList">'Список листов'!$AE$55</definedName>
    <definedName name="flag_end_Taxes">Налоги!$BD$75</definedName>
    <definedName name="flag_end_TerritoryList">'Список территорий'!$AH$37</definedName>
    <definedName name="flag_end_TM">ТМ!$FX$172</definedName>
    <definedName name="flag_end_UECalculation">'Расчет УЕ'!$BA$87</definedName>
    <definedName name="flag_end_Uncontrolled">'Неподконтрольные (5.3)'!$BQ$93</definedName>
    <definedName name="flag_end_UnitCostsMSA">'Удельные расходы (МСА)'!$AJ$75</definedName>
    <definedName name="flag_end_WageFund">ФОТ!$AL$114</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сведения'!$AE$22:$AE$231</definedName>
    <definedName name="GeneralInfo_del_tariff_range">'Общие сведения'!$AF$169:$AF$218</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ТН'!$AB$77</definedName>
    <definedName name="inn">'Общие сведения'!$AE$42</definedName>
    <definedName name="InsB_GeneralInfo_tariff">'Общие сведения'!$AD$218</definedName>
    <definedName name="json_comms_Amortization">Амортизация!$AB$327:$BC$329</definedName>
    <definedName name="json_comms_BalancePr">'Баланс Пр'!$AB$235:$BC$237</definedName>
    <definedName name="json_comms_BalanceTr">'Баланс Тр'!$AB$52:$BC$54</definedName>
    <definedName name="json_comms_BaseLevelMSA">'Базовый уровень (МСА)'!$AB$102:$AI$104</definedName>
    <definedName name="json_comms_Calculation46">'Калькуляция (4.6)'!$AB$231:$AO$233</definedName>
    <definedName name="json_comms_Calculation59">'Калькуляция (5.9)'!$AB$195:$BP$197</definedName>
    <definedName name="json_comms_CalculationMSA">'Калькуляция (МСА)'!$AB$111:$BA$113</definedName>
    <definedName name="json_comms_Comments">Комментарии!$AB$24:$AB$35</definedName>
    <definedName name="json_comms_DPR">ДПР!$AB$184:$AK$186</definedName>
    <definedName name="json_comms_EnergyResources">ЭнергоРесурсы!$AB$159:$BC$161</definedName>
    <definedName name="json_comms_HVSTN">'ХВС, ТН'!$AB$75:$BC$77</definedName>
    <definedName name="json_comms_IPSources">'ИП источники'!$AB$92:$BC$94</definedName>
    <definedName name="json_comms_Operating51">'Операционные (5.1)'!$AB$102:$AO$104</definedName>
    <definedName name="json_comms_Operating52">'Операционные (5.2)'!$AB$57:$BP$59</definedName>
    <definedName name="json_comms_Rent">Аренда!$AB$66:$BC$68</definedName>
    <definedName name="json_comms_Resources">'Ресурсы (5.4)'!$AB$60:$BP$62</definedName>
    <definedName name="json_comms_SavingsCorr">Экономия_корр!$AB$54:$AY$56</definedName>
    <definedName name="json_comms_ServicePurchase">'Покупка услуг'!$AB$90:$BC$92</definedName>
    <definedName name="json_comms_Taxes">Налоги!$AB$72:$BC$74</definedName>
    <definedName name="json_comms_TM">ТМ!$AB$169:$BG$171</definedName>
    <definedName name="json_comms_Uncontrolled">'Неподконтрольные (5.3)'!$AB$90:$BP$92</definedName>
    <definedName name="json_comms_UnitCostsMSA">'Удельные расходы (МСА)'!$AB$72:$AI$74</definedName>
    <definedName name="json_comms_WageFund">ФОТ!$AB$111:$AK$113</definedName>
    <definedName name="json_preload_Amortization">Амортизация!$AE$28:$BC$324</definedName>
    <definedName name="json_preload_BalancePr">'Баланс Пр'!$AE$29:$BC$232</definedName>
    <definedName name="json_preload_BalanceTr">'Баланс Тр'!$AE$29:$BC$49</definedName>
    <definedName name="json_preload_BaseLevelMSA">'Базовый уровень (МСА)'!$AE$29:$AI$99</definedName>
    <definedName name="json_preload_Calculation46">'Калькуляция (4.6)'!$AE$28:$AO$228</definedName>
    <definedName name="json_preload_Calculation59">'Калькуляция (5.9)'!$AE$28:$BP$192</definedName>
    <definedName name="json_preload_CalculationMSA">'Калькуляция (МСА)'!$AE$28:$BA$108</definedName>
    <definedName name="json_preload_CorrFact">'Корр Факт'!$AF$29:$AT$169</definedName>
    <definedName name="json_preload_DPR">ДПР!$AC$30:$AJ$182</definedName>
    <definedName name="json_preload_EnergyResources">ЭнергоРесурсы!$AE$28:$BC$156</definedName>
    <definedName name="json_preload_Fuel">'Топливо 4.4'!$AH$29:$CT$411</definedName>
    <definedName name="json_preload_HVSTN">'ХВС, ТН'!$AE$28:$BC$72</definedName>
    <definedName name="json_preload_IPSources">'ИП источники'!$AE$30:$BC$89</definedName>
    <definedName name="json_preload_ObjectList">'Список объектов'!$AH$28:$AH$40</definedName>
    <definedName name="json_preload_Operating51">'Операционные (5.1)'!$AE$28:$AO$99</definedName>
    <definedName name="json_preload_Operating52">'Операционные (5.2)'!$AI$28:$BP$54</definedName>
    <definedName name="json_preload_Rent">Аренда!$AE$28:$BC$63</definedName>
    <definedName name="json_preload_Resources">'Ресурсы (5.4)'!$AE$28:$BP$57</definedName>
    <definedName name="json_preload_SavingsCorr">Экономия_корр!$AE$28:$AY$51</definedName>
    <definedName name="json_preload_Scenarios">Сценарии!$AE$30:$AX$109</definedName>
    <definedName name="json_preload_ScenariosMSA">'Сценарии (МСА)'!$AF$30:$AY$49</definedName>
    <definedName name="json_preload_ServicePurchase">'Покупка услуг'!$AE$28:$BC$87</definedName>
    <definedName name="json_preload_Taxes">Налоги!$AE$28:$BC$69</definedName>
    <definedName name="json_preload_TerritoryList">'Список территорий'!$AF$27:$AG$37</definedName>
    <definedName name="json_preload_TM">ТМ!$AD$33:$FW$166</definedName>
    <definedName name="json_preload_UECalculation">'Расчет УЕ'!$AE$28:$AZ$87</definedName>
    <definedName name="json_preload_Uncontrolled">'Неподконтрольные (5.3)'!$AE$28:$BP$87</definedName>
    <definedName name="json_preload_UnitCostsMSA">'Удельные расходы (МСА)'!$AE$28:$AI$69</definedName>
    <definedName name="json_preload_WageFund">ФОТ!$AE$28:$AK$108</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(5.1)'!$AE$25:$AK$99</definedName>
    <definedName name="Operating51_LOAD_2">'Операционные (5.1)'!$AM$24:$AO$99</definedName>
    <definedName name="Operating51_pIns_comm">'Операционные (5.1)'!$AB$104</definedName>
    <definedName name="Operating52_LOAD_1">'Операционные (5.2)'!$AE$25:$BC$54</definedName>
    <definedName name="Operating52_LOAD_2">'Операционные (5.2)'!$BN$24:$BP$54</definedName>
    <definedName name="Operating52_pIns_comm">'Операционные (5.2)'!$AB$59</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Амортизация!$AB$324</definedName>
    <definedName name="pIns_BalancePr_tariff_vo_transp">'Баланс Пр'!$AB$232</definedName>
    <definedName name="pIns_BaseLevelMSA_tariff">'Базовый уровень (МСА)'!$AB$99</definedName>
    <definedName name="pIns_Calculation46_tariff">'Калькуляция (4.6)'!$AB$228</definedName>
    <definedName name="pIns_Calculation59_tariff">'Калькуляция (5.9)'!$AB$192</definedName>
    <definedName name="pIns_CalculationMSA_tariff">'Калькуляция (МСА)'!$AB$108</definedName>
    <definedName name="pins_DPR_tariff">ДПР!$AB$182</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(5.1)'!$AB$99</definedName>
    <definedName name="pIns_Operating52_tariff">'Операционные (5.2)'!$AB$54</definedName>
    <definedName name="pIns_Rent_tariff">Аренда!$AB$63</definedName>
    <definedName name="pIns_Resources_tariff">'Ресурсы (5.4)'!$AB$57</definedName>
    <definedName name="pIns_SavingsCorr_tariff">Экономия_корр!$AB$51</definedName>
    <definedName name="pIns_Scenarios_tariff">Сценарии!$AC$109</definedName>
    <definedName name="pIns_ScenariosMSA_tariff">'Сценарии (МСА)'!$AC$49</definedName>
    <definedName name="pIns_ServicePurchase_postav">'Покупка услуг'!$AC:$AC</definedName>
    <definedName name="pIns_ServicePurchase_tariff">'Покупка услуг'!$AB$87</definedName>
    <definedName name="pIns_Taxes_nalog">Налоги!$AC:$AC</definedName>
    <definedName name="pIns_Taxes_tariff">Налоги!$AB$69</definedName>
    <definedName name="pIns_TerritoryList_tariff">'Список территорий'!$AB$37</definedName>
    <definedName name="pIns_TM_tariff">ТМ!$AB$166</definedName>
    <definedName name="pIns_TM_tariff_transp">ТМ!$AB$167</definedName>
    <definedName name="pIns_Uncontrolled_tariff">'Неподконтрольные (5.3)'!$AB$87</definedName>
    <definedName name="pIns_UnitCostsMSA_tariff">'Удельные расходы (МСА)'!$AB$69</definedName>
    <definedName name="pIns_WageFund_dolj">ФОТ!$AC:$AC</definedName>
    <definedName name="pIns_WageFund_tariff">ФОТ!$AB$108</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Аренда!$AE$25:$BB$63</definedName>
    <definedName name="Rent_LOAD_2">Аренда!$BC$24:$BC$63</definedName>
    <definedName name="Rent_pIns_comm">Аренда!$AB$68</definedName>
    <definedName name="Resources_LOAD_1">'Ресурсы (5.4)'!$AE$25:$BC$57</definedName>
    <definedName name="Resources_LOAD_2">'Ресурсы (5.4)'!$BN$24:$BP$57</definedName>
    <definedName name="Resources_pIns_comm">'Ресурсы (5.4)'!$AB$62</definedName>
    <definedName name="roiv">'Общие сведения'!$AB$31</definedName>
    <definedName name="rst_org_id">'Общие сведения'!$Z$33</definedName>
    <definedName name="SavingsCorr_LOAD_1">Экономия_корр!$AE$25:$AX$51</definedName>
    <definedName name="SavingsCorr_LOAD_2">Экономия_корр!$AY$24:$AY$51</definedName>
    <definedName name="SavingsCorr_pIns_comm">Экономия_корр!$AB$56</definedName>
    <definedName name="Scenarios_LOAD_1">Сценарии!$AG$25:$AX$110</definedName>
    <definedName name="Scenarios_LOAD_2">Сценарии!$AE$25:$AF$110</definedName>
    <definedName name="ScenariosMSA_LOAD_1">'Сценарии (МСА)'!$AH$25:$AY$50</definedName>
    <definedName name="ScenariosMSA_LOAD_2">'Сценарии (МСА)'!$AF$25:$AG$50</definedName>
    <definedName name="ServicePurchase_LOAD_1">'Покупка услуг'!$AE$25:$BB$87</definedName>
    <definedName name="ServicePurchase_LOAD_2">'Покупка услуг'!$BC$24:$BC$87</definedName>
    <definedName name="ServicePurchase_pIns_comm">'Покупка услуг'!$AB$92</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Налоги!$AE$25:$BB$69</definedName>
    <definedName name="Taxes_LOAD_2">Налоги!$BC$24:$BC$69</definedName>
    <definedName name="Taxes_pIns_comm">Налоги!$AB$74</definedName>
    <definedName name="tech_proc">TEHSHEET!$K$31:$K$33</definedName>
    <definedName name="TemplateState">TEHSHEET!$D$2</definedName>
    <definedName name="TerritoryList_mo_column">'Список территорий'!$AD$24:$AD$37</definedName>
    <definedName name="TerritoryList_mr_column">'Список территорий'!$AC$24:$AC$37</definedName>
    <definedName name="TM_pIns_comm">ТМ!$AB$171</definedName>
    <definedName name="tn_type">TEHSHEET!$K$19:$K$21</definedName>
    <definedName name="tpl_title">'Общие сведения'!$AL$33</definedName>
    <definedName name="Uncontrolled_LOAD_1">'Неподконтрольные (5.3)'!$AE$25:$BC$87</definedName>
    <definedName name="Uncontrolled_LOAD_2">'Неподконтрольные (5.3)'!$BN$24:$BP$87</definedName>
    <definedName name="Uncontrolled_pIns_comm">'Неподконтрольные (5.3)'!$AB$92</definedName>
    <definedName name="UnitCostsMSA_LOAD_1">'Удельные расходы (МСА)'!$AE$25:$AF$69</definedName>
    <definedName name="UnitCostsMSA_LOAD_2">'Удельные расходы (МСА)'!$AG$24:$AI$69</definedName>
    <definedName name="UnitCostsMSA_pIns_comm">'Удельные расходы (МСА)'!$AD$74</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ФОТ!$AE$25:$AJ$108</definedName>
    <definedName name="WageFund_LOAD_2">ФОТ!$AK$24:$AK$108</definedName>
    <definedName name="wsCalculation46_PRELOAD">'Калькуляция (4.6)'!$AE$26:$AO$228</definedName>
    <definedName name="wsCalculation59_PRELOAD">'Калькуляция (5.9)'!$AE$26:$BP$192</definedName>
    <definedName name="wsCalculationMSA_PRELOAD">'Калькуляция (МСА)'!$AE$26:$BA$108</definedName>
    <definedName name="wsGeneralInfo_PRELOAD">'Общие сведения'!$AE$22:$AE$233</definedName>
    <definedName name="wsTM_PRELOAD">ТМ!$AD$27:$FW$166</definedName>
    <definedName name="YEAR_LIST">TEHSHEET!$Q$2:$Q$20</definedName>
    <definedName name="year_list2">TEHSHEET!$Q$11:$Q$20</definedName>
    <definedName name="YES_NO">TEHSHEET!$G$2:$G$3</definedName>
    <definedName name="_xlnm._FilterDatabase" localSheetId="11">'Топливо 4.4'!$T$1:$AE$411</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<sst xmlns="http://schemas.openxmlformats.org/spreadsheetml/2006/main" count="21284" uniqueCount="4798">
  <si>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</si>
  <si>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</si>
  <si>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</si>
  <si>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</si>
  <si>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</si>
  <si>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</si>
  <si>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</si>
  <si>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</si>
  <si>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</si>
  <si>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</si>
  <si>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</si>
  <si>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</si>
  <si>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</si>
  <si>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</si>
  <si>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</si>
  <si>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</si>
  <si>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</si>
  <si>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</si>
  <si>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</si>
  <si>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</si>
  <si>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</si>
  <si>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</si>
  <si>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</si>
  <si>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</si>
  <si>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</si>
  <si>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</si>
  <si>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</si>
  <si>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</si>
  <si>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</si>
  <si>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</si>
  <si>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</si>
  <si>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</si>
  <si>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</si>
  <si>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</si>
  <si>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</si>
  <si>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</si>
  <si>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</si>
  <si>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</si>
  <si>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</si>
  <si>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</si>
  <si>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</si>
  <si>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</si>
  <si>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</si>
  <si>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</si>
  <si>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</si>
  <si>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</si>
  <si>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</si>
  <si>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</si>
  <si>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</si>
  <si>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</si>
  <si>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</si>
  <si>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</si>
  <si>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</si>
  <si>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</si>
  <si>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</si>
  <si>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</si>
  <si>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</si>
  <si>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</si>
  <si>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</si>
  <si>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</si>
  <si>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</si>
  <si>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</si>
  <si>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</si>
  <si>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</si>
  <si>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</si>
  <si>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</si>
  <si>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</si>
  <si>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</si>
  <si>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</si>
  <si>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</si>
  <si>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</si>
  <si>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</si>
  <si>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</si>
  <si>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</si>
  <si>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</si>
  <si>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</si>
  <si>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</si>
  <si>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</si>
  <si>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</si>
  <si>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</si>
  <si>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</si>
  <si>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</si>
  <si>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</si>
  <si>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</si>
  <si>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</si>
  <si>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</si>
  <si>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</si>
  <si>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</si>
  <si>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</si>
  <si>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</si>
  <si>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</si>
  <si>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</si>
  <si>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</si>
  <si>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</si>
  <si>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</si>
  <si>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</si>
  <si>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</si>
  <si>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</si>
  <si>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</si>
  <si>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</si>
  <si>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</si>
  <si>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</si>
  <si>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</si>
  <si>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</si>
  <si>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</si>
  <si>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</si>
  <si>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</si>
  <si>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</si>
  <si>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</si>
  <si>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</si>
  <si>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</si>
  <si>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</si>
  <si>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</si>
  <si>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</si>
  <si>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</si>
  <si>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</si>
  <si>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</si>
  <si>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</si>
  <si>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</si>
  <si>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</si>
  <si>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</si>
  <si>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</si>
  <si>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</si>
  <si>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</si>
  <si>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</si>
  <si>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</si>
  <si>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</si>
  <si>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</si>
  <si>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</si>
  <si>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</si>
  <si>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</si>
  <si>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</si>
  <si>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</si>
  <si>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Кузбасский территориальный участок ЗСД по тепловодоснабжению - СП ЦД по тепловодоснабжению - филиал ОАО "РЖД"</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</si>
  <si>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</si>
  <si>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</si>
  <si>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</si>
  <si>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</si>
  <si>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</si>
  <si>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</si>
  <si>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</si>
  <si>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</si>
  <si>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</si>
  <si>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1037739877295</t>
  </si>
  <si>
    <t>19.27.0.</t>
  </si>
  <si>
    <t>Идентификационный номер налогоплательщика (ИНН)</t>
  </si>
  <si>
    <t>7708503727</t>
  </si>
  <si>
    <t>19.2.0.</t>
  </si>
  <si>
    <t>Код причины постановки на учет (КПП)</t>
  </si>
  <si>
    <t>540775040</t>
  </si>
  <si>
    <t>19.3.0.</t>
  </si>
  <si>
    <t>Код по общероссийскому классификатору предприятию и организаций (ОКПО)</t>
  </si>
  <si>
    <t/>
  </si>
  <si>
    <t>L2_7</t>
  </si>
  <si>
    <t>19.28.0.</t>
  </si>
  <si>
    <t>Организационно-правовая форма</t>
  </si>
  <si>
    <t>1 22 47 | Публичные акционерные общества</t>
  </si>
  <si>
    <t>L2_8</t>
  </si>
  <si>
    <t>19.20.0.</t>
  </si>
  <si>
    <t>Юридический адрес</t>
  </si>
  <si>
    <t>630132, г.Новосибирск, ул.Движенцев, 20</t>
  </si>
  <si>
    <t>L2_9</t>
  </si>
  <si>
    <t>19.60.0.</t>
  </si>
  <si>
    <t>Фактический адрес</t>
  </si>
  <si>
    <t>L2_10</t>
  </si>
  <si>
    <t>19.75.0.</t>
  </si>
  <si>
    <t>Телефон организации</t>
  </si>
  <si>
    <t>8(383)-229-23-71/ 2292371</t>
  </si>
  <si>
    <t>L2_11</t>
  </si>
  <si>
    <t>19.63.0.</t>
  </si>
  <si>
    <t>Адрес электронной почты юридического лица (индивидуального предпринимателя)</t>
  </si>
  <si>
    <t>ZSIB-DTVU3@wsr.rzd.ru</t>
  </si>
  <si>
    <t>L2_12</t>
  </si>
  <si>
    <t>19.65.0.</t>
  </si>
  <si>
    <t>Фамилия, имя, отчество руководителя</t>
  </si>
  <si>
    <t>Кутлин Владимир Николаевич</t>
  </si>
  <si>
    <t>L2_13</t>
  </si>
  <si>
    <t>19.76.0.</t>
  </si>
  <si>
    <t>Должность руководителя</t>
  </si>
  <si>
    <t>начальник дирекции</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</si>
  <si>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</si>
  <si>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</si>
  <si>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</si>
  <si>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</si>
  <si>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</si>
  <si>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</si>
  <si>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</si>
  <si>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</si>
  <si>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</si>
  <si>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</si>
  <si>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</si>
  <si>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</si>
  <si>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</si>
  <si>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</si>
  <si>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</si>
  <si>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</si>
  <si>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</si>
  <si>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</si>
  <si>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</si>
  <si>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</si>
  <si>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</si>
  <si>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</si>
  <si>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</si>
  <si>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</si>
  <si>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</si>
  <si>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</si>
  <si>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</si>
  <si>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</si>
  <si>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</si>
  <si>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</si>
  <si>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</si>
  <si>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</si>
  <si>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</si>
  <si>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</si>
  <si>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</si>
  <si>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</si>
  <si>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</si>
  <si>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</si>
  <si>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</si>
  <si>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</si>
  <si>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</si>
  <si>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</si>
  <si>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</si>
  <si>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</si>
  <si>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</si>
  <si>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</si>
  <si>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</si>
  <si>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</si>
  <si>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</si>
  <si>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</si>
  <si>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</si>
  <si>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</si>
  <si>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</si>
  <si>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</si>
  <si>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</si>
  <si>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</si>
  <si>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</si>
  <si>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</si>
  <si>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</si>
  <si>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</si>
  <si>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</si>
  <si>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</si>
  <si>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</si>
  <si>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</si>
  <si>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</si>
  <si>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</si>
  <si>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</si>
  <si>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</si>
  <si>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</si>
  <si>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</si>
  <si>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</si>
  <si>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</si>
  <si>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</si>
  <si>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</si>
  <si>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</si>
  <si>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</si>
  <si>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</si>
  <si>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</si>
  <si>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</si>
  <si>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</si>
  <si>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</si>
  <si>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</si>
  <si>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</si>
  <si>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</si>
  <si>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</si>
  <si>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</si>
  <si>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Рейникова Юлия Борисовна</t>
  </si>
  <si>
    <t>L5_1</t>
  </si>
  <si>
    <t>302.3.0.</t>
  </si>
  <si>
    <t>Должность исполнителя</t>
  </si>
  <si>
    <t>Экономист</t>
  </si>
  <si>
    <t>L5_2</t>
  </si>
  <si>
    <t>302.5.0.</t>
  </si>
  <si>
    <t>Контактный телефон исполнителя</t>
  </si>
  <si>
    <t>8 (3842) 32-35-15</t>
  </si>
  <si>
    <t>L5_3</t>
  </si>
  <si>
    <t>302.7.0.</t>
  </si>
  <si>
    <t>Адрес электронной почты исполнителя</t>
  </si>
  <si>
    <t>krctv-ReinikovaYB@wsr.rzd.ru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</si>
  <si>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</si>
  <si>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</si>
  <si>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</si>
  <si>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</si>
  <si>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</si>
  <si>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</si>
  <si>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</si>
  <si>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</si>
  <si>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</si>
  <si>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</si>
  <si>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</si>
  <si>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</si>
  <si>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</si>
  <si>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</si>
  <si>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</si>
  <si>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</si>
  <si>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</si>
  <si>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</si>
  <si>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</si>
  <si>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</si>
  <si>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</si>
  <si>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</si>
  <si>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</si>
  <si>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</si>
  <si>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</si>
  <si>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552</t>
  </si>
  <si>
    <t>L6_3</t>
  </si>
  <si>
    <t>L6_4</t>
  </si>
  <si>
    <t>ТЭ.42.26824396.0004::ТЭ.42.26824396.0005</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</si>
  <si>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</si>
  <si>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</si>
  <si>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</si>
  <si>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</si>
  <si>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</si>
  <si>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</si>
  <si>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</si>
  <si>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</si>
  <si>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</si>
  <si>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</si>
  <si>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</si>
  <si>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</si>
  <si>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</si>
  <si>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</si>
  <si>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</si>
  <si>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</si>
  <si>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</si>
  <si>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</si>
  <si>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</si>
  <si>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</si>
  <si>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</si>
  <si>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</si>
  <si>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</si>
  <si>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</si>
  <si>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</si>
  <si>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</si>
  <si>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</si>
  <si>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</si>
  <si>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ТЭ.42.26824396.0004</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</si>
  <si>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</si>
  <si>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</si>
  <si>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</si>
  <si>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</si>
  <si>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https://prokopmo.ru/upload/iblock/18d/dpwms3pdf3eeslcf72zfqbwvp0x13rnr/%D0%BD%D0%BE%D0%B2%D0%BE%D0%B5%20%D0%9F%D0%BE%D1%81%D1%82%D0%B0%D0%BD%D0%BE%D0%B2%D0%BB%D0%B5%D0%BD%D0%B8%D0%B5%20%D0%BE%D1%82%2023.06.2025.docx</t>
  </si>
  <si>
    <t>Тариф: Носитель - горячая вода (Т); Носитель - горячая вода (Т)</t>
  </si>
  <si>
    <t>2</t>
  </si>
  <si>
    <t>ТЭ.42.26824396.0005</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</si>
  <si>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</si>
  <si>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</si>
  <si>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</si>
  <si>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</si>
  <si>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</si>
  <si>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РЭК/94-РЖД-2026 от 06.05.2025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</si>
  <si>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</si>
  <si>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</si>
  <si>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</si>
  <si>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</si>
  <si>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</si>
  <si>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</si>
  <si>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</si>
  <si>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t>
  </si>
  <si>
    <t>L7_4</t>
  </si>
  <si>
    <t>325.3.0.</t>
  </si>
  <si>
    <t>Контактный телефон уполномоченного по делу</t>
  </si>
  <si>
    <t>838423366747</t>
  </si>
  <si>
    <t>L7_5</t>
  </si>
  <si>
    <t>325.4.0.</t>
  </si>
  <si>
    <t>e-mail уполномоченного по делу</t>
  </si>
  <si>
    <t>malinovskaya-ts@recko.ako.ru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</si>
  <si>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</si>
  <si>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</si>
  <si>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</si>
  <si>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</si>
  <si>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</si>
  <si>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</si>
  <si>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</si>
  <si>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</si>
  <si>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</si>
  <si>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</si>
  <si>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</si>
  <si>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</si>
  <si>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</si>
  <si>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</si>
  <si>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</si>
  <si>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</si>
  <si>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</si>
  <si>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</si>
  <si>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</si>
  <si>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</si>
  <si>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</si>
  <si>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</si>
  <si>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</si>
  <si>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</si>
  <si>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</si>
  <si>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</si>
  <si>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</si>
  <si>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</si>
  <si>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</si>
  <si>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</si>
  <si>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</si>
  <si>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</si>
  <si>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</si>
  <si>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</si>
  <si>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</si>
  <si>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</si>
  <si>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</si>
  <si>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</si>
  <si>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</si>
  <si>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</si>
  <si>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</si>
  <si>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</si>
  <si>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</si>
  <si>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</si>
  <si>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</si>
  <si>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</si>
  <si>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</si>
  <si>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</si>
  <si>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</si>
  <si>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</si>
  <si>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</si>
  <si>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</si>
  <si>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</si>
  <si>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</si>
  <si>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</si>
  <si>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</si>
  <si>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на ст. Абагур-Лесной ПМС-2 
г Новокузнецк</t>
  </si>
  <si>
    <t>г Новокузнецк, ул. Кондолепская, 1а</t>
  </si>
  <si>
    <t>собственность</t>
  </si>
  <si>
    <t>свидетельство</t>
  </si>
  <si>
    <t>42 АА № 756682</t>
  </si>
  <si>
    <t>17.03.2004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</si>
  <si>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</si>
  <si>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</si>
  <si>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</si>
  <si>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</si>
  <si>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</si>
  <si>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</si>
  <si>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</si>
  <si>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</si>
  <si>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</si>
  <si>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</si>
  <si>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</si>
  <si>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</si>
  <si>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</si>
  <si>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</si>
  <si>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</si>
  <si>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</si>
  <si>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</si>
  <si>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</si>
  <si>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</si>
  <si>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</si>
  <si>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</si>
  <si>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</si>
  <si>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</si>
  <si>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</si>
  <si>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</si>
  <si>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</si>
  <si>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</si>
  <si>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</si>
  <si>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</si>
  <si>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</si>
  <si>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</si>
  <si>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</si>
  <si>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</si>
  <si>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</si>
  <si>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</si>
  <si>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</si>
  <si>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</si>
  <si>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</si>
  <si>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</si>
  <si>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</si>
  <si>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</si>
  <si>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</si>
  <si>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</si>
  <si>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</si>
  <si>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</si>
  <si>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</si>
  <si>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</si>
  <si>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</si>
  <si>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</si>
  <si>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</si>
  <si>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</si>
  <si>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</si>
  <si>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</si>
  <si>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</si>
  <si>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</si>
  <si>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</si>
  <si>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</si>
  <si>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</si>
  <si>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</si>
  <si>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</si>
  <si>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</si>
  <si>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</si>
  <si>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</si>
  <si>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</si>
  <si>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</si>
  <si>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</si>
  <si>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</si>
  <si>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</si>
  <si>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</si>
  <si>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</si>
  <si>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</si>
  <si>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</si>
  <si>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</si>
  <si>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</si>
  <si>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</si>
  <si>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</si>
  <si>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</si>
  <si>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</si>
  <si>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</si>
  <si>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</si>
  <si>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</si>
  <si>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</si>
  <si>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</si>
  <si>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</si>
  <si>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</si>
  <si>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</si>
  <si>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</si>
  <si>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</si>
  <si>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</si>
  <si>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</si>
  <si>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</si>
  <si>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</si>
  <si>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</si>
  <si>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</si>
  <si>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</si>
  <si>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</si>
  <si>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</si>
  <si>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</si>
  <si>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</si>
  <si>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</si>
  <si>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</si>
  <si>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</si>
  <si>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</si>
  <si>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</si>
  <si>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</si>
  <si>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</si>
  <si>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</si>
  <si>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</si>
  <si>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</si>
  <si>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</si>
  <si>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</si>
  <si>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</si>
  <si>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</si>
  <si>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</si>
  <si>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</si>
  <si>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</si>
  <si>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</si>
  <si>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</si>
  <si>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</si>
  <si>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</si>
  <si>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</si>
  <si>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</si>
  <si>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</si>
  <si>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</si>
  <si>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</si>
  <si>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</si>
  <si>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</si>
  <si>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</si>
  <si>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</si>
  <si>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</si>
  <si>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</si>
  <si>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</si>
  <si>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</si>
  <si>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</si>
  <si>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</si>
  <si>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</si>
  <si>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</si>
  <si>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</si>
  <si>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</si>
  <si>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</si>
  <si>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</si>
  <si>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</si>
  <si>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</si>
  <si>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</si>
  <si>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</si>
  <si>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</si>
  <si>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</si>
  <si>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</si>
  <si>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</si>
  <si>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</si>
  <si>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</si>
  <si>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</si>
  <si>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</si>
  <si>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</si>
  <si>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</si>
  <si>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</si>
  <si>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</si>
  <si>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</si>
  <si>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</si>
  <si>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</si>
  <si>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</si>
  <si>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</si>
  <si>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</si>
  <si>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</si>
  <si>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</si>
  <si>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</si>
  <si>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</si>
  <si>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</si>
  <si>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</si>
  <si>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</si>
  <si>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</si>
  <si>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</si>
  <si>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</si>
  <si>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</si>
  <si>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</si>
  <si>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</si>
  <si>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</si>
  <si>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</si>
  <si>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</si>
  <si>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</si>
  <si>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</si>
  <si>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</si>
  <si>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</si>
  <si>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</si>
  <si>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</si>
  <si>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</si>
  <si>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</si>
  <si>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</si>
  <si>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</si>
  <si>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</si>
  <si>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</si>
  <si>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</si>
  <si>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</si>
  <si>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</si>
  <si>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</si>
  <si>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</si>
  <si>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</si>
  <si>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</si>
  <si>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</si>
  <si>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</si>
  <si>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</si>
  <si>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</si>
  <si>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</si>
  <si>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</si>
  <si>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</si>
  <si>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</si>
  <si>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</si>
  <si>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</si>
  <si>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</si>
  <si>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</si>
  <si>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</si>
  <si>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</si>
  <si>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</si>
  <si>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</si>
  <si>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</si>
  <si>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</si>
  <si>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</si>
  <si>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</si>
  <si>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</si>
  <si>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</si>
  <si>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</si>
  <si>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</si>
  <si>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</si>
  <si>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</si>
  <si>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</si>
  <si>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</si>
  <si>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</si>
  <si>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</si>
  <si>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</si>
  <si>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</si>
  <si>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</si>
  <si>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</si>
  <si>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</si>
  <si>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</si>
  <si>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</si>
  <si>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</si>
  <si>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</si>
  <si>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</si>
  <si>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</si>
  <si>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</si>
  <si>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</si>
  <si>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</si>
  <si>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</si>
  <si>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</si>
  <si>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</si>
  <si>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</si>
  <si>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</si>
  <si>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</si>
  <si>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</si>
  <si>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</si>
  <si>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</si>
  <si>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</si>
  <si>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</si>
  <si>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</si>
  <si>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</si>
  <si>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</si>
  <si>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</si>
  <si>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</si>
  <si>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</si>
  <si>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</si>
  <si>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</si>
  <si>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</si>
  <si>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</si>
  <si>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</si>
  <si>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</si>
  <si>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</si>
  <si>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</si>
  <si>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</si>
  <si>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</si>
  <si>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</si>
  <si>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</si>
  <si>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</si>
  <si>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</si>
  <si>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</si>
  <si>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</si>
  <si>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</si>
  <si>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</si>
  <si>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</si>
  <si>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</si>
  <si>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</si>
  <si>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</si>
  <si>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</si>
  <si>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</si>
  <si>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</si>
  <si>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</si>
  <si>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</si>
  <si>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</si>
  <si>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</si>
  <si>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</si>
  <si>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</si>
  <si>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</si>
  <si>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</si>
  <si>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</si>
  <si>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</si>
  <si>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</si>
  <si>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</si>
  <si>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</si>
  <si>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</si>
  <si>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</si>
  <si>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</si>
  <si>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</si>
  <si>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</si>
  <si>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</si>
  <si>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</si>
  <si>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</si>
  <si>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</si>
  <si>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</si>
  <si>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</si>
  <si>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</si>
  <si>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</si>
  <si>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</si>
  <si>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</si>
  <si>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</si>
  <si>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</si>
  <si>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</si>
  <si>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</si>
  <si>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</si>
  <si>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</si>
  <si>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</si>
  <si>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</si>
  <si>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</si>
  <si>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</si>
  <si>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</si>
  <si>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</si>
  <si>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</si>
  <si>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</si>
  <si>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</si>
  <si>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</si>
  <si>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</si>
  <si>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</si>
  <si>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</si>
  <si>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</si>
  <si>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</si>
  <si>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</si>
  <si>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</si>
  <si>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</si>
  <si>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</si>
  <si>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</si>
  <si>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</si>
  <si>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</si>
  <si>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</si>
  <si>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</si>
  <si>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</si>
  <si>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</si>
  <si>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</si>
  <si>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</si>
  <si>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</si>
  <si>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</si>
  <si>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</si>
  <si>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</si>
  <si>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</si>
  <si>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</si>
  <si>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</si>
  <si>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</si>
  <si>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</si>
  <si>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</si>
  <si>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</si>
  <si>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</si>
  <si>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</si>
  <si>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</si>
  <si>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</si>
  <si>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</si>
  <si>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</si>
  <si>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</si>
  <si>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</si>
  <si>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</si>
  <si>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</si>
  <si>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</si>
  <si>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</si>
  <si>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</si>
  <si>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</si>
  <si>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</si>
  <si>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</si>
  <si>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</si>
  <si>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</si>
  <si>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</si>
  <si>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</si>
  <si>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</si>
  <si>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</si>
  <si>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</si>
  <si>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</si>
  <si>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</si>
  <si>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</si>
  <si>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</si>
  <si>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</si>
  <si>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</si>
  <si>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</si>
  <si>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</si>
  <si>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</si>
  <si>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</si>
  <si>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</si>
  <si>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</si>
  <si>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</si>
  <si>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</si>
  <si>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</si>
  <si>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</si>
  <si>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</si>
  <si>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</si>
  <si>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</si>
  <si>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</si>
  <si>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</si>
  <si>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</si>
  <si>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</si>
  <si>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</si>
  <si>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</si>
  <si>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</si>
  <si>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</si>
  <si>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</si>
  <si>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</si>
  <si>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</si>
  <si>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</si>
  <si>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</si>
  <si>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</si>
  <si>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</si>
  <si>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</si>
  <si>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</si>
  <si>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</si>
  <si>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</si>
  <si>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</si>
  <si>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</si>
  <si>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</si>
  <si>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</si>
  <si>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</si>
  <si>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</si>
  <si>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</si>
  <si>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</si>
  <si>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</si>
  <si>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</si>
  <si>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</si>
  <si>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</si>
  <si>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</si>
  <si>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</si>
  <si>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</si>
  <si>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</si>
  <si>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</si>
  <si>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</si>
  <si>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</si>
  <si>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</si>
  <si>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</si>
  <si>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</si>
  <si>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</si>
  <si>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</si>
  <si>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</si>
  <si>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</si>
  <si>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</si>
  <si>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</si>
  <si>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</si>
  <si>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</si>
  <si>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</si>
  <si>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</si>
  <si>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</si>
  <si>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</si>
  <si>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</si>
  <si>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</si>
  <si>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</si>
  <si>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</si>
  <si>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</si>
  <si>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</si>
  <si>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</si>
  <si>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</si>
  <si>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</si>
  <si>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</si>
  <si>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</si>
  <si>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</si>
  <si>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</si>
  <si>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</si>
  <si>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</si>
  <si>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</si>
  <si>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</si>
  <si>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Б</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</si>
  <si>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</si>
  <si>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</si>
  <si>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</si>
  <si>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</si>
  <si>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</si>
  <si>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</si>
  <si>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</si>
  <si>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</si>
  <si>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</si>
  <si>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</si>
  <si>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</si>
  <si>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</si>
  <si>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</si>
  <si>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</si>
  <si>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</si>
  <si>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</si>
  <si>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</si>
  <si>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</si>
  <si>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</si>
  <si>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</si>
  <si>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</si>
  <si>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</si>
  <si>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</si>
  <si>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</si>
  <si>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</si>
  <si>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</si>
  <si>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</si>
  <si>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</si>
  <si>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</si>
  <si>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</si>
  <si>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</si>
  <si>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</si>
  <si>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</si>
  <si>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</si>
  <si>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</si>
  <si>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</si>
  <si>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</si>
  <si>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</si>
  <si>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</si>
  <si>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</si>
  <si>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</si>
  <si>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</si>
  <si>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</si>
  <si>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</si>
  <si>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</si>
  <si>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</si>
  <si>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</si>
  <si>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</si>
  <si>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</si>
  <si>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</si>
  <si>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</si>
  <si>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</si>
  <si>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</si>
  <si>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</si>
  <si>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</si>
  <si>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</si>
  <si>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</si>
  <si>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</si>
  <si>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</si>
  <si>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</si>
  <si>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</si>
  <si>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</si>
  <si>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</si>
  <si>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</si>
  <si>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</si>
  <si>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</si>
  <si>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</si>
  <si>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</si>
  <si>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</si>
  <si>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</si>
  <si>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</si>
  <si>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</si>
  <si>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</si>
  <si>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</si>
  <si>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</si>
  <si>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</si>
  <si>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</si>
  <si>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</si>
  <si>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</si>
  <si>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</si>
  <si>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</si>
  <si>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</si>
  <si>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</si>
  <si>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</si>
  <si>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</si>
  <si>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</si>
  <si>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</si>
  <si>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</si>
  <si>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</si>
  <si>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</si>
  <si>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</si>
  <si>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</si>
  <si>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</si>
  <si>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</si>
  <si>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</si>
  <si>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</si>
  <si>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</si>
  <si>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</si>
  <si>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</si>
  <si>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</si>
  <si>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</si>
  <si>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</si>
  <si>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</si>
  <si>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</si>
  <si>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</si>
  <si>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</si>
  <si>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</si>
  <si>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</si>
  <si>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</si>
  <si>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</si>
  <si>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</si>
  <si>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</si>
  <si>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</si>
  <si>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"Водоканал"::4217166136::421701001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</si>
  <si>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</si>
  <si>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</si>
  <si>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</si>
  <si>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</si>
  <si>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</si>
  <si>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</si>
  <si>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</si>
  <si>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</si>
  <si>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</si>
  <si>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</si>
  <si>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</si>
  <si>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</si>
  <si>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</si>
  <si>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</si>
  <si>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</si>
  <si>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</si>
  <si>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</si>
  <si>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</si>
  <si>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</si>
  <si>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</si>
  <si>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</si>
  <si>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</si>
  <si>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</si>
  <si>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</si>
  <si>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</si>
  <si>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</si>
  <si>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</si>
  <si>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</si>
  <si>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</si>
  <si>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</si>
  <si>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</si>
  <si>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</si>
  <si>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</si>
  <si>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</si>
  <si>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</si>
  <si>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</si>
  <si>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</si>
  <si>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</si>
  <si>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</si>
  <si>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</si>
  <si>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</si>
  <si>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</si>
  <si>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</si>
  <si>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</si>
  <si>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</si>
  <si>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</si>
  <si>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</si>
  <si>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</si>
  <si>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</si>
  <si>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</si>
  <si>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</si>
  <si>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</si>
  <si>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</si>
  <si>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</si>
  <si>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</si>
  <si>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</si>
  <si>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</si>
  <si>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</si>
  <si>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</si>
  <si>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</si>
  <si>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</si>
  <si>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</si>
  <si>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</si>
  <si>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</si>
  <si>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</si>
  <si>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</si>
  <si>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</si>
  <si>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</si>
  <si>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</si>
  <si>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</si>
  <si>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</si>
  <si>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</si>
  <si>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</si>
  <si>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</si>
  <si>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</si>
  <si>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</si>
  <si>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</si>
  <si>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</si>
  <si>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</si>
  <si>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</si>
  <si>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</si>
  <si>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</si>
  <si>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</si>
  <si>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</si>
  <si>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</si>
  <si>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</si>
  <si>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</si>
  <si>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</si>
  <si>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</si>
  <si>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</si>
  <si>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</si>
  <si>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</si>
  <si>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</si>
  <si>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</si>
  <si>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</si>
  <si>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</si>
  <si>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</si>
  <si>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</si>
  <si>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</si>
  <si>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</si>
  <si>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</si>
  <si>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</si>
  <si>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</si>
  <si>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</si>
  <si>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</si>
  <si>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</si>
  <si>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</si>
  <si>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</si>
  <si>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</si>
  <si>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</si>
  <si>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</si>
  <si>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</si>
  <si>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</si>
  <si>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</si>
  <si>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</si>
  <si>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</si>
  <si>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</si>
  <si>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</si>
  <si>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</si>
  <si>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</si>
  <si>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</si>
  <si>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</si>
  <si>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</si>
  <si>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</si>
  <si>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</si>
  <si>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</si>
  <si>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</si>
  <si>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</si>
  <si>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</si>
  <si>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</si>
  <si>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</si>
  <si>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</si>
  <si>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</si>
  <si>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</si>
  <si>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</si>
  <si>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</si>
  <si>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</si>
  <si>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</si>
  <si>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</si>
  <si>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</si>
  <si>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</si>
  <si>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</si>
  <si>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</si>
  <si>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</si>
  <si>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</si>
  <si>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</si>
  <si>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</si>
  <si>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</si>
  <si>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</si>
  <si>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</si>
  <si>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</si>
  <si>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</si>
  <si>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</si>
  <si>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</si>
  <si>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</si>
  <si>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</si>
  <si>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</si>
  <si>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</si>
  <si>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</si>
  <si>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</si>
  <si>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</si>
  <si>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</si>
  <si>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</si>
  <si>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</si>
  <si>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</si>
  <si>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</si>
  <si>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</si>
  <si>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</si>
  <si>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</si>
  <si>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</si>
  <si>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</si>
  <si>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</si>
  <si>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</si>
  <si>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</si>
  <si>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</si>
  <si>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</si>
  <si>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</si>
  <si>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</si>
  <si>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</si>
  <si>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</si>
  <si>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</si>
  <si>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</si>
  <si>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</si>
  <si>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</si>
  <si>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</si>
  <si>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</si>
  <si>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</si>
  <si>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"Сибэнерго"::4217085977::540601001</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</si>
  <si>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</si>
  <si>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</si>
  <si>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</si>
  <si>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</si>
  <si>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</si>
  <si>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</si>
  <si>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</si>
  <si>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</si>
  <si>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</si>
  <si>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</si>
  <si>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</si>
  <si>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</si>
  <si>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</si>
  <si>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</si>
  <si>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</si>
  <si>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</si>
  <si>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</si>
  <si>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</si>
  <si>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</si>
  <si>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</si>
  <si>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</si>
  <si>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</si>
  <si>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</si>
  <si>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</si>
  <si>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</si>
  <si>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</si>
  <si>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</si>
  <si>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</si>
  <si>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</si>
  <si>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</si>
  <si>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</si>
  <si>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</si>
  <si>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</si>
  <si>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</si>
  <si>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</si>
  <si>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</si>
  <si>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</si>
  <si>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</si>
  <si>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</si>
  <si>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</si>
  <si>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Всего ФОТ</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</si>
  <si>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</si>
  <si>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</si>
  <si>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</si>
  <si>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</si>
  <si>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</si>
  <si>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</si>
  <si>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</si>
  <si>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</si>
  <si>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</si>
  <si>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</si>
  <si>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</si>
  <si>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</si>
  <si>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</si>
  <si>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</si>
  <si>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</si>
  <si>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</si>
  <si>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</si>
  <si>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</si>
  <si>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</si>
  <si>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</si>
  <si>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</si>
  <si>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</si>
  <si>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</si>
  <si>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</si>
  <si>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</si>
  <si>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</si>
  <si>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</si>
  <si>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</si>
  <si>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</si>
  <si>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</si>
  <si>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</si>
  <si>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</si>
  <si>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</si>
  <si>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</si>
  <si>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</si>
  <si>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</si>
  <si>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</si>
  <si>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</si>
  <si>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</si>
  <si>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</si>
  <si>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</si>
  <si>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</si>
  <si>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</si>
  <si>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</si>
  <si>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</si>
  <si>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</si>
  <si>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</si>
  <si>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</si>
  <si>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</si>
  <si>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</si>
  <si>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</si>
  <si>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</si>
  <si>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</si>
  <si>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</si>
  <si>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</si>
  <si>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</si>
  <si>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</si>
  <si>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</si>
  <si>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</si>
  <si>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</si>
  <si>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</si>
  <si>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</si>
  <si>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</si>
  <si>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</si>
  <si>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</si>
  <si>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</si>
  <si>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</si>
  <si>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</si>
  <si>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</si>
  <si>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</si>
  <si>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</si>
  <si>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</si>
  <si>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</si>
  <si>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</si>
  <si>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</si>
  <si>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</si>
  <si>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</si>
  <si>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</si>
  <si>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</si>
  <si>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</si>
  <si>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</si>
  <si>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</si>
  <si>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</si>
  <si>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</si>
  <si>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</si>
  <si>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</si>
  <si>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</si>
  <si>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</si>
  <si>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</si>
  <si>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</si>
  <si>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</si>
  <si>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</si>
  <si>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</si>
  <si>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</si>
  <si>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</si>
  <si>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</si>
  <si>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</si>
  <si>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</si>
  <si>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</si>
  <si>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</si>
  <si>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</si>
  <si>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</si>
  <si>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</si>
  <si>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</si>
  <si>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</si>
  <si>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</si>
  <si>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</si>
  <si>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</si>
  <si>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</si>
  <si>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</si>
  <si>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</si>
  <si>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</si>
  <si>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</si>
  <si>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</si>
  <si>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</si>
  <si>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</si>
  <si>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</si>
  <si>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</si>
  <si>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</si>
  <si>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</si>
  <si>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</si>
  <si>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</si>
  <si>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</si>
  <si>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</si>
  <si>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</si>
  <si>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</si>
  <si>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</si>
  <si>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</si>
  <si>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</si>
  <si>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</si>
  <si>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</si>
  <si>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</si>
  <si>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</si>
  <si>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</si>
  <si>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</si>
  <si>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</si>
  <si>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</si>
  <si>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</si>
  <si>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</si>
  <si>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</si>
  <si>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</si>
  <si>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</si>
  <si>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</si>
  <si>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</si>
  <si>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</si>
  <si>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</si>
  <si>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</si>
  <si>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</si>
  <si>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</si>
  <si>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</si>
  <si>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</si>
  <si>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</si>
  <si>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</si>
  <si>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</si>
  <si>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</si>
  <si>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</si>
  <si>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</si>
  <si>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</si>
  <si>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</si>
  <si>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</si>
  <si>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</si>
  <si>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</si>
  <si>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</si>
  <si>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</si>
  <si>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</si>
  <si>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</si>
  <si>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</si>
  <si>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</si>
  <si>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</si>
  <si>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</si>
  <si>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</si>
  <si>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</si>
  <si>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</si>
  <si>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</si>
  <si>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</si>
  <si>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</si>
  <si>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</si>
  <si>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</si>
  <si>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</si>
  <si>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</si>
  <si>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</si>
  <si>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</si>
  <si>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</si>
  <si>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</si>
  <si>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</si>
  <si>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</si>
  <si>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</si>
  <si>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</si>
  <si>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</si>
  <si>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</si>
  <si>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</si>
  <si>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</si>
  <si>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</si>
  <si>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</si>
  <si>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</si>
  <si>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</si>
  <si>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</si>
  <si>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</si>
  <si>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</si>
  <si>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</si>
  <si>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</si>
  <si>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</si>
  <si>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</si>
  <si>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</si>
  <si>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</si>
  <si>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</si>
  <si>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</si>
  <si>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</si>
  <si>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</si>
  <si>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</si>
  <si>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</si>
  <si>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</si>
  <si>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</si>
  <si>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</si>
  <si>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</si>
  <si>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</si>
  <si>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</si>
  <si>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</si>
  <si>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</si>
  <si>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</si>
  <si>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</si>
  <si>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</si>
  <si>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</si>
  <si>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</si>
  <si>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</si>
  <si>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</si>
  <si>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</si>
  <si>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</si>
  <si>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</si>
  <si>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</si>
  <si>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</si>
  <si>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</si>
  <si>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</si>
  <si>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</si>
  <si>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</si>
  <si>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</si>
  <si>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</si>
  <si>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</si>
  <si>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</si>
  <si>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</si>
  <si>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</si>
  <si>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</si>
  <si>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</si>
  <si>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</si>
  <si>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</si>
  <si>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</si>
  <si>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</si>
  <si>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</si>
  <si>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</si>
  <si>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</si>
  <si>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</si>
  <si>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</si>
  <si>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</si>
  <si>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</si>
  <si>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</si>
  <si>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</si>
  <si>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</si>
  <si>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</si>
  <si>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</si>
  <si>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</si>
  <si>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</si>
  <si>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</si>
  <si>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</si>
  <si>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</si>
  <si>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</si>
  <si>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</si>
  <si>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</si>
  <si>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</si>
  <si>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</si>
  <si>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</si>
  <si>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</si>
  <si>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</si>
  <si>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</si>
  <si>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</si>
  <si>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</si>
  <si>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</si>
  <si>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</si>
  <si>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</si>
  <si>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</si>
  <si>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</si>
  <si>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</si>
  <si>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</si>
  <si>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</si>
  <si>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</si>
  <si>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</si>
  <si>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</si>
  <si>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</si>
  <si>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</si>
  <si>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</si>
  <si>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</si>
  <si>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</si>
  <si>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</si>
  <si>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</si>
  <si>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</si>
  <si>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</si>
  <si>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</si>
  <si>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</si>
  <si>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</si>
  <si>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</si>
  <si>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</si>
  <si>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</si>
  <si>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</si>
  <si>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</si>
  <si>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</si>
  <si>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</si>
  <si>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</si>
  <si>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</si>
  <si>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</si>
  <si>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</si>
  <si>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</si>
  <si>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</si>
  <si>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</si>
  <si>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</si>
  <si>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</si>
  <si>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</si>
  <si>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</si>
  <si>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</si>
  <si>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</si>
  <si>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</si>
  <si>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</si>
  <si>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</si>
  <si>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</si>
  <si>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</si>
  <si>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</si>
  <si>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</si>
  <si>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</si>
  <si>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</si>
  <si>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</si>
  <si>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</si>
  <si>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</si>
  <si>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</si>
  <si>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</si>
  <si>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</si>
  <si>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</si>
  <si>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</si>
  <si>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</si>
  <si>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</si>
  <si>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</si>
  <si>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</si>
  <si>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</si>
  <si>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</si>
  <si>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</si>
  <si>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</si>
  <si>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</si>
  <si>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</si>
  <si>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</si>
  <si>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</si>
  <si>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</si>
  <si>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</si>
  <si>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</si>
  <si>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</si>
  <si>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</si>
  <si>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</si>
  <si>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</si>
  <si>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</si>
  <si>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</si>
  <si>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</si>
  <si>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</si>
  <si>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</si>
  <si>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</si>
  <si>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</si>
  <si>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</si>
  <si>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</si>
  <si>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</si>
  <si>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</si>
  <si>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</si>
  <si>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</si>
  <si>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</si>
  <si>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</si>
  <si>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</si>
  <si>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</si>
  <si>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</si>
  <si>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</si>
  <si>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</si>
  <si>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</si>
  <si>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</si>
  <si>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</si>
  <si>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</si>
  <si>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</si>
  <si>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</si>
  <si>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</si>
  <si>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</si>
  <si>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</si>
  <si>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</si>
  <si>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</si>
  <si>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</si>
  <si>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</si>
  <si>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</si>
  <si>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</si>
  <si>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</si>
  <si>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</si>
  <si>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</si>
  <si>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</si>
  <si>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</si>
  <si>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</si>
  <si>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</si>
  <si>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</si>
  <si>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</si>
  <si>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</si>
  <si>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</si>
  <si>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</si>
  <si>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</si>
  <si>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</si>
  <si>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</si>
  <si>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</si>
  <si>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</si>
  <si>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</si>
  <si>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</si>
  <si>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</si>
  <si>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</si>
  <si>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</si>
  <si>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</si>
  <si>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</si>
  <si>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</si>
  <si>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</si>
  <si>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</si>
  <si>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</si>
  <si>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</si>
  <si>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</si>
  <si>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</si>
  <si>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</si>
  <si>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</si>
  <si>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</si>
  <si>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</si>
  <si>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</si>
  <si>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</si>
  <si>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</si>
  <si>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</si>
  <si>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</si>
  <si>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</si>
  <si>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</si>
  <si>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</si>
  <si>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</si>
  <si>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</si>
  <si>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</si>
  <si>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</si>
  <si>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</si>
  <si>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</si>
  <si>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</si>
  <si>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</si>
  <si>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</si>
  <si>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</si>
  <si>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</si>
  <si>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</si>
  <si>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</si>
  <si>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</si>
  <si>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</si>
  <si>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</si>
  <si>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</si>
  <si>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</si>
  <si>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</si>
  <si>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</si>
  <si>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</si>
  <si>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</si>
  <si>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</si>
  <si>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</si>
  <si>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</si>
  <si>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</si>
  <si>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</si>
  <si>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</si>
  <si>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</si>
  <si>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</si>
  <si>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</si>
  <si>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</si>
  <si>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</si>
  <si>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</si>
  <si>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</si>
  <si>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</si>
  <si>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</si>
  <si>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</si>
  <si>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</si>
  <si>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</si>
  <si>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</si>
  <si>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</si>
  <si>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</si>
  <si>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</si>
  <si>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</si>
  <si>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</si>
  <si>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</si>
  <si>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</si>
  <si>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</si>
  <si>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</si>
  <si>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</si>
  <si>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</si>
  <si>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</si>
  <si>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</si>
  <si>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</si>
  <si>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</si>
  <si>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</si>
  <si>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</si>
  <si>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</si>
  <si>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</si>
  <si>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</si>
  <si>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</si>
  <si>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</si>
  <si>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</si>
  <si>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</si>
  <si>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</si>
  <si>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</si>
  <si>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</si>
  <si>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</si>
  <si>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</si>
  <si>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</si>
  <si>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</si>
  <si>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</si>
  <si>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</si>
  <si>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</si>
  <si>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</si>
  <si>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</si>
  <si>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</si>
  <si>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</si>
  <si>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</si>
  <si>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</si>
  <si>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</si>
  <si>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</si>
  <si>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</si>
  <si>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</si>
  <si>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</si>
  <si>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</si>
  <si>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</si>
  <si>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</si>
  <si>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</si>
  <si>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</si>
  <si>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</si>
  <si>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</si>
  <si>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</si>
  <si>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</si>
  <si>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</si>
  <si>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</si>
  <si>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</si>
  <si>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</si>
  <si>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</si>
  <si>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</si>
  <si>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</si>
  <si>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</si>
  <si>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</si>
  <si>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</si>
  <si>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</si>
  <si>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</si>
  <si>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</si>
  <si>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</si>
  <si>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</si>
  <si>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</si>
  <si>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</si>
  <si>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</si>
  <si>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</si>
  <si>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</si>
  <si>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</si>
  <si>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</si>
  <si>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</si>
  <si>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</si>
  <si>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</si>
  <si>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</si>
  <si>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</si>
  <si>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</si>
  <si>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</si>
  <si>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</si>
  <si>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</si>
  <si>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</si>
  <si>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</si>
  <si>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</si>
  <si>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</si>
  <si>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</si>
  <si>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</si>
  <si>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</si>
  <si>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</si>
  <si>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</si>
  <si>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</si>
  <si>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</si>
  <si>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</si>
  <si>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</si>
  <si>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</si>
  <si>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</si>
  <si>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</si>
  <si>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</si>
  <si>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</si>
  <si>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</si>
  <si>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</si>
  <si>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</si>
  <si>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</si>
  <si>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</si>
  <si>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</si>
  <si>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</si>
  <si>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</si>
  <si>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</si>
  <si>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</si>
  <si>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</si>
  <si>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</si>
  <si>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</si>
  <si>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</si>
  <si>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</si>
  <si>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</si>
  <si>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</si>
  <si>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</si>
  <si>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</si>
  <si>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</si>
  <si>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</si>
  <si>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</si>
  <si>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</si>
  <si>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</si>
  <si>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</si>
  <si>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</si>
  <si>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</si>
  <si>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</si>
  <si>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</si>
  <si>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</si>
  <si>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</si>
  <si>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</si>
  <si>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</si>
  <si>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</si>
  <si>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</si>
  <si>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</si>
  <si>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</si>
  <si>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</si>
  <si>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</si>
  <si>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</si>
  <si>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</si>
  <si>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</si>
  <si>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</si>
  <si>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</si>
  <si>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</si>
  <si>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</si>
  <si>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</si>
  <si>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</si>
  <si>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</si>
  <si>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</si>
  <si>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</si>
  <si>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</si>
  <si>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</si>
  <si>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</si>
  <si>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</si>
  <si>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</si>
  <si>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</si>
  <si>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</si>
  <si>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</si>
  <si>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</si>
  <si>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</si>
  <si>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</si>
  <si>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</si>
  <si>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</si>
  <si>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</si>
  <si>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</si>
  <si>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</si>
  <si>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</si>
  <si>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</si>
  <si>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</si>
  <si>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</si>
  <si>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</si>
  <si>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</si>
  <si>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</si>
  <si>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</si>
  <si>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</si>
  <si>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</si>
  <si>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</si>
  <si>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</si>
  <si>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</si>
  <si>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</si>
  <si>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</si>
  <si>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</si>
  <si>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</si>
  <si>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</si>
  <si>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</si>
  <si>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</si>
  <si>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</si>
  <si>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</si>
  <si>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</si>
  <si>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</si>
  <si>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</si>
  <si>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</si>
  <si>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</si>
  <si>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</si>
  <si>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</si>
  <si>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</si>
  <si>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</si>
  <si>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</si>
  <si>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</si>
  <si>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</si>
  <si>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</si>
  <si>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</si>
  <si>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</si>
  <si>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</si>
  <si>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</si>
  <si>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</si>
  <si>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</si>
  <si>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</si>
  <si>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</si>
  <si>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</si>
  <si>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</si>
  <si>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</si>
  <si>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</si>
  <si>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</si>
  <si>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</si>
  <si>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</si>
  <si>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</si>
  <si>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</si>
  <si>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</si>
  <si>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</si>
  <si>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</si>
  <si>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</si>
  <si>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</si>
  <si>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</si>
  <si>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</si>
  <si>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</si>
  <si>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</si>
  <si>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</si>
  <si>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</si>
  <si>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</si>
  <si>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</si>
  <si>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</si>
  <si>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</si>
  <si>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</si>
  <si>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</si>
  <si>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</si>
  <si>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</si>
  <si>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</si>
  <si>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</si>
  <si>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</si>
  <si>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</si>
  <si>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</si>
  <si>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</si>
  <si>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</si>
  <si>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</si>
  <si>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</si>
  <si>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</si>
  <si>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</si>
  <si>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</si>
  <si>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</si>
  <si>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</si>
  <si>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</si>
  <si>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</si>
  <si>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</si>
  <si>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</si>
  <si>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</si>
  <si>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</si>
  <si>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</si>
  <si>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</si>
  <si>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</si>
  <si>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</si>
  <si>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</si>
  <si>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</si>
  <si>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</si>
  <si>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</si>
  <si>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</si>
  <si>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</si>
  <si>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</si>
  <si>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</si>
  <si>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</si>
  <si>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</si>
  <si>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</si>
  <si>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</si>
  <si>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</si>
  <si>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</si>
  <si>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</si>
  <si>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</si>
  <si>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</si>
  <si>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</si>
  <si>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</si>
  <si>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</si>
  <si>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</si>
  <si>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</si>
  <si>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</si>
  <si>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</si>
  <si>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</si>
  <si>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</si>
  <si>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</si>
  <si>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</si>
  <si>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</si>
  <si>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</si>
  <si>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</si>
  <si>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</si>
  <si>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</si>
  <si>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</si>
  <si>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</si>
  <si>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</si>
  <si>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</si>
  <si>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</si>
  <si>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</si>
  <si>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</si>
  <si>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</si>
  <si>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</si>
  <si>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</si>
  <si>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</si>
  <si>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</si>
  <si>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</si>
  <si>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</si>
  <si>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</si>
  <si>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</si>
  <si>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</si>
  <si>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</si>
  <si>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</si>
  <si>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</si>
  <si>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</si>
  <si>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</si>
  <si>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</si>
  <si>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</si>
  <si>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</si>
  <si>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</si>
  <si>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</si>
  <si>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</si>
  <si>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</si>
  <si>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</si>
  <si>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</si>
  <si>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</si>
  <si>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</si>
  <si>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</si>
  <si>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</si>
  <si>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</si>
  <si>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</si>
  <si>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</si>
  <si>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</si>
  <si>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</si>
  <si>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</si>
  <si>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</si>
  <si>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</si>
  <si>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</si>
  <si>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</si>
  <si>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</si>
  <si>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</si>
  <si>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</si>
  <si>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</si>
  <si>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</si>
  <si>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</si>
  <si>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</si>
  <si>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</si>
  <si>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</si>
  <si>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</si>
  <si>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</si>
  <si>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</si>
  <si>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</si>
  <si>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</si>
  <si>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</si>
  <si>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</si>
  <si>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</si>
  <si>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</si>
  <si>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</si>
  <si>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</si>
  <si>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</si>
  <si>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</si>
  <si>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</si>
  <si>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</si>
  <si>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</si>
  <si>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</si>
  <si>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</si>
  <si>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</si>
  <si>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</si>
  <si>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</si>
  <si>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</si>
  <si>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</si>
  <si>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</si>
  <si>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</si>
  <si>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</si>
  <si>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</si>
  <si>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</si>
  <si>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</si>
  <si>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</si>
  <si>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</si>
  <si>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</si>
  <si>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</si>
  <si>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</si>
  <si>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</si>
  <si>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</si>
  <si>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</si>
  <si>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</si>
  <si>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</si>
  <si>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</si>
  <si>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</si>
  <si>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</si>
  <si>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</si>
  <si>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</si>
  <si>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</si>
  <si>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</si>
  <si>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</si>
  <si>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</si>
  <si>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</si>
  <si>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</si>
  <si>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</si>
  <si>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</si>
  <si>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</si>
  <si>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</si>
  <si>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</si>
  <si>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</si>
  <si>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</si>
  <si>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</si>
  <si>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</si>
  <si>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</si>
  <si>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</si>
  <si>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</si>
  <si>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</si>
  <si>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</si>
  <si>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</si>
  <si>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</si>
  <si>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</si>
  <si>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</si>
  <si>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</si>
  <si>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</si>
  <si>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</si>
  <si>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</si>
  <si>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</si>
  <si>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</si>
  <si>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</si>
  <si>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</si>
  <si>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</si>
  <si>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</si>
  <si>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</si>
  <si>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</si>
  <si>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</si>
  <si>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</si>
  <si>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</si>
  <si>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</si>
  <si>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</si>
  <si>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</si>
  <si>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</si>
  <si>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</si>
  <si>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</si>
  <si>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</si>
  <si>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</si>
  <si>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</si>
  <si>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</si>
  <si>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</si>
  <si>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</si>
  <si>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</si>
  <si>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</si>
  <si>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</si>
  <si>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</si>
  <si>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</si>
  <si>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</si>
  <si>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</si>
  <si>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</si>
  <si>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</si>
  <si>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</si>
  <si>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</si>
  <si>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</si>
  <si>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</si>
  <si>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</si>
  <si>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</si>
  <si>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</si>
  <si>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</si>
  <si>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</si>
  <si>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</si>
  <si>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</si>
  <si>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</si>
  <si>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</si>
  <si>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</si>
  <si>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</si>
  <si>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</si>
  <si>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</si>
  <si>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</si>
  <si>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</si>
  <si>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</si>
  <si>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</si>
  <si>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</si>
  <si>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</si>
  <si>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</si>
  <si>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</si>
  <si>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</si>
  <si>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Откорректированная версия от 19.12.2025 взамен ошибочно отправленной"</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</si>
  <si>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</si>
  <si>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</si>
  <si>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</si>
  <si>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</si>
  <si>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</si>
  <si>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</si>
  <si>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</si>
  <si>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</si>
  <si>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</si>
  <si>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</si>
  <si>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</si>
  <si>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</si>
  <si>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</si>
  <si>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</si>
  <si>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</si>
  <si>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</si>
  <si>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</si>
  <si>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</si>
  <si>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</si>
  <si>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</si>
  <si>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</si>
  <si>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</si>
  <si>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</si>
  <si>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</si>
  <si>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</si>
  <si>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</si>
  <si>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</si>
  <si>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</si>
  <si>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</si>
  <si>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</si>
  <si>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</si>
  <si>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</si>
  <si>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</si>
  <si>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</si>
  <si>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</si>
  <si>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</si>
  <si>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</si>
  <si>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</si>
  <si>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</si>
  <si>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</si>
  <si>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</si>
  <si>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</si>
  <si>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</si>
  <si>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</si>
  <si>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</si>
  <si>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</si>
  <si>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</si>
  <si>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</si>
  <si>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</si>
  <si>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</si>
  <si>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</si>
  <si>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</si>
  <si>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</si>
  <si>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</si>
  <si>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</si>
  <si>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</si>
  <si>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</si>
  <si>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</si>
  <si>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</si>
  <si>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</si>
  <si>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</si>
  <si>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</si>
  <si>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</si>
  <si>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</si>
  <si>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</si>
  <si>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</si>
  <si>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</si>
  <si>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</si>
  <si>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</si>
  <si>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</si>
  <si>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</si>
  <si>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</si>
  <si>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</si>
  <si>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</si>
  <si>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</si>
  <si>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</si>
  <si>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</si>
  <si>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</si>
  <si>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</si>
  <si>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</si>
  <si>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</si>
  <si>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</si>
  <si>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</si>
  <si>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</si>
  <si>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</si>
  <si>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</si>
  <si>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</si>
  <si>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</si>
  <si>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</si>
  <si>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</si>
  <si>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</si>
  <si>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</si>
  <si>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</si>
  <si>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</si>
  <si>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</si>
  <si>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</si>
  <si>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</si>
  <si>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</si>
  <si>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</si>
  <si>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</si>
  <si>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</si>
  <si>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</si>
  <si>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</si>
  <si>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</si>
  <si>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</si>
  <si>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</si>
  <si>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</si>
  <si>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</si>
  <si>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</si>
  <si>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</si>
  <si>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</si>
  <si>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</si>
  <si>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</si>
  <si>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</si>
  <si>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</si>
  <si>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</si>
  <si>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</si>
  <si>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</si>
  <si>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</si>
  <si>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</si>
  <si>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</si>
  <si>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</si>
  <si>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</si>
  <si>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</si>
  <si>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</si>
  <si>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</si>
  <si>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</si>
  <si>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</si>
  <si>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</si>
  <si>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</si>
  <si>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</si>
  <si>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</si>
  <si>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</si>
  <si>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</si>
  <si>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</si>
  <si>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</si>
  <si>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</si>
  <si>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</si>
  <si>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</si>
  <si>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</si>
  <si>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</si>
  <si>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</si>
  <si>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</si>
  <si>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</si>
  <si>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</si>
  <si>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</si>
  <si>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</si>
  <si>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</si>
  <si>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</si>
  <si>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</si>
  <si>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</si>
  <si>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</si>
  <si>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</si>
  <si>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</si>
  <si>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</si>
  <si>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</si>
  <si>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</si>
  <si>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</si>
  <si>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</si>
  <si>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</si>
  <si>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</si>
  <si>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</si>
  <si>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</si>
  <si>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</si>
  <si>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</si>
  <si>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</si>
  <si>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</si>
  <si>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</si>
  <si>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</si>
  <si>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</si>
  <si>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</si>
  <si>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</si>
  <si>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</si>
  <si>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</si>
  <si>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</si>
  <si>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</si>
  <si>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</si>
  <si>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</si>
  <si>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</si>
  <si>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</si>
  <si>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</si>
  <si>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</si>
  <si>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</si>
  <si>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</si>
  <si>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</si>
  <si>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</si>
  <si>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</si>
  <si>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</si>
  <si>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</si>
  <si>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</si>
  <si>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</si>
  <si>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</si>
  <si>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</si>
  <si>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</si>
  <si>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</si>
  <si>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</si>
  <si>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</si>
  <si>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</si>
  <si>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</si>
  <si>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</si>
  <si>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</si>
  <si>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</si>
  <si>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</si>
  <si>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</si>
  <si>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</si>
  <si>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</si>
  <si>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</si>
  <si>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</si>
  <si>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</si>
  <si>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</si>
  <si>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</si>
  <si>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</si>
  <si>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</si>
  <si>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</si>
  <si>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</si>
  <si>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</si>
  <si>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</si>
  <si>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</si>
  <si>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</si>
  <si>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</si>
  <si>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</si>
  <si>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</si>
  <si>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</si>
  <si>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</si>
  <si>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</si>
  <si>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</si>
  <si>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</si>
  <si>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</si>
  <si>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</si>
  <si>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</si>
  <si>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</si>
  <si>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</si>
  <si>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</si>
  <si>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</si>
  <si>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</si>
  <si>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</si>
  <si>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</si>
  <si>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</si>
  <si>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</si>
  <si>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</si>
  <si>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</si>
  <si>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</si>
  <si>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</si>
  <si>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</si>
  <si>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</si>
  <si>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</si>
  <si>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</si>
  <si>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</si>
  <si>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</si>
  <si>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</si>
  <si>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</si>
  <si>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</si>
  <si>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</si>
  <si>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</si>
  <si>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</si>
  <si>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</si>
  <si>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</si>
  <si>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</si>
  <si>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</si>
  <si>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</si>
  <si>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</si>
  <si>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</si>
  <si>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</si>
  <si>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</si>
  <si>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</si>
  <si>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</si>
  <si>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</si>
  <si>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</si>
  <si>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</si>
  <si>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</si>
  <si>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</si>
  <si>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</si>
  <si>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</si>
  <si>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</si>
  <si>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</si>
  <si>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</si>
  <si>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</si>
  <si>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</si>
  <si>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</si>
  <si>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</si>
  <si>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</si>
  <si>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</si>
  <si>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</si>
  <si>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</si>
  <si>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</si>
  <si>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</si>
  <si>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</si>
  <si>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</si>
  <si>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</si>
  <si>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</si>
  <si>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</si>
  <si>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</si>
  <si>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</si>
  <si>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</si>
  <si>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</si>
  <si>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</si>
  <si>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</si>
  <si>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</si>
  <si>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</si>
  <si>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</si>
  <si>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</si>
  <si>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</si>
  <si>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</si>
  <si>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</si>
  <si>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</si>
  <si>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</si>
  <si>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</si>
  <si>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</si>
  <si>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</si>
  <si>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</si>
  <si>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</si>
  <si>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</si>
  <si>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</si>
  <si>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</si>
  <si>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</si>
  <si>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</si>
  <si>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</si>
  <si>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</si>
  <si>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</si>
  <si>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</si>
  <si>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</si>
  <si>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</si>
  <si>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</si>
  <si>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</si>
  <si>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</si>
  <si>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</si>
  <si>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</si>
  <si>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</si>
  <si>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</si>
  <si>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</si>
  <si>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</si>
  <si>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</si>
  <si>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</si>
  <si>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</si>
  <si>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</si>
  <si>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</si>
  <si>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</si>
  <si>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</si>
  <si>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</si>
  <si>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</si>
  <si>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</si>
  <si>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</si>
  <si>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</si>
  <si>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</si>
  <si>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</si>
  <si>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</si>
  <si>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</si>
  <si>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</si>
  <si>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</si>
  <si>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</si>
  <si>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</si>
  <si>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</si>
  <si>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</si>
  <si>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</si>
  <si>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</si>
  <si>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</si>
  <si>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</si>
  <si>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</si>
  <si>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</si>
  <si>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</si>
  <si>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</si>
  <si>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</si>
  <si>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</si>
  <si>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</si>
  <si>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</si>
  <si>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</si>
  <si>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</si>
  <si>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</si>
  <si>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</si>
  <si>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</si>
  <si>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</si>
  <si>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</si>
  <si>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</si>
  <si>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</si>
  <si>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</si>
  <si>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</si>
  <si>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</si>
  <si>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</si>
  <si>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</si>
  <si>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</si>
  <si>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</si>
  <si>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</si>
  <si>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</si>
  <si>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</si>
  <si>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</si>
  <si>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</si>
  <si>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</si>
  <si>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</si>
  <si>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</si>
  <si>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</si>
  <si>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</si>
  <si>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</si>
  <si>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</si>
  <si>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</si>
  <si>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</si>
  <si>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</si>
  <si>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</si>
  <si>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</si>
  <si>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</si>
  <si>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</si>
  <si>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</si>
  <si>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</si>
  <si>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</si>
  <si>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</si>
  <si>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</si>
  <si>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</si>
  <si>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</si>
  <si>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</si>
  <si>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</si>
  <si>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</si>
  <si>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</si>
  <si>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</si>
  <si>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</si>
  <si>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</si>
  <si>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</si>
  <si>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</si>
  <si>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</si>
  <si>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</si>
  <si>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</si>
  <si>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</si>
  <si>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</si>
  <si>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</si>
  <si>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</si>
  <si>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</si>
  <si>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</si>
  <si>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</si>
  <si>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</si>
  <si>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</si>
  <si>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</si>
  <si>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</si>
  <si>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</si>
  <si>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</si>
  <si>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</si>
  <si>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</si>
  <si>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</si>
  <si>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</si>
  <si>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</si>
  <si>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</si>
  <si>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</si>
  <si>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</si>
  <si>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</si>
  <si>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</si>
  <si>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</si>
  <si>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</si>
  <si>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</si>
  <si>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</si>
  <si>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</si>
  <si>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</si>
  <si>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</si>
  <si>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</si>
  <si>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</si>
  <si>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</si>
  <si>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</si>
  <si>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</si>
  <si>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</si>
  <si>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</si>
  <si>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</si>
  <si>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</si>
  <si>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</si>
  <si>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</si>
  <si>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</si>
  <si>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</si>
  <si>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</si>
  <si>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</si>
  <si>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</si>
  <si>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</si>
  <si>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</si>
  <si>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</si>
  <si>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</si>
  <si>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</si>
  <si>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</si>
  <si>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</si>
  <si>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</si>
  <si>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</si>
  <si>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</si>
  <si>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</si>
  <si>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</si>
  <si>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</si>
  <si>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</si>
  <si>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</si>
  <si>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</si>
  <si>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</si>
  <si>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</si>
  <si>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</si>
  <si>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</si>
  <si>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</si>
  <si>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</si>
  <si>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</si>
  <si>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</si>
  <si>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</si>
  <si>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</si>
  <si>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</si>
  <si>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</si>
  <si>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</si>
  <si>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</si>
  <si>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</si>
  <si>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</si>
  <si>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</si>
  <si>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</si>
  <si>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</si>
  <si>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</si>
  <si>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</si>
  <si>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</si>
  <si>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</si>
  <si>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</si>
  <si>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</si>
  <si>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</si>
  <si>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</si>
  <si>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</si>
  <si>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</si>
  <si>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</si>
  <si>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</si>
  <si>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</si>
  <si>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</si>
  <si>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</si>
  <si>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</si>
  <si>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</si>
  <si>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</si>
  <si>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</si>
  <si>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</si>
  <si>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</si>
  <si>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</si>
  <si>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</si>
  <si>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</si>
  <si>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</si>
  <si>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</si>
  <si>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</si>
  <si>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</si>
  <si>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</si>
  <si>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</si>
  <si>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</si>
  <si>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</si>
  <si>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</si>
  <si>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</si>
  <si>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</si>
  <si>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</si>
  <si>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</si>
  <si>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</si>
  <si>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</si>
  <si>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</si>
  <si>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</si>
  <si>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</si>
  <si>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</si>
  <si>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</si>
  <si>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</si>
  <si>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</si>
  <si>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</si>
  <si>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</si>
  <si>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</si>
  <si>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</si>
  <si>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</si>
  <si>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</si>
  <si>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</si>
  <si>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</si>
  <si>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</si>
  <si>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</si>
  <si>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</si>
  <si>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</si>
  <si>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</si>
  <si>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</si>
  <si>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на ст. Новокузнецк-Сортировочный</t>
  </si>
  <si>
    <t>ТИ с сетями</t>
  </si>
  <si>
    <t>8281215199.0000000000</t>
  </si>
  <si>
    <t>некомбинированное</t>
  </si>
  <si>
    <t>г Новокузнецк</t>
  </si>
  <si>
    <t>32731000001</t>
  </si>
  <si>
    <t>ул. 375 км</t>
  </si>
  <si>
    <t>12.6800000000</t>
  </si>
  <si>
    <t>9.2000000000</t>
  </si>
  <si>
    <t>закрытая</t>
  </si>
  <si>
    <t>[Уголь длиннопламенный]</t>
  </si>
  <si>
    <t>[174,9]</t>
  </si>
  <si>
    <t>[нет]</t>
  </si>
  <si>
    <t>круглогодичный</t>
  </si>
  <si>
    <t>15.0000000000</t>
  </si>
  <si>
    <t>01.01.1975</t>
  </si>
  <si>
    <t>магистральная</t>
  </si>
  <si>
    <t>двухтрубные сети</t>
  </si>
  <si>
    <t>двухтрубное исполнение</t>
  </si>
  <si>
    <t>0.2200000000</t>
  </si>
  <si>
    <t>0.0000000000</t>
  </si>
  <si>
    <t>30.0000000000</t>
  </si>
  <si>
    <t>эксплуатируется</t>
  </si>
  <si>
    <t>частная собственность</t>
  </si>
  <si>
    <t>собственное имущество</t>
  </si>
  <si>
    <t>Отсутствует</t>
  </si>
  <si>
    <t>42 АД № 369116</t>
  </si>
  <si>
    <t>14.11.2013</t>
  </si>
  <si>
    <t>0</t>
  </si>
  <si>
    <t>г Новокузнецк, ул. 375 км, ул. 375 км</t>
  </si>
  <si>
    <t>Котельная на ст. Промышленная ЭЧ</t>
  </si>
  <si>
    <t>Промышленновский муниципальный округ</t>
  </si>
  <si>
    <t>32525000</t>
  </si>
  <si>
    <t>пгт Промышленная</t>
  </si>
  <si>
    <t>32525000051</t>
  </si>
  <si>
    <t>1.0200000000</t>
  </si>
  <si>
    <t>0.4800000000</t>
  </si>
  <si>
    <t>[217,5]</t>
  </si>
  <si>
    <t>сезонный</t>
  </si>
  <si>
    <t>01.01.1989</t>
  </si>
  <si>
    <t>0.2100000000</t>
  </si>
  <si>
    <t>42 АА № 762027АА</t>
  </si>
  <si>
    <t>25.02.2014</t>
  </si>
  <si>
    <t>пгт Промышленная, пгт Промышленная, 1</t>
  </si>
  <si>
    <t>Котельная на ст. Бирюлинская</t>
  </si>
  <si>
    <t>город Березовский</t>
  </si>
  <si>
    <t>32710000</t>
  </si>
  <si>
    <t>г Березовский</t>
  </si>
  <si>
    <t>32710000001</t>
  </si>
  <si>
    <t>ул. Бирюлинская</t>
  </si>
  <si>
    <t>0.2400000000</t>
  </si>
  <si>
    <t>0.1300000000</t>
  </si>
  <si>
    <t>[222,5]</t>
  </si>
  <si>
    <t>20.0000000000</t>
  </si>
  <si>
    <t>0.0600000000</t>
  </si>
  <si>
    <t>12.03.2004</t>
  </si>
  <si>
    <t>г Березовский, ул. Бирюлинская, 1</t>
  </si>
  <si>
    <t>Котельная на ст. Юрга</t>
  </si>
  <si>
    <t>город Юрга</t>
  </si>
  <si>
    <t>32749000</t>
  </si>
  <si>
    <t>г Юрга</t>
  </si>
  <si>
    <t>32749000001</t>
  </si>
  <si>
    <t>0.3500000000</t>
  </si>
  <si>
    <t>0.3000000000</t>
  </si>
  <si>
    <t>[Электроэнергия]</t>
  </si>
  <si>
    <t>[149]</t>
  </si>
  <si>
    <t>7.0000000000</t>
  </si>
  <si>
    <t>01.01.2010</t>
  </si>
  <si>
    <t>0.3700000000</t>
  </si>
  <si>
    <t>1.1900000000</t>
  </si>
  <si>
    <t>42 АГ № 508353</t>
  </si>
  <si>
    <t>25.02.2012</t>
  </si>
  <si>
    <t>г Юрга, г Юрга, 1</t>
  </si>
  <si>
    <t>ул. Кондолепская</t>
  </si>
  <si>
    <t>1а</t>
  </si>
  <si>
    <t>1.3800000000</t>
  </si>
  <si>
    <t>0.9500000000</t>
  </si>
  <si>
    <t>[Уголь бурый]</t>
  </si>
  <si>
    <t>[238]</t>
  </si>
  <si>
    <t>6.0000000000</t>
  </si>
  <si>
    <t>10.09.2019</t>
  </si>
  <si>
    <t>0.8600000000</t>
  </si>
  <si>
    <t>Котельная на ст. Промышленная РСП</t>
  </si>
  <si>
    <t>ул. Зеленая</t>
  </si>
  <si>
    <t>7.2000000000</t>
  </si>
  <si>
    <t>3.4300000000</t>
  </si>
  <si>
    <t>40.0000000000</t>
  </si>
  <si>
    <t>01.09.2010</t>
  </si>
  <si>
    <t>трёхтрубные сети</t>
  </si>
  <si>
    <t>1.2000000000</t>
  </si>
  <si>
    <t>42 АД № 827535,
42 АД № 827536</t>
  </si>
  <si>
    <t>15.08.2014</t>
  </si>
  <si>
    <t>пгт Промышленная, ул. Зеленая, 1</t>
  </si>
  <si>
    <t>Котельная на ст. Артышта ШЧ</t>
  </si>
  <si>
    <t>Прокопьевский муниципальный округ</t>
  </si>
  <si>
    <t>32522000</t>
  </si>
  <si>
    <t>п Артышта</t>
  </si>
  <si>
    <t>32522000139</t>
  </si>
  <si>
    <t>ул. Вокзальная</t>
  </si>
  <si>
    <t>20</t>
  </si>
  <si>
    <t>0.8900000000</t>
  </si>
  <si>
    <t>[219,5]</t>
  </si>
  <si>
    <t>01.01.1987</t>
  </si>
  <si>
    <t>0.8800000000</t>
  </si>
  <si>
    <t>0.2900000000</t>
  </si>
  <si>
    <t>42 АА № 737352</t>
  </si>
  <si>
    <t>25.03.2004</t>
  </si>
  <si>
    <t>п Артышта, ул. Вокзальная, 20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</si>
  <si>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</si>
  <si>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</si>
  <si>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</si>
  <si>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</si>
  <si>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</si>
  <si>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</si>
  <si>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</si>
  <si>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</si>
  <si>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</si>
  <si>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</si>
  <si>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</si>
  <si>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</si>
  <si>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</si>
  <si>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</si>
  <si>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</si>
  <si>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</si>
  <si>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</si>
  <si>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</si>
  <si>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</si>
  <si>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</si>
  <si>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</si>
  <si>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</si>
  <si>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</si>
  <si>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</si>
  <si>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</si>
  <si>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</si>
  <si>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</si>
  <si>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</si>
  <si>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</si>
  <si>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</si>
  <si>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</si>
  <si>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</si>
  <si>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</si>
  <si>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</si>
  <si>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</si>
  <si>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</si>
  <si>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</si>
  <si>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</si>
  <si>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</si>
  <si>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</si>
  <si>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</si>
  <si>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</si>
  <si>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</si>
  <si>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</si>
  <si>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</si>
  <si>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</si>
  <si>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</si>
  <si>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</si>
  <si>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</si>
  <si>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</si>
  <si>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</si>
  <si>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</si>
  <si>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</si>
  <si>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</si>
  <si>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</si>
  <si>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</si>
  <si>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</si>
  <si>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</si>
  <si>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</si>
  <si>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</si>
  <si>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</si>
  <si>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</si>
  <si>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</si>
  <si>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</si>
  <si>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</si>
  <si>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</si>
  <si>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</si>
  <si>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</si>
  <si>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</si>
  <si>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</si>
  <si>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</si>
  <si>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</si>
  <si>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</si>
  <si>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</si>
  <si>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</si>
  <si>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</si>
  <si>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</si>
  <si>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</si>
  <si>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</si>
  <si>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</si>
  <si>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</si>
  <si>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</si>
  <si>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</si>
  <si>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</si>
  <si>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</si>
  <si>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</si>
  <si>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</si>
  <si>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</si>
  <si>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</si>
  <si>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</si>
  <si>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</si>
  <si>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</si>
  <si>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</si>
  <si>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</si>
  <si>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</si>
  <si>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</si>
  <si>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</si>
  <si>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</si>
  <si>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</si>
  <si>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</si>
  <si>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</si>
  <si>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</si>
  <si>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</si>
  <si>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</si>
  <si>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</si>
  <si>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</si>
  <si>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</si>
  <si>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</si>
  <si>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</si>
  <si>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</si>
  <si>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</si>
  <si>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</si>
  <si>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</si>
  <si>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</si>
  <si>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</si>
  <si>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</si>
  <si>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</si>
  <si>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</si>
  <si>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</si>
  <si>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</si>
  <si>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</si>
  <si>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</si>
  <si>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</si>
  <si>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</si>
  <si>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</si>
  <si>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</si>
  <si>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</si>
  <si>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</si>
  <si>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</si>
  <si>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</si>
  <si>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</si>
  <si>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</si>
  <si>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</si>
  <si>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</si>
  <si>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</si>
  <si>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</si>
  <si>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</si>
  <si>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</si>
  <si>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</si>
  <si>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</si>
  <si>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</si>
  <si>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</si>
  <si>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</si>
  <si>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</si>
  <si>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</si>
  <si>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</si>
  <si>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</si>
  <si>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</si>
  <si>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</si>
  <si>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</si>
  <si>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</si>
  <si>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</si>
  <si>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</si>
  <si>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</si>
  <si>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</si>
  <si>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</si>
  <si>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</si>
  <si>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</si>
  <si>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</si>
  <si>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</si>
  <si>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</si>
  <si>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</si>
  <si>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</si>
  <si>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</si>
  <si>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</si>
  <si>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</si>
  <si>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</si>
  <si>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</si>
  <si>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</si>
  <si>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</si>
  <si>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</si>
  <si>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</si>
  <si>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</si>
  <si>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</si>
  <si>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</si>
  <si>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</si>
  <si>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</si>
  <si>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</si>
  <si>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</si>
  <si>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</si>
  <si>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</si>
  <si>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</si>
  <si>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</si>
  <si>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</si>
  <si>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</si>
  <si>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</si>
  <si>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</si>
  <si>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</si>
  <si>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</si>
  <si>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</si>
  <si>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</si>
  <si>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</si>
  <si>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</si>
  <si>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</si>
  <si>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</si>
  <si>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</si>
  <si>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</si>
  <si>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</si>
  <si>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</si>
  <si>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</si>
  <si>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</si>
  <si>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</si>
  <si>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</si>
  <si>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</si>
  <si>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</si>
  <si>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</si>
  <si>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</si>
  <si>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</si>
  <si>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</si>
  <si>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</si>
  <si>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</si>
  <si>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</si>
  <si>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</si>
  <si>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</si>
  <si>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</si>
  <si>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</si>
  <si>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</si>
  <si>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</si>
  <si>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</si>
  <si>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</si>
  <si>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</si>
  <si>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</si>
  <si>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</si>
  <si>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</si>
  <si>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</si>
  <si>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</si>
  <si>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</si>
  <si>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</si>
  <si>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</si>
  <si>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</si>
  <si>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</si>
  <si>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</si>
  <si>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</si>
  <si>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</si>
  <si>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</si>
  <si>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</si>
  <si>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</si>
  <si>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</si>
  <si>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</si>
  <si>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</si>
  <si>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</si>
  <si>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</si>
  <si>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</si>
  <si>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</si>
  <si>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</si>
  <si>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</si>
  <si>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</si>
  <si>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</si>
  <si>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</si>
  <si>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</si>
  <si>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</si>
  <si>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</si>
  <si>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</si>
  <si>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</si>
  <si>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</si>
  <si>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</si>
  <si>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</si>
  <si>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</si>
  <si>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</si>
  <si>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</si>
  <si>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</si>
  <si>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</si>
  <si>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</si>
  <si>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</si>
  <si>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</si>
  <si>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</si>
  <si>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</si>
  <si>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</si>
  <si>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</si>
  <si>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</si>
  <si>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</si>
  <si>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</si>
  <si>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</si>
  <si>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</si>
  <si>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</si>
  <si>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</si>
  <si>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</si>
  <si>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</si>
  <si>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</si>
  <si>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</si>
  <si>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</si>
  <si>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</si>
  <si>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</si>
  <si>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</si>
  <si>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</si>
  <si>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</si>
  <si>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</si>
  <si>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</si>
  <si>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</si>
  <si>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</si>
  <si>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</si>
  <si>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</si>
  <si>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</si>
  <si>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</si>
  <si>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</si>
  <si>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</si>
  <si>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</si>
  <si>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</si>
  <si>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</si>
  <si>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</si>
  <si>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</si>
  <si>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</si>
  <si>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</si>
  <si>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</si>
  <si>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</si>
  <si>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</si>
  <si>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</si>
  <si>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</si>
  <si>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</si>
  <si>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</si>
  <si>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</si>
  <si>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</si>
  <si>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</si>
  <si>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</si>
  <si>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</si>
  <si>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</si>
  <si>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</si>
  <si>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</si>
  <si>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</si>
  <si>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</si>
  <si>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</si>
  <si>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</si>
  <si>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</si>
  <si>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</si>
  <si>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</si>
  <si>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</si>
  <si>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</si>
  <si>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</si>
  <si>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</si>
  <si>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</si>
  <si>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</si>
  <si>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</si>
  <si>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</si>
  <si>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</si>
  <si>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</si>
  <si>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</si>
  <si>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</si>
  <si>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</si>
  <si>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</si>
  <si>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</si>
  <si>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</si>
  <si>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</si>
  <si>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</si>
  <si>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</si>
  <si>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</si>
  <si>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</si>
  <si>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</si>
  <si>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</si>
  <si>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</si>
  <si>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</si>
  <si>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</si>
  <si>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</si>
  <si>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</si>
  <si>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</si>
  <si>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</si>
  <si>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</si>
  <si>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</si>
  <si>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</si>
  <si>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</si>
  <si>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</si>
  <si>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</si>
  <si>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</si>
  <si>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</si>
  <si>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</si>
  <si>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</si>
  <si>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</si>
  <si>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</si>
  <si>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</si>
  <si>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</si>
  <si>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</si>
  <si>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</si>
  <si>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</si>
  <si>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</si>
  <si>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</si>
  <si>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</si>
  <si>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</si>
  <si>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</si>
  <si>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</si>
  <si>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</si>
  <si>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</si>
  <si>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</si>
  <si>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</si>
  <si>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</si>
  <si>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</si>
  <si>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</si>
  <si>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</si>
  <si>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</si>
  <si>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</si>
  <si>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</si>
  <si>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</si>
  <si>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</si>
  <si>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</si>
  <si>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</si>
  <si>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</si>
  <si>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</si>
  <si>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</si>
  <si>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</si>
  <si>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</si>
  <si>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</si>
  <si>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</si>
  <si>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</si>
  <si>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</si>
  <si>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</si>
  <si>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</si>
  <si>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</si>
  <si>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</si>
  <si>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</si>
  <si>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</si>
  <si>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</si>
  <si>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</si>
  <si>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</si>
  <si>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</si>
  <si>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</si>
  <si>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</si>
  <si>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</si>
  <si>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</si>
  <si>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</si>
  <si>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</si>
  <si>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</si>
  <si>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</si>
  <si>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</si>
  <si>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</si>
  <si>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</si>
  <si>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</si>
  <si>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</si>
  <si>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</si>
  <si>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</si>
  <si>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</si>
  <si>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</si>
  <si>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</si>
  <si>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</si>
  <si>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</si>
  <si>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</si>
  <si>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</si>
  <si>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</si>
  <si>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</si>
  <si>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</si>
  <si>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</si>
  <si>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</si>
  <si>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</si>
  <si>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</si>
  <si>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</si>
  <si>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</si>
  <si>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</si>
  <si>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</si>
  <si>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</si>
  <si>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</si>
  <si>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</si>
  <si>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</si>
  <si>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</si>
  <si>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</si>
  <si>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</si>
  <si>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</si>
  <si>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</si>
  <si>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</si>
  <si>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</si>
  <si>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</si>
  <si>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</si>
  <si>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</si>
  <si>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</si>
  <si>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</si>
  <si>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</si>
  <si>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</si>
  <si>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</si>
  <si>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</si>
  <si>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</si>
  <si>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</si>
  <si>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</si>
  <si>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</si>
  <si>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</si>
  <si>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</si>
  <si>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</si>
  <si>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</si>
  <si>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</si>
  <si>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</si>
  <si>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</si>
  <si>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</si>
  <si>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</si>
  <si>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</si>
  <si>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</si>
  <si>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</si>
  <si>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</si>
  <si>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</si>
  <si>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</si>
  <si>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</si>
  <si>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</si>
  <si>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</si>
  <si>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</si>
  <si>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</si>
  <si>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</si>
  <si>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</si>
  <si>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</si>
  <si>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</si>
  <si>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</si>
  <si>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</si>
  <si>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</si>
  <si>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</si>
  <si>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</si>
  <si>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</si>
  <si>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</si>
  <si>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</si>
  <si>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</si>
  <si>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</si>
  <si>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</si>
  <si>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</si>
  <si>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</si>
  <si>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</si>
  <si>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</si>
  <si>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</si>
  <si>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</si>
  <si>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</si>
  <si>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</si>
  <si>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</si>
  <si>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</si>
  <si>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</si>
  <si>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</si>
  <si>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</si>
  <si>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</si>
  <si>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</si>
  <si>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</si>
  <si>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</si>
  <si>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</si>
  <si>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</si>
  <si>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</si>
  <si>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</si>
  <si>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</si>
  <si>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</si>
  <si>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</si>
  <si>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</si>
  <si>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</si>
  <si>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</si>
  <si>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</si>
  <si>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</si>
  <si>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</si>
  <si>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</si>
  <si>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</si>
  <si>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</si>
  <si>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</si>
  <si>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</si>
  <si>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</si>
  <si>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</si>
  <si>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</si>
  <si>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</si>
  <si>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</si>
  <si>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</si>
  <si>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</si>
  <si>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</si>
  <si>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</si>
  <si>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</si>
  <si>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</si>
  <si>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</si>
  <si>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</si>
  <si>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</si>
  <si>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</si>
  <si>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</si>
  <si>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</si>
  <si>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</si>
  <si>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</si>
  <si>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</si>
  <si>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</si>
  <si>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</si>
  <si>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</si>
  <si>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</si>
  <si>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</si>
  <si>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</si>
  <si>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</si>
  <si>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</si>
  <si>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</si>
  <si>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</si>
  <si>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</si>
  <si>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</si>
  <si>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</si>
  <si>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</si>
  <si>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</si>
  <si>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421301001</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</si>
  <si>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</si>
  <si>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</si>
  <si>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</si>
  <si>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</si>
  <si>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</si>
  <si>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</si>
  <si>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</si>
  <si>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</si>
  <si>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</si>
  <si>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</si>
  <si>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</si>
  <si>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</si>
  <si>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</si>
  <si>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</si>
  <si>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</si>
  <si>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</si>
  <si>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</si>
  <si>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</si>
  <si>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</si>
  <si>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</si>
  <si>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</si>
  <si>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</si>
  <si>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</si>
  <si>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</si>
  <si>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</si>
  <si>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</si>
  <si>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</si>
  <si>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</si>
  <si>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</si>
  <si>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</si>
  <si>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</si>
  <si>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</si>
  <si>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</si>
  <si>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</si>
  <si>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(383)-229-23-71/ 2292371</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</si>
  <si>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</si>
  <si>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</si>
  <si>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</si>
  <si>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</si>
  <si>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</si>
  <si>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</si>
  <si>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</si>
  <si>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</si>
  <si>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</si>
  <si>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</si>
  <si>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</si>
  <si>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</si>
  <si>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</si>
  <si>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</si>
  <si>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</si>
  <si>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</si>
  <si>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</si>
  <si>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</si>
  <si>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</si>
  <si>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</si>
  <si>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</si>
  <si>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</si>
  <si>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</si>
  <si>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</si>
  <si>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</si>
  <si>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</si>
  <si>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</si>
  <si>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</si>
  <si>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</si>
  <si>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</si>
  <si>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</si>
  <si>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</si>
  <si>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</si>
  <si>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</si>
  <si>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</si>
  <si>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</si>
  <si>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</si>
  <si>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</si>
  <si>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</si>
  <si>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</si>
  <si>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</si>
  <si>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</si>
  <si>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</si>
  <si>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</si>
  <si>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</si>
  <si>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</si>
  <si>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</si>
  <si>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</si>
  <si>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</si>
  <si>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</si>
  <si>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</si>
  <si>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</si>
  <si>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</si>
  <si>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</si>
  <si>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</si>
  <si>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</si>
  <si>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</si>
  <si>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</si>
  <si>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</si>
  <si>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</si>
  <si>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</si>
  <si>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</si>
  <si>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</si>
  <si>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</si>
  <si>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</si>
  <si>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</si>
  <si>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</si>
  <si>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</si>
  <si>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</si>
  <si>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</si>
  <si>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</si>
  <si>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</si>
  <si>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</si>
  <si>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</si>
  <si>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</si>
  <si>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</si>
  <si>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</si>
  <si>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</si>
  <si>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</si>
  <si>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</si>
  <si>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</si>
  <si>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</si>
  <si>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</si>
  <si>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</si>
  <si>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</si>
  <si>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</si>
  <si>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</si>
  <si>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</si>
  <si>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</si>
  <si>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</si>
  <si>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</si>
  <si>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</si>
  <si>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</si>
  <si>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</si>
  <si>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</si>
  <si>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</si>
  <si>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</si>
  <si>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</si>
  <si>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</si>
  <si>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</si>
  <si>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</si>
  <si>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</si>
  <si>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</si>
  <si>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</si>
  <si>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</si>
  <si>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</si>
  <si>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</si>
  <si>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</si>
  <si>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</si>
  <si>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</si>
  <si>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</si>
  <si>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</si>
  <si>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</si>
  <si>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</si>
  <si>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</si>
  <si>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</si>
  <si>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</si>
  <si>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</si>
  <si>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</si>
  <si>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</si>
  <si>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</si>
  <si>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</si>
  <si>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</si>
  <si>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</si>
  <si>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</si>
  <si>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</si>
  <si>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</si>
  <si>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</si>
  <si>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</si>
  <si>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</si>
  <si>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</si>
  <si>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</si>
  <si>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</si>
  <si>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</si>
  <si>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</si>
  <si>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</si>
  <si>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</si>
  <si>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</si>
  <si>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</si>
  <si>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</si>
  <si>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</si>
  <si>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</si>
  <si>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</si>
  <si>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</si>
  <si>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</si>
  <si>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</si>
  <si>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</si>
  <si>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</si>
  <si>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</si>
  <si>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</si>
  <si>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</si>
  <si>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</si>
  <si>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</si>
  <si>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</si>
  <si>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</si>
  <si>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</si>
  <si>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</si>
  <si>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</si>
  <si>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</si>
  <si>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</si>
  <si>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</si>
  <si>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</si>
  <si>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</si>
  <si>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</si>
  <si>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</si>
  <si>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</si>
  <si>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</si>
  <si>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</si>
  <si>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</si>
  <si>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</si>
  <si>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</si>
  <si>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</si>
  <si>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</si>
  <si>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</si>
  <si>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</si>
  <si>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</si>
  <si>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</si>
  <si>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</si>
  <si>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</si>
  <si>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</si>
  <si>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</si>
  <si>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</si>
  <si>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</si>
  <si>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</si>
  <si>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</si>
  <si>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</si>
  <si>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</si>
  <si>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</si>
  <si>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</si>
  <si>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</si>
  <si>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</si>
  <si>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</si>
  <si>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</si>
  <si>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</si>
  <si>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</si>
  <si>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</si>
  <si>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</si>
  <si>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</si>
  <si>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</si>
  <si>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</si>
  <si>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</si>
  <si>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</si>
  <si>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</si>
  <si>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</si>
  <si>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</si>
  <si>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</si>
  <si>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</si>
  <si>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</si>
  <si>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</si>
  <si>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</si>
  <si>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</si>
  <si>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</si>
  <si>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</si>
  <si>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</si>
  <si>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</si>
  <si>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</si>
  <si>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</si>
  <si>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</si>
  <si>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</si>
  <si>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</si>
  <si>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</si>
  <si>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</si>
  <si>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</si>
  <si>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</si>
  <si>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</si>
  <si>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</si>
  <si>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</si>
  <si>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</si>
  <si>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</si>
  <si>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</si>
  <si>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</si>
  <si>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</si>
  <si>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</si>
  <si>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</si>
  <si>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</si>
  <si>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</si>
  <si>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</si>
  <si>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</si>
  <si>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</si>
  <si>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</si>
  <si>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</si>
  <si>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</si>
  <si>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</si>
  <si>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</si>
  <si>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</si>
  <si>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</si>
  <si>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</si>
  <si>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</si>
  <si>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</si>
  <si>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</si>
  <si>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</si>
  <si>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</si>
  <si>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</si>
  <si>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</si>
  <si>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</si>
  <si>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</si>
  <si>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</si>
  <si>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</si>
  <si>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</si>
  <si>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</si>
  <si>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</si>
  <si>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</si>
  <si>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</si>
  <si>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</si>
  <si>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</si>
  <si>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</si>
  <si>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</si>
  <si>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</si>
  <si>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</si>
  <si>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</si>
  <si>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</si>
  <si>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</si>
  <si>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</si>
  <si>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</si>
  <si>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</si>
  <si>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</si>
  <si>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</si>
  <si>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</si>
  <si>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</si>
  <si>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</si>
  <si>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</si>
  <si>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</si>
  <si>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</si>
  <si>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</si>
  <si>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</si>
  <si>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</si>
  <si>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</si>
  <si>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</si>
  <si>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</si>
  <si>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</si>
  <si>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</si>
  <si>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</si>
  <si>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</si>
  <si>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</si>
  <si>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</si>
  <si>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</si>
  <si>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</si>
  <si>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</si>
  <si>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</si>
  <si>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</si>
  <si>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</si>
  <si>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</si>
  <si>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</si>
  <si>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</si>
  <si>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</si>
  <si>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</si>
  <si>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</si>
  <si>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</si>
  <si>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</si>
  <si>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</si>
  <si>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</si>
  <si>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</si>
  <si>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</si>
  <si>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</si>
  <si>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</si>
  <si>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</si>
  <si>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</si>
  <si>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</si>
  <si>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</si>
  <si>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</si>
  <si>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</si>
  <si>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</si>
  <si>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</si>
  <si>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</si>
  <si>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</si>
  <si>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</si>
  <si>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</si>
  <si>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</si>
  <si>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</si>
  <si>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</si>
  <si>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</si>
  <si>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</si>
  <si>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</si>
  <si>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</si>
  <si>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</si>
  <si>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</si>
  <si>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</si>
  <si>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</si>
  <si>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</si>
  <si>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</si>
  <si>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</si>
  <si>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</si>
  <si>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</si>
  <si>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</si>
  <si>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</si>
  <si>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</si>
  <si>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</si>
  <si>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</si>
  <si>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</si>
  <si>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</si>
  <si>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</si>
  <si>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</si>
  <si>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</si>
  <si>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</si>
  <si>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</si>
  <si>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</si>
  <si>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</si>
  <si>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</si>
  <si>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</si>
  <si>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</si>
  <si>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</si>
  <si>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</si>
  <si>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</si>
  <si>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</si>
  <si>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</si>
  <si>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</si>
  <si>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</si>
  <si>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</si>
  <si>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</si>
  <si>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</si>
  <si>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</si>
  <si>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</si>
  <si>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</si>
  <si>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</si>
  <si>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</si>
  <si>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</si>
  <si>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</si>
  <si>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</si>
  <si>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</si>
  <si>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</si>
  <si>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</si>
  <si>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</si>
  <si>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</si>
  <si>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</si>
  <si>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</si>
  <si>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</si>
  <si>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</si>
  <si>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</si>
  <si>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</si>
  <si>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</si>
  <si>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</si>
  <si>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</si>
  <si>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</si>
  <si>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</si>
  <si>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</si>
  <si>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</si>
  <si>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</si>
  <si>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</si>
  <si>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</si>
  <si>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</si>
  <si>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</si>
  <si>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</si>
  <si>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</si>
  <si>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</si>
  <si>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</si>
  <si>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</si>
  <si>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</si>
  <si>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</si>
  <si>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</si>
  <si>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</si>
  <si>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</si>
  <si>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</si>
  <si>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</si>
  <si>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</si>
  <si>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</si>
  <si>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</si>
  <si>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</si>
  <si>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</si>
  <si>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</si>
  <si>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</si>
  <si>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</si>
  <si>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</si>
  <si>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</si>
  <si>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</si>
  <si>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</si>
  <si>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</si>
  <si>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</si>
  <si>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</si>
  <si>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</si>
  <si>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</si>
  <si>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</si>
  <si>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</si>
  <si>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</si>
  <si>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</si>
  <si>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</si>
  <si>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</si>
  <si>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</si>
  <si>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</si>
  <si>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</si>
  <si>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</si>
  <si>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</si>
  <si>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</si>
  <si>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</si>
  <si>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</si>
  <si>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</si>
  <si>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</si>
  <si>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</si>
  <si>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</si>
  <si>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</si>
  <si>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</si>
  <si>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</si>
  <si>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</si>
  <si>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</si>
  <si>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</si>
  <si>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</si>
  <si>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</si>
  <si>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</si>
  <si>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</si>
  <si>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</si>
  <si>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</si>
  <si>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</si>
  <si>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</si>
  <si>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</si>
  <si>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</si>
  <si>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</si>
  <si>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</si>
  <si>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</si>
  <si>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</si>
  <si>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</si>
  <si>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</si>
  <si>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</si>
  <si>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</si>
  <si>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</si>
  <si>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</si>
  <si>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</si>
  <si>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</si>
  <si>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</si>
  <si>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</si>
  <si>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</si>
  <si>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</si>
  <si>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</si>
  <si>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</si>
  <si>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</si>
  <si>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</si>
  <si>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</si>
  <si>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</si>
  <si>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</si>
  <si>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</si>
  <si>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</si>
  <si>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</si>
  <si>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</si>
  <si>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</si>
  <si>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</si>
  <si>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</si>
  <si>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</si>
  <si>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</si>
  <si>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</si>
  <si>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</si>
  <si>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</si>
  <si>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</si>
  <si>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</si>
  <si>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</si>
  <si>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</si>
  <si>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</si>
  <si>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</si>
  <si>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</si>
  <si>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</si>
  <si>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</si>
  <si>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</si>
  <si>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</si>
  <si>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</si>
  <si>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</si>
  <si>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</si>
  <si>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</si>
  <si>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</si>
  <si>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</si>
  <si>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</si>
  <si>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</si>
  <si>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</si>
  <si>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</si>
  <si>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</si>
  <si>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</si>
  <si>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</si>
  <si>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</si>
  <si>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</si>
  <si>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</si>
  <si>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</si>
  <si>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</si>
  <si>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</si>
  <si>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</si>
  <si>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</si>
  <si>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</si>
  <si>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</si>
  <si>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</si>
  <si>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</si>
  <si>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</si>
  <si>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</si>
  <si>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</si>
  <si>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</si>
  <si>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</si>
  <si>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</si>
  <si>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</si>
  <si>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</si>
  <si>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</si>
  <si>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</si>
  <si>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</si>
  <si>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</si>
  <si>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</si>
  <si>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</si>
  <si>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</si>
  <si>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</si>
  <si>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</si>
  <si>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</si>
  <si>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</si>
  <si>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</si>
  <si>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</si>
  <si>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</si>
  <si>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</si>
  <si>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</si>
  <si>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</si>
  <si>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</si>
  <si>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</si>
  <si>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</si>
  <si>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</si>
  <si>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</si>
  <si>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</si>
  <si>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</si>
  <si>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</si>
  <si>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</si>
  <si>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</si>
  <si>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</si>
  <si>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</si>
  <si>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</si>
  <si>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</si>
  <si>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</si>
  <si>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</si>
  <si>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</si>
  <si>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</si>
  <si>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</si>
  <si>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</si>
  <si>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</si>
  <si>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</si>
  <si>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</si>
  <si>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</si>
  <si>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</si>
  <si>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</si>
  <si>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</si>
  <si>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</si>
  <si>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</si>
  <si>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</si>
  <si>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</si>
  <si>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</si>
  <si>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</si>
  <si>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</si>
  <si>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</si>
  <si>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</si>
  <si>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</si>
  <si>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</si>
  <si>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</si>
  <si>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</si>
  <si>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</si>
  <si>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</si>
  <si>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</si>
  <si>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</si>
  <si>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</si>
  <si>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</si>
  <si>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</si>
  <si>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</si>
  <si>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</si>
  <si>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</si>
  <si>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</si>
  <si>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</si>
  <si>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</si>
  <si>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</si>
  <si>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</si>
  <si>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</si>
  <si>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</si>
  <si>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</si>
  <si>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</si>
  <si>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</si>
  <si>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</si>
  <si>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</si>
  <si>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</si>
  <si>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</si>
  <si>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</si>
  <si>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</si>
  <si>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</si>
  <si>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</si>
  <si>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</si>
  <si>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</si>
  <si>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</si>
  <si>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</si>
  <si>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</si>
  <si>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</si>
  <si>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</si>
  <si>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</si>
  <si>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</si>
  <si>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</si>
  <si>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</si>
  <si>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</si>
  <si>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</si>
  <si>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</si>
  <si>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</si>
  <si>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</si>
  <si>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</si>
  <si>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</si>
  <si>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</si>
  <si>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</si>
  <si>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</si>
  <si>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</si>
  <si>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</si>
  <si>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</si>
  <si>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</si>
  <si>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</si>
  <si>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</si>
  <si>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</si>
  <si>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</si>
  <si>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</si>
  <si>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</si>
  <si>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</si>
  <si>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</si>
  <si>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</si>
  <si>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</si>
  <si>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</si>
  <si>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</si>
  <si>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</si>
  <si>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</si>
  <si>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</si>
  <si>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</si>
  <si>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</si>
  <si>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</si>
  <si>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</si>
  <si>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</si>
  <si>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</si>
  <si>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</si>
  <si>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</si>
  <si>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</si>
  <si>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</si>
  <si>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</si>
  <si>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</si>
  <si>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</si>
  <si>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</si>
  <si>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</si>
  <si>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</si>
  <si>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</si>
  <si>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</si>
  <si>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</si>
  <si>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</si>
  <si>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</si>
  <si>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</si>
  <si>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</si>
  <si>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</si>
  <si>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</si>
  <si>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</si>
  <si>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</si>
  <si>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</si>
  <si>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</si>
  <si>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</si>
  <si>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</si>
  <si>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</si>
  <si>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</si>
  <si>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</si>
  <si>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</si>
  <si>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</si>
  <si>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</si>
  <si>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</si>
  <si>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</si>
  <si>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</si>
  <si>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</si>
  <si>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</si>
  <si>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</si>
  <si>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</si>
  <si>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</si>
  <si>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</si>
  <si>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</si>
  <si>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</si>
  <si>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</si>
  <si>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</si>
  <si>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</si>
  <si>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</si>
  <si>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</si>
  <si>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</si>
  <si>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</si>
  <si>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</si>
  <si>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</si>
  <si>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</si>
  <si>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</si>
  <si>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</si>
  <si>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</si>
  <si>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</si>
  <si>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</si>
  <si>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</si>
  <si>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</si>
  <si>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</si>
  <si>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</si>
  <si>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</si>
  <si>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</si>
  <si>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</si>
  <si>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</si>
  <si>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</si>
  <si>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</si>
  <si>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</si>
  <si>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</si>
  <si>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</si>
  <si>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</si>
  <si>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</si>
  <si>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</si>
  <si>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</si>
  <si>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</si>
  <si>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</si>
  <si>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</si>
  <si>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</si>
  <si>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</si>
  <si>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</si>
  <si>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</si>
  <si>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</si>
  <si>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</si>
  <si>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</si>
  <si>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</si>
  <si>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</si>
  <si>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</si>
  <si>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</si>
  <si>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</si>
  <si>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</si>
  <si>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</si>
  <si>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</si>
  <si>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</si>
  <si>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</si>
  <si>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</si>
  <si>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</si>
  <si>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</si>
  <si>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</si>
  <si>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</si>
  <si>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</si>
  <si>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</si>
  <si>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</si>
  <si>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</si>
  <si>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</si>
  <si>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</si>
  <si>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</si>
  <si>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</si>
  <si>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</si>
  <si>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</si>
  <si>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</si>
  <si>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</si>
  <si>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</si>
  <si>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</si>
  <si>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</si>
  <si>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</si>
  <si>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</si>
  <si>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</si>
  <si>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</si>
  <si>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</si>
  <si>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</si>
  <si>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</si>
  <si>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</si>
  <si>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</si>
  <si>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</si>
  <si>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</si>
  <si>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</si>
  <si>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</si>
  <si>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</si>
  <si>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</si>
  <si>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</si>
  <si>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</si>
  <si>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</si>
  <si>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</si>
  <si>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</si>
  <si>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</si>
  <si>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</si>
  <si>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</si>
  <si>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</si>
  <si>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</si>
  <si>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</si>
  <si>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</si>
  <si>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</si>
  <si>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</si>
  <si>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</si>
  <si>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</si>
  <si>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</si>
  <si>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</si>
  <si>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</si>
  <si>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</si>
  <si>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</si>
  <si>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</si>
  <si>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</si>
  <si>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</si>
  <si>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</si>
  <si>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</si>
  <si>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</si>
  <si>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</si>
  <si>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</si>
  <si>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</si>
  <si>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</si>
  <si>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</si>
  <si>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</si>
  <si>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</si>
  <si>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</si>
  <si>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</si>
  <si>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</si>
  <si>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</si>
  <si>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</si>
  <si>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</si>
  <si>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</si>
  <si>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</si>
  <si>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</si>
  <si>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</si>
  <si>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</si>
  <si>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</si>
  <si>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</si>
  <si>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</si>
  <si>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</si>
  <si>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</si>
  <si>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</si>
  <si>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</si>
  <si>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</si>
  <si>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</si>
  <si>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</si>
  <si>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</si>
  <si>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</si>
  <si>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</si>
  <si>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</si>
  <si>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</si>
  <si>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</si>
  <si>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</si>
  <si>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</si>
  <si>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</si>
  <si>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</si>
  <si>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</si>
  <si>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</si>
  <si>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</si>
  <si>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</si>
  <si>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</si>
  <si>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</si>
  <si>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</si>
  <si>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</si>
  <si>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</si>
  <si>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</si>
  <si>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</si>
  <si>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</si>
  <si>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</si>
  <si>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</si>
  <si>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</si>
  <si>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</si>
  <si>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</si>
  <si>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</si>
  <si>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</si>
  <si>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</si>
  <si>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</si>
  <si>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</si>
  <si>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</si>
  <si>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</si>
  <si>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</si>
  <si>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</si>
  <si>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</si>
  <si>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</si>
  <si>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</si>
  <si>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</si>
  <si>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</si>
  <si>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</si>
  <si>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</si>
  <si>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</si>
  <si>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</si>
  <si>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</si>
  <si>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</si>
  <si>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</si>
  <si>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</si>
  <si>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</si>
  <si>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</si>
  <si>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</si>
  <si>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</si>
  <si>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</si>
  <si>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</si>
  <si>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</si>
  <si>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</si>
  <si>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</si>
  <si>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</si>
  <si>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</si>
  <si>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</si>
  <si>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</si>
  <si>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</si>
  <si>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</si>
  <si>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</si>
  <si>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</si>
  <si>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</si>
  <si>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</si>
  <si>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</si>
  <si>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</si>
  <si>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</si>
  <si>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</si>
  <si>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</si>
  <si>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</si>
  <si>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</si>
  <si>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</si>
  <si>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</si>
  <si>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</si>
  <si>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</si>
  <si>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</si>
  <si>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</si>
  <si>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</si>
  <si>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</si>
  <si>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</si>
  <si>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</si>
  <si>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</si>
  <si>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</si>
  <si>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</si>
  <si>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</si>
  <si>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</si>
  <si>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</si>
  <si>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</si>
  <si>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</si>
  <si>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</si>
  <si>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</si>
  <si>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</si>
  <si>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</si>
  <si>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</si>
  <si>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</si>
  <si>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</si>
  <si>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</si>
  <si>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</si>
  <si>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</si>
  <si>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</si>
  <si>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</si>
  <si>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</si>
  <si>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</si>
  <si>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</si>
  <si>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</si>
  <si>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</si>
  <si>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</si>
  <si>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</si>
  <si>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</si>
  <si>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</si>
  <si>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</si>
  <si>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</si>
  <si>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</si>
  <si>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</si>
  <si>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</si>
  <si>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</si>
  <si>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</si>
  <si>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</si>
  <si>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</si>
  <si>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</si>
  <si>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</si>
  <si>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</si>
  <si>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</si>
  <si>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</si>
  <si>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</si>
  <si>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</si>
  <si>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</si>
  <si>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</si>
  <si>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</si>
  <si>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</si>
  <si>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</si>
  <si>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</si>
  <si>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</si>
  <si>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</si>
  <si>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</si>
  <si>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</si>
  <si>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</si>
  <si>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</si>
  <si>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</si>
  <si>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</si>
  <si>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</si>
  <si>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</si>
  <si>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</si>
  <si>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</si>
  <si>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</si>
  <si>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</si>
  <si>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</si>
  <si>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</si>
  <si>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</si>
  <si>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</si>
  <si>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</si>
  <si>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</si>
  <si>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</si>
  <si>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</si>
  <si>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</si>
  <si>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</si>
  <si>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</si>
  <si>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</si>
  <si>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</si>
  <si>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</si>
  <si>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</si>
  <si>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</si>
  <si>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</si>
  <si>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</si>
  <si>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</si>
  <si>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</si>
  <si>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</si>
  <si>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</si>
  <si>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</si>
  <si>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</si>
  <si>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</si>
  <si>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</si>
  <si>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</si>
  <si>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</si>
  <si>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</si>
  <si>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</si>
  <si>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</si>
  <si>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</si>
  <si>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</si>
  <si>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</si>
  <si>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</si>
  <si>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</si>
  <si>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</si>
  <si>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</si>
  <si>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</si>
  <si>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</si>
  <si>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</si>
  <si>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</si>
  <si>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</si>
  <si>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</si>
  <si>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</si>
  <si>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</si>
  <si>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</si>
  <si>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</si>
  <si>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</si>
  <si>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</si>
  <si>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</si>
  <si>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</si>
  <si>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</si>
  <si>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</si>
  <si>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</si>
  <si>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</si>
  <si>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</si>
  <si>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</si>
  <si>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</si>
  <si>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</si>
  <si>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</si>
  <si>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</si>
  <si>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</si>
  <si>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</si>
  <si>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</si>
  <si>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</si>
  <si>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</si>
  <si>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</si>
  <si>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</si>
  <si>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</si>
  <si>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</si>
  <si>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</si>
  <si>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</si>
  <si>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</si>
  <si>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</si>
  <si>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</si>
  <si>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</si>
  <si>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</si>
  <si>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</si>
  <si>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</si>
  <si>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</si>
  <si>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</si>
  <si>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</si>
  <si>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</si>
  <si>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</si>
  <si>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</si>
  <si>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</si>
  <si>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</si>
  <si>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</si>
  <si>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</si>
  <si>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</si>
  <si>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</si>
  <si>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</si>
  <si>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</si>
  <si>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</si>
  <si>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</si>
  <si>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</si>
  <si>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</si>
  <si>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</si>
  <si>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</si>
  <si>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</si>
  <si>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</si>
  <si>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</si>
  <si>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</si>
  <si>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</si>
  <si>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</si>
  <si>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</si>
  <si>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</si>
  <si>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</si>
  <si>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</si>
  <si>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</si>
  <si>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</si>
  <si>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</si>
  <si>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</si>
  <si>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</si>
  <si>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</si>
  <si>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</si>
  <si>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</si>
  <si>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</si>
  <si>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</si>
  <si>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</si>
  <si>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</si>
  <si>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</si>
  <si>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</si>
  <si>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</si>
  <si>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</si>
  <si>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</si>
  <si>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</si>
  <si>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</si>
  <si>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</si>
  <si>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</si>
  <si>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</si>
  <si>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</si>
  <si>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</si>
  <si>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</si>
  <si>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</si>
  <si>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</si>
  <si>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</si>
  <si>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</si>
  <si>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</si>
  <si>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</si>
  <si>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</si>
  <si>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</si>
  <si>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</si>
  <si>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</si>
  <si>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</si>
  <si>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</si>
  <si>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</si>
  <si>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</si>
  <si>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</si>
  <si>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</si>
  <si>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</si>
  <si>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</si>
  <si>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</si>
  <si>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</si>
  <si>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</si>
  <si>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</si>
  <si>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</si>
  <si>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</si>
  <si>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</si>
  <si>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</si>
  <si>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</si>
  <si>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</si>
  <si>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</si>
  <si>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</si>
  <si>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</si>
  <si>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</si>
  <si>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</si>
  <si>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</si>
  <si>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</si>
  <si>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</si>
  <si>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</si>
  <si>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</si>
  <si>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</si>
  <si>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</si>
  <si>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</si>
  <si>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</si>
  <si>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</si>
  <si>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</si>
  <si>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</si>
  <si>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</si>
  <si>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</si>
  <si>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</si>
  <si>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</si>
  <si>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</si>
  <si>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</si>
  <si>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</si>
  <si>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</si>
  <si>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</si>
  <si>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</si>
  <si>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</si>
  <si>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</si>
  <si>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</si>
  <si>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</si>
  <si>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</si>
  <si>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</si>
  <si>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</si>
  <si>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</si>
  <si>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</si>
  <si>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</si>
  <si>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</si>
  <si>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</si>
  <si>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</si>
  <si>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</si>
  <si>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</si>
  <si>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</si>
  <si>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</si>
  <si>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</si>
  <si>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</si>
  <si>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</si>
  <si>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</si>
  <si>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</si>
  <si>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</si>
  <si>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</si>
  <si>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</si>
  <si>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</si>
  <si>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</si>
  <si>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</si>
  <si>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</si>
  <si>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</si>
  <si>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</si>
  <si>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</si>
  <si>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</si>
  <si>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</si>
  <si>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</si>
  <si>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</si>
  <si>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</si>
  <si>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</si>
  <si>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</si>
  <si>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</si>
  <si>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</si>
  <si>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</si>
  <si>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</si>
  <si>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</si>
  <si>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</si>
  <si>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</si>
  <si>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</si>
  <si>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</si>
  <si>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</si>
  <si>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</si>
  <si>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</si>
  <si>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</si>
  <si>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</si>
  <si>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</si>
  <si>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</si>
  <si>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</si>
  <si>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</si>
  <si>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</si>
  <si>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</si>
  <si>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</si>
  <si>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</si>
  <si>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</si>
  <si>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</si>
  <si>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</si>
  <si>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</si>
  <si>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</si>
  <si>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</si>
  <si>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</si>
  <si>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</si>
  <si>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</si>
  <si>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</si>
  <si>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</si>
  <si>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</si>
  <si>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</si>
  <si>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</si>
  <si>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</si>
  <si>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</si>
  <si>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</si>
  <si>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</si>
  <si>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</si>
  <si>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</si>
  <si>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</si>
  <si>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</si>
  <si>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</si>
  <si>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</si>
  <si>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</si>
  <si>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</si>
  <si>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</si>
  <si>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</si>
  <si>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</si>
  <si>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</si>
  <si>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</si>
  <si>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</si>
  <si>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</si>
  <si>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</si>
  <si>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</si>
  <si>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</si>
  <si>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</si>
  <si>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</si>
  <si>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</si>
  <si>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</si>
  <si>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</si>
  <si>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</si>
  <si>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</si>
  <si>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</si>
  <si>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</si>
  <si>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</si>
  <si>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</si>
  <si>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</si>
  <si>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</si>
  <si>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</si>
  <si>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</si>
  <si>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</si>
  <si>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</si>
  <si>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</si>
  <si>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</si>
  <si>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г Томск (ОКТМО: 69701000001) - СЦТ</t>
  </si>
  <si>
    <t>отопление</t>
  </si>
  <si>
    <t>Тариф: Носитель - горячая вода (К); Носитель - горячая вода (Т) :: Котельная (СЦТ): -</t>
  </si>
  <si>
    <t>Тариф: Носитель - горячая вода (К); Носитель - отборный пар 2,5 - 7,0 кг/кв.см (К); Носитель - горячая вода (Т); Носитель - отборный пар 2,5 - 7,0 кг/кв.см (Т) :: Котельная (СЦТ): -</t>
  </si>
  <si>
    <t>Тариф: Носитель - горячая вода (Т); Носитель - отборный пар 2,5 - 7,0 кг/кв.см (Т) :: Котельная (СЦТ): -</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</si>
  <si>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</si>
  <si>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Носитель - отборный пар 2,5 - 7,0 кг/кв.см (Т); Носитель - горячая вода (Т); Носитель - отборный пар 2,5 - 7,0 кг/кв.см (Т)Котельная (СЦТ): ТЧр 13 на ст. Топки</t>
  </si>
  <si>
    <t>Тариф: Носитель - горячая вода (Т) :: Топливо: Уголь :: Вид деятельности: Производство некомбинированная выработка; Передача; Сбыт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</si>
</sst>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8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2" borderId="10" xfId="125" applyFont="1" applyFill="1" applyBorder="1" applyNumberFormat="1">
      <alignment horizontal="center" vertical="center" wrapText="1"/>
    </xf>
    <xf numFmtId="2" fontId="19" fillId="34" borderId="10" xfId="126" applyFont="1" applyFill="1" applyBorder="1" applyNumberFormat="1">
      <alignment horizontal="right"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6" xfId="0"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31" fillId="0" borderId="0" xfId="0" applyFont="1"/>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0" fillId="0" borderId="0" xfId="0" applyFont="1"/>
    <xf numFmtId="0" fontId="89" fillId="0" borderId="0" xfId="0" applyFont="1">
      <alignment vertical="center" wrapText="1"/>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89" fillId="0" borderId="0" xfId="0" applyFont="1">
      <alignment horizontal="center" vertical="center" wrapText="1"/>
    </xf>
    <xf numFmtId="0" fontId="81" fillId="36" borderId="0" xfId="0" applyFont="1" applyFill="1">
      <alignment vertical="center"/>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0" fontId="89" fillId="0" borderId="0" xfId="0" applyFont="1">
      <alignment vertical="center"/>
    </xf>
    <xf numFmtId="0" fontId="0" fillId="0" borderId="0" xfId="0" applyFont="1"/>
    <xf numFmtId="0" fontId="0" fillId="0" borderId="0" xfId="0" applyFont="1"/>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right" vertical="center" wrapText="1"/>
      <protection locked="0"/>
    </xf>
    <xf numFmtId="0" fontId="0" fillId="0" borderId="0" xfId="0" applyFont="1"/>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20" fillId="0" borderId="30" xfId="0" applyFont="1" applyBorder="1"/>
    <xf numFmtId="0" fontId="31" fillId="0" borderId="0" xfId="0" applyFont="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4"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0" fillId="0" borderId="0" xfId="0" applyFont="1"/>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12">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prokopmo.ru/upload/iblock/18d/dpwms3pdf3eeslcf72zfqbwvp0x13rnr/%D0%BD%D0%BE%D0%B2%D0%BE%D0%B5%20%D0%9F%D0%BE%D1%81%D1%82%D0%B0%D0%BD%D0%BE%D0%B2%D0%BB%D0%B5%D0%BD%D0%B8%D0%B5%20%D0%BE%D1%82%2023.06.202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81DDD1-4829-0821-92F8-669FC3EDD1A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BFA38-DEF8-DFE8-363A-D8B25D14C5D8}" mc:Ignorable="x14ac xr xr2 xr3">
  <sheetPr>
    <tabColor theme="6" tint="0.4"/>
    <outlinePr summaryRight="0" summaryBelow="0"/>
    <pageSetUpPr fitToPage="1"/>
  </sheetPr>
  <dimension ref="A1:BF238"/>
  <sheetViews>
    <sheetView showGridLines="0" workbookViewId="0">
      <pane xSplit="30" ySplit="27" topLeftCell="AI209" activePane="bottomRight" state="frozen"/>
      <selection pane="bottomLeft" activeCell="A28" sqref="A28"/>
      <selection pane="topRight" activeCell="AE1" sqref="AE1"/>
      <selection pane="bottomRight" activeCell="AI217" sqref="AI217:AW217"/>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1.253906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OR(T27:T232)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376</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377</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430</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431</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432</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586</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390</v>
      </c>
      <c r="AC25" s="1473" t="s">
        <v>433</v>
      </c>
      <c r="AD25" s="1465" t="s">
        <v>434</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587</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407</v>
      </c>
      <c r="AF26" s="1353" t="s">
        <v>588</v>
      </c>
      <c r="AG26" s="167" t="s">
        <v>589</v>
      </c>
      <c r="AH26" s="167" t="s">
        <v>407</v>
      </c>
      <c r="AI26" s="1354" t="s">
        <v>408</v>
      </c>
      <c r="AJ26" s="1354" t="s">
        <v>408</v>
      </c>
      <c r="AK26" s="1354" t="s">
        <v>408</v>
      </c>
      <c r="AL26" s="1354" t="s">
        <v>408</v>
      </c>
      <c r="AM26" s="1354" t="s">
        <v>408</v>
      </c>
      <c r="AN26" s="1354" t="s">
        <v>408</v>
      </c>
      <c r="AO26" s="1354" t="s">
        <v>408</v>
      </c>
      <c r="AP26" s="1354" t="s">
        <v>408</v>
      </c>
      <c r="AQ26" s="1354" t="s">
        <v>408</v>
      </c>
      <c r="AR26" s="1354" t="s">
        <v>408</v>
      </c>
      <c r="AS26" s="410" t="s">
        <v>407</v>
      </c>
      <c r="AT26" s="410" t="s">
        <v>407</v>
      </c>
      <c r="AU26" s="410" t="s">
        <v>407</v>
      </c>
      <c r="AV26" s="410" t="s">
        <v>407</v>
      </c>
      <c r="AW26" s="410" t="s">
        <v>407</v>
      </c>
      <c r="AX26" s="410" t="s">
        <v>407</v>
      </c>
      <c r="AY26" s="410" t="s">
        <v>407</v>
      </c>
      <c r="AZ26" s="410" t="s">
        <v>407</v>
      </c>
      <c r="BA26" s="410" t="s">
        <v>407</v>
      </c>
      <c r="BB26" s="410" t="s">
        <v>407</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сведения'!$AL$169:$AL$218,MATCH($F28,'Общие сведения'!$Z$169:$Z$218,0))</f>
        <v>0</v>
      </c>
      <c r="H28" s="210" cm="1" t="str">
        <f t="array" ref="H28:H28">INDEX('Общие сведения'!$AK$169:$AK$218,MATCH($F28,'Общие сведения'!$Z$169:$Z$218,0))</f>
        <v>0</v>
      </c>
      <c r="T28" s="805">
        <f>AND(X28&gt;0,G28&lt;&gt;"передача тепловой энергии")</f>
        <v>0</v>
      </c>
      <c r="V28" s="172" t="s">
        <v>309</v>
      </c>
      <c r="X28" s="172">
        <v>0</v>
      </c>
      <c r="AB28" s="463" cm="1" t="str">
        <f t="array" ref="AB28:AB28">INDEX('Общие сведения'!$AG$169:$AG$218,MATCH($F28,'Общие сведения'!$Z$169:$Z$218,0))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335</v>
      </c>
      <c r="AC29" s="160" t="s">
        <v>590</v>
      </c>
      <c r="AD29" s="166" t="s">
        <v>591</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3"/>
      <c r="BF29" s="1195" t="s">
        <v>592</v>
      </c>
    </row>
    <row customHeight="1" ht="16.672500000000003" hidden="1">
      <c r="E30" s="794">
        <v>17.1</v>
      </c>
      <c r="F30" s="919" cm="1" t="str">
        <f t="array" ref="F30:F30">OFFSET(G30,-1,-1)</f>
        <v>0</v>
      </c>
      <c r="T30" s="805" cm="1" t="str">
        <f t="array" ref="T30:T30">T29</f>
        <v>false</v>
      </c>
      <c r="AB30" s="154" t="str">
        <f>AB29&amp;".1"</f>
        <v>1.1</v>
      </c>
      <c r="AC30" s="161" t="s">
        <v>593</v>
      </c>
      <c r="AD30" s="166" t="s">
        <v>591</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3"/>
      <c r="BF30" s="1195" t="s">
        <v>594</v>
      </c>
    </row>
    <row customHeight="1" ht="16.672500000000003" hidden="1">
      <c r="E31" s="794">
        <v>17.1</v>
      </c>
      <c r="F31" s="919" cm="1" t="str">
        <f t="array" ref="F31:F31">OFFSET(G31,-1,-1)</f>
        <v>0</v>
      </c>
      <c r="T31" s="805" cm="1" t="str">
        <f t="array" ref="T31:T31">T30</f>
        <v>false</v>
      </c>
      <c r="AB31" s="154" t="str">
        <f>AB30&amp;".1"</f>
        <v>1.1.1</v>
      </c>
      <c r="AC31" s="559" t="s">
        <v>595</v>
      </c>
      <c r="AD31" s="166" t="s">
        <v>591</v>
      </c>
      <c r="AE31" s="74"/>
      <c r="AF31" s="74"/>
      <c r="AG31" s="74"/>
      <c r="AH31" s="74"/>
      <c r="AI31" s="296"/>
      <c r="AJ31" s="296"/>
      <c r="AK31" s="296"/>
      <c r="AL31" s="296"/>
      <c r="AM31" s="296"/>
      <c r="AN31" s="74"/>
      <c r="AO31" s="74"/>
      <c r="AP31" s="74"/>
      <c r="AQ31" s="74"/>
      <c r="AR31" s="74"/>
      <c r="AS31" s="296"/>
      <c r="AT31" s="296"/>
      <c r="AU31" s="296"/>
      <c r="AV31" s="296"/>
      <c r="AW31" s="296"/>
      <c r="AX31" s="74"/>
      <c r="AY31" s="74"/>
      <c r="AZ31" s="74"/>
      <c r="BA31" s="74"/>
      <c r="BB31" s="74"/>
      <c r="BC31" s="73"/>
      <c r="BF31" s="1195" t="s">
        <v>596</v>
      </c>
    </row>
    <row customHeight="1" ht="16.672500000000003" hidden="1">
      <c r="E32" s="794">
        <v>17.1</v>
      </c>
      <c r="F32" s="919" cm="1" t="str">
        <f t="array" ref="F32:F32">OFFSET(G32,-1,-1)</f>
        <v>0</v>
      </c>
      <c r="T32" s="805" cm="1" t="str">
        <f t="array" ref="T32:T32">T31</f>
        <v>false</v>
      </c>
      <c r="AB32" s="154" t="str">
        <f>AB30&amp;".2"</f>
        <v>1.1.2</v>
      </c>
      <c r="AC32" s="559" t="s">
        <v>597</v>
      </c>
      <c r="AD32" s="166" t="s">
        <v>591</v>
      </c>
      <c r="AE32" s="74"/>
      <c r="AF32" s="74"/>
      <c r="AG32" s="74"/>
      <c r="AH32" s="74"/>
      <c r="AI32" s="296"/>
      <c r="AJ32" s="296"/>
      <c r="AK32" s="296"/>
      <c r="AL32" s="296"/>
      <c r="AM32" s="296"/>
      <c r="AN32" s="74"/>
      <c r="AO32" s="74"/>
      <c r="AP32" s="74"/>
      <c r="AQ32" s="74"/>
      <c r="AR32" s="74"/>
      <c r="AS32" s="296"/>
      <c r="AT32" s="296"/>
      <c r="AU32" s="296"/>
      <c r="AV32" s="296"/>
      <c r="AW32" s="296"/>
      <c r="AX32" s="74"/>
      <c r="AY32" s="74"/>
      <c r="AZ32" s="74"/>
      <c r="BA32" s="74"/>
      <c r="BB32" s="74"/>
      <c r="BC32" s="73"/>
      <c r="BF32" s="1195" t="s">
        <v>598</v>
      </c>
    </row>
    <row customHeight="1" ht="16.672500000000003" hidden="1">
      <c r="E33" s="794">
        <v>17.1</v>
      </c>
      <c r="F33" s="919" cm="1" t="str">
        <f t="array" ref="F33:F33">OFFSET(G33,-1,-1)</f>
        <v>0</v>
      </c>
      <c r="T33" s="805" cm="1" t="str">
        <f t="array" ref="T33:T33">T32</f>
        <v>false</v>
      </c>
      <c r="AB33" s="154" t="str">
        <f>AB29&amp;".2"</f>
        <v>1.2</v>
      </c>
      <c r="AC33" s="161" t="s">
        <v>599</v>
      </c>
      <c r="AD33" s="166" t="s">
        <v>591</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3"/>
      <c r="BF33" s="1195" t="s">
        <v>600</v>
      </c>
    </row>
    <row customHeight="1" ht="16.672500000000003" hidden="1">
      <c r="E34" s="794">
        <v>17.1</v>
      </c>
      <c r="F34" s="919" cm="1" t="str">
        <f t="array" ref="F34:F34">OFFSET(G34,-1,-1)</f>
        <v>0</v>
      </c>
      <c r="T34" s="805" cm="1" t="str">
        <f t="array" ref="T34:T34">T33</f>
        <v>false</v>
      </c>
      <c r="AB34" s="154" t="str">
        <f>AB33&amp;".1"</f>
        <v>1.2.1</v>
      </c>
      <c r="AC34" s="559" t="s">
        <v>595</v>
      </c>
      <c r="AD34" s="166" t="s">
        <v>591</v>
      </c>
      <c r="AE34" s="74"/>
      <c r="AF34" s="74"/>
      <c r="AG34" s="74"/>
      <c r="AH34" s="74"/>
      <c r="AI34" s="296"/>
      <c r="AJ34" s="296"/>
      <c r="AK34" s="296"/>
      <c r="AL34" s="296"/>
      <c r="AM34" s="296"/>
      <c r="AN34" s="74"/>
      <c r="AO34" s="74"/>
      <c r="AP34" s="74"/>
      <c r="AQ34" s="74"/>
      <c r="AR34" s="74"/>
      <c r="AS34" s="296"/>
      <c r="AT34" s="296"/>
      <c r="AU34" s="296"/>
      <c r="AV34" s="296"/>
      <c r="AW34" s="296"/>
      <c r="AX34" s="74"/>
      <c r="AY34" s="74"/>
      <c r="AZ34" s="74"/>
      <c r="BA34" s="74"/>
      <c r="BB34" s="74"/>
      <c r="BC34" s="73"/>
      <c r="BF34" s="1195" t="s">
        <v>601</v>
      </c>
    </row>
    <row customHeight="1" ht="16.672500000000003" hidden="1">
      <c r="E35" s="794">
        <v>17.1</v>
      </c>
      <c r="F35" s="919" cm="1" t="str">
        <f t="array" ref="F35:F35">OFFSET(G35,-1,-1)</f>
        <v>0</v>
      </c>
      <c r="T35" s="805" cm="1" t="str">
        <f t="array" ref="T35:T35">T34</f>
        <v>false</v>
      </c>
      <c r="AB35" s="154" t="str">
        <f>AB33&amp;".2"</f>
        <v>1.2.2</v>
      </c>
      <c r="AC35" s="559" t="s">
        <v>597</v>
      </c>
      <c r="AD35" s="166" t="s">
        <v>591</v>
      </c>
      <c r="AE35" s="74"/>
      <c r="AF35" s="74"/>
      <c r="AG35" s="74"/>
      <c r="AH35" s="74"/>
      <c r="AI35" s="296"/>
      <c r="AJ35" s="296"/>
      <c r="AK35" s="296"/>
      <c r="AL35" s="296"/>
      <c r="AM35" s="296"/>
      <c r="AN35" s="74"/>
      <c r="AO35" s="74"/>
      <c r="AP35" s="74"/>
      <c r="AQ35" s="74"/>
      <c r="AR35" s="74"/>
      <c r="AS35" s="296"/>
      <c r="AT35" s="296"/>
      <c r="AU35" s="296"/>
      <c r="AV35" s="296"/>
      <c r="AW35" s="296"/>
      <c r="AX35" s="74"/>
      <c r="AY35" s="74"/>
      <c r="AZ35" s="74"/>
      <c r="BA35" s="74"/>
      <c r="BB35" s="74"/>
      <c r="BC35" s="73"/>
      <c r="BF35" s="1195" t="s">
        <v>602</v>
      </c>
    </row>
    <row customHeight="1" ht="16.672500000000003" hidden="1">
      <c r="E36" s="794">
        <v>17.1</v>
      </c>
      <c r="F36" s="919" cm="1" t="str">
        <f t="array" ref="F36:F36">OFFSET(G36,-1,-1)</f>
        <v>0</v>
      </c>
      <c r="T36" s="805" cm="1" t="str">
        <f t="array" ref="T36:T36">T35</f>
        <v>false</v>
      </c>
      <c r="AB36" s="154" t="str">
        <f>AB29&amp;".3"</f>
        <v>1.3</v>
      </c>
      <c r="AC36" s="161" t="s">
        <v>603</v>
      </c>
      <c r="AD36" s="166" t="s">
        <v>591</v>
      </c>
      <c r="AE36" s="74"/>
      <c r="AF36" s="74"/>
      <c r="AG36" s="74"/>
      <c r="AH36" s="74"/>
      <c r="AI36" s="296"/>
      <c r="AJ36" s="296"/>
      <c r="AK36" s="296"/>
      <c r="AL36" s="296"/>
      <c r="AM36" s="296"/>
      <c r="AN36" s="74"/>
      <c r="AO36" s="74"/>
      <c r="AP36" s="74"/>
      <c r="AQ36" s="74"/>
      <c r="AR36" s="74"/>
      <c r="AS36" s="296"/>
      <c r="AT36" s="296"/>
      <c r="AU36" s="296"/>
      <c r="AV36" s="296"/>
      <c r="AW36" s="296"/>
      <c r="AX36" s="74"/>
      <c r="AY36" s="74"/>
      <c r="AZ36" s="74"/>
      <c r="BA36" s="74"/>
      <c r="BB36" s="74"/>
      <c r="BC36" s="73"/>
      <c r="BF36" s="1195" t="s">
        <v>604</v>
      </c>
    </row>
    <row customHeight="1" ht="16.672500000000003" hidden="1">
      <c r="E37" s="794">
        <v>17.1</v>
      </c>
      <c r="F37" s="919" cm="1" t="str">
        <f t="array" ref="F37:F37">OFFSET(G37,-1,-1)</f>
        <v>0</v>
      </c>
      <c r="T37" s="805" cm="1" t="str">
        <f t="array" ref="T37:T37">T36</f>
        <v>false</v>
      </c>
      <c r="AB37" s="170" t="s">
        <v>343</v>
      </c>
      <c r="AC37" s="845" t="s">
        <v>605</v>
      </c>
      <c r="AD37" s="166" t="s">
        <v>591</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3"/>
      <c r="BF37" s="1195" t="s">
        <v>606</v>
      </c>
    </row>
    <row customHeight="1" ht="16.672500000000003" hidden="1">
      <c r="E38" s="794">
        <v>17.1</v>
      </c>
      <c r="F38" s="919" cm="1" t="str">
        <f t="array" ref="F38:F38">OFFSET(G38,-1,-1)</f>
        <v>0</v>
      </c>
      <c r="T38" s="805" cm="1" t="str">
        <f t="array" ref="T38:T38">T37</f>
        <v>false</v>
      </c>
      <c r="AB38" s="154" t="str">
        <f>AB37&amp;".1"</f>
        <v>2.1</v>
      </c>
      <c r="AC38" s="161" t="s">
        <v>593</v>
      </c>
      <c r="AD38" s="166" t="s">
        <v>591</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3"/>
      <c r="BF38" s="1195" t="s">
        <v>607</v>
      </c>
    </row>
    <row customHeight="1" ht="16.672500000000003" hidden="1">
      <c r="E39" s="794">
        <v>17.1</v>
      </c>
      <c r="F39" s="919" cm="1" t="str">
        <f t="array" ref="F39:F39">OFFSET(G39,-1,-1)</f>
        <v>0</v>
      </c>
      <c r="T39" s="805" cm="1" t="str">
        <f t="array" ref="T39:T39">T38</f>
        <v>false</v>
      </c>
      <c r="AB39" s="154" t="str">
        <f>AB38&amp;".1"</f>
        <v>2.1.1</v>
      </c>
      <c r="AC39" s="559" t="s">
        <v>595</v>
      </c>
      <c r="AD39" s="166" t="s">
        <v>591</v>
      </c>
      <c r="AE39" s="74"/>
      <c r="AF39" s="74"/>
      <c r="AG39" s="74"/>
      <c r="AH39" s="74"/>
      <c r="AI39" s="296"/>
      <c r="AJ39" s="296"/>
      <c r="AK39" s="296"/>
      <c r="AL39" s="296"/>
      <c r="AM39" s="296"/>
      <c r="AN39" s="74"/>
      <c r="AO39" s="74"/>
      <c r="AP39" s="74"/>
      <c r="AQ39" s="74"/>
      <c r="AR39" s="74"/>
      <c r="AS39" s="296"/>
      <c r="AT39" s="296"/>
      <c r="AU39" s="296"/>
      <c r="AV39" s="296"/>
      <c r="AW39" s="296"/>
      <c r="AX39" s="74"/>
      <c r="AY39" s="74"/>
      <c r="AZ39" s="74"/>
      <c r="BA39" s="74"/>
      <c r="BB39" s="74"/>
      <c r="BC39" s="73"/>
      <c r="BF39" s="1195" t="s">
        <v>608</v>
      </c>
    </row>
    <row customHeight="1" ht="16.672500000000003" hidden="1">
      <c r="E40" s="794">
        <v>17.1</v>
      </c>
      <c r="F40" s="919" cm="1" t="str">
        <f t="array" ref="F40:F40">OFFSET(G40,-1,-1)</f>
        <v>0</v>
      </c>
      <c r="T40" s="805" cm="1" t="str">
        <f t="array" ref="T40:T40">T39</f>
        <v>false</v>
      </c>
      <c r="AB40" s="154" t="str">
        <f>AB38&amp;".2"</f>
        <v>2.1.2</v>
      </c>
      <c r="AC40" s="559" t="s">
        <v>597</v>
      </c>
      <c r="AD40" s="166" t="s">
        <v>591</v>
      </c>
      <c r="AE40" s="74"/>
      <c r="AF40" s="74"/>
      <c r="AG40" s="74"/>
      <c r="AH40" s="74"/>
      <c r="AI40" s="296"/>
      <c r="AJ40" s="296"/>
      <c r="AK40" s="296"/>
      <c r="AL40" s="296"/>
      <c r="AM40" s="296"/>
      <c r="AN40" s="74"/>
      <c r="AO40" s="74"/>
      <c r="AP40" s="74"/>
      <c r="AQ40" s="74"/>
      <c r="AR40" s="74"/>
      <c r="AS40" s="296"/>
      <c r="AT40" s="296"/>
      <c r="AU40" s="296"/>
      <c r="AV40" s="296"/>
      <c r="AW40" s="296"/>
      <c r="AX40" s="74"/>
      <c r="AY40" s="74"/>
      <c r="AZ40" s="74"/>
      <c r="BA40" s="74"/>
      <c r="BB40" s="74"/>
      <c r="BC40" s="73"/>
      <c r="BF40" s="1195" t="s">
        <v>609</v>
      </c>
    </row>
    <row customHeight="1" ht="16.672500000000003" hidden="1">
      <c r="E41" s="794">
        <v>17.1</v>
      </c>
      <c r="F41" s="919" cm="1" t="str">
        <f t="array" ref="F41:F41">OFFSET(G41,-1,-1)</f>
        <v>0</v>
      </c>
      <c r="T41" s="805" cm="1" t="str">
        <f t="array" ref="T41:T41">T40</f>
        <v>false</v>
      </c>
      <c r="AB41" s="154" t="str">
        <f>AB38&amp;".2"</f>
        <v>2.1.2</v>
      </c>
      <c r="AC41" s="161" t="s">
        <v>599</v>
      </c>
      <c r="AD41" s="166" t="s">
        <v>591</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3"/>
      <c r="BF41" s="1195" t="s">
        <v>610</v>
      </c>
    </row>
    <row customHeight="1" ht="16.672500000000003" hidden="1">
      <c r="E42" s="794">
        <v>17.1</v>
      </c>
      <c r="F42" s="919" cm="1" t="str">
        <f t="array" ref="F42:F42">OFFSET(G42,-1,-1)</f>
        <v>0</v>
      </c>
      <c r="T42" s="805" cm="1" t="str">
        <f t="array" ref="T42:T42">T41</f>
        <v>false</v>
      </c>
      <c r="AB42" s="154" t="str">
        <f>AB41&amp;".1"</f>
        <v>2.1.2.1</v>
      </c>
      <c r="AC42" s="559" t="s">
        <v>595</v>
      </c>
      <c r="AD42" s="166" t="s">
        <v>591</v>
      </c>
      <c r="AE42" s="74"/>
      <c r="AF42" s="74"/>
      <c r="AG42" s="74"/>
      <c r="AH42" s="74"/>
      <c r="AI42" s="296"/>
      <c r="AJ42" s="296"/>
      <c r="AK42" s="296"/>
      <c r="AL42" s="296"/>
      <c r="AM42" s="296"/>
      <c r="AN42" s="74"/>
      <c r="AO42" s="74"/>
      <c r="AP42" s="74"/>
      <c r="AQ42" s="74"/>
      <c r="AR42" s="74"/>
      <c r="AS42" s="296"/>
      <c r="AT42" s="296"/>
      <c r="AU42" s="296"/>
      <c r="AV42" s="296"/>
      <c r="AW42" s="296"/>
      <c r="AX42" s="74"/>
      <c r="AY42" s="74"/>
      <c r="AZ42" s="74"/>
      <c r="BA42" s="74"/>
      <c r="BB42" s="74"/>
      <c r="BC42" s="73"/>
      <c r="BF42" s="1195" t="s">
        <v>611</v>
      </c>
    </row>
    <row customHeight="1" ht="16.672500000000003" hidden="1">
      <c r="E43" s="794">
        <v>17.1</v>
      </c>
      <c r="F43" s="919" cm="1" t="str">
        <f t="array" ref="F43:F43">OFFSET(G43,-1,-1)</f>
        <v>0</v>
      </c>
      <c r="T43" s="805" cm="1" t="str">
        <f t="array" ref="T43:T43">T42</f>
        <v>false</v>
      </c>
      <c r="AB43" s="154" t="str">
        <f>AB41&amp;".2"</f>
        <v>2.1.2.2</v>
      </c>
      <c r="AC43" s="559" t="s">
        <v>597</v>
      </c>
      <c r="AD43" s="848" t="s">
        <v>591</v>
      </c>
      <c r="AE43" s="75"/>
      <c r="AF43" s="74"/>
      <c r="AG43" s="75"/>
      <c r="AH43" s="74"/>
      <c r="AI43" s="592"/>
      <c r="AJ43" s="296"/>
      <c r="AK43" s="592"/>
      <c r="AL43" s="296"/>
      <c r="AM43" s="592"/>
      <c r="AN43" s="74"/>
      <c r="AO43" s="75"/>
      <c r="AP43" s="74"/>
      <c r="AQ43" s="75"/>
      <c r="AR43" s="74"/>
      <c r="AS43" s="592"/>
      <c r="AT43" s="296"/>
      <c r="AU43" s="592"/>
      <c r="AV43" s="296"/>
      <c r="AW43" s="592"/>
      <c r="AX43" s="74"/>
      <c r="AY43" s="75"/>
      <c r="AZ43" s="74"/>
      <c r="BA43" s="75"/>
      <c r="BB43" s="74"/>
      <c r="BC43" s="73"/>
      <c r="BF43" s="1195" t="s">
        <v>612</v>
      </c>
    </row>
    <row customHeight="1" ht="16.672500000000003" hidden="1">
      <c r="E44" s="794">
        <v>17.1</v>
      </c>
      <c r="F44" s="919" cm="1" t="str">
        <f t="array" ref="F44:F44">OFFSET(G44,-1,-1)</f>
        <v>0</v>
      </c>
      <c r="T44" s="805" cm="1" t="str">
        <f t="array" ref="T44:T44">T43</f>
        <v>false</v>
      </c>
      <c r="AB44" s="154" t="str">
        <f>AB37&amp;".3"</f>
        <v>2.3</v>
      </c>
      <c r="AC44" s="721" t="s">
        <v>603</v>
      </c>
      <c r="AD44" s="166" t="s">
        <v>591</v>
      </c>
      <c r="AE44" s="74"/>
      <c r="AF44" s="76"/>
      <c r="AG44" s="74"/>
      <c r="AH44" s="76"/>
      <c r="AI44" s="296"/>
      <c r="AJ44" s="851"/>
      <c r="AK44" s="296"/>
      <c r="AL44" s="851"/>
      <c r="AM44" s="296"/>
      <c r="AN44" s="76"/>
      <c r="AO44" s="74"/>
      <c r="AP44" s="76"/>
      <c r="AQ44" s="74"/>
      <c r="AR44" s="76"/>
      <c r="AS44" s="296"/>
      <c r="AT44" s="851"/>
      <c r="AU44" s="296"/>
      <c r="AV44" s="851"/>
      <c r="AW44" s="296"/>
      <c r="AX44" s="76"/>
      <c r="AY44" s="74"/>
      <c r="AZ44" s="76"/>
      <c r="BA44" s="74"/>
      <c r="BB44" s="76"/>
      <c r="BC44" s="73"/>
      <c r="BF44" s="1195" t="s">
        <v>613</v>
      </c>
    </row>
    <row customHeight="1" ht="29.25" hidden="1">
      <c r="E45" s="794">
        <v>30</v>
      </c>
      <c r="F45" s="919" cm="1" t="str">
        <f t="array" ref="F45:F45">OFFSET(G45,-1,-1)</f>
        <v>0</v>
      </c>
      <c r="T45" s="805" cm="1" t="str">
        <f t="array" ref="T45:T45">T44</f>
        <v>false</v>
      </c>
      <c r="AB45" s="322" t="s">
        <v>614</v>
      </c>
      <c r="AC45" s="160" t="s">
        <v>615</v>
      </c>
      <c r="AD45" s="166" t="s">
        <v>591</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3"/>
      <c r="BF45" s="1195" t="s">
        <v>616</v>
      </c>
    </row>
    <row customHeight="1" ht="16.672500000000003" hidden="1">
      <c r="E46" s="794">
        <v>17.1</v>
      </c>
      <c r="F46" s="919" cm="1" t="str">
        <f t="array" ref="F46:F46">OFFSET(G46,-1,-1)</f>
        <v>0</v>
      </c>
      <c r="T46" s="805" cm="1" t="str">
        <f t="array" ref="T46:T46">T45</f>
        <v>false</v>
      </c>
      <c r="AB46" s="844" t="str">
        <f>AB45&amp;".1"</f>
        <v>3.1</v>
      </c>
      <c r="AC46" s="721" t="s">
        <v>593</v>
      </c>
      <c r="AD46" s="166" t="s">
        <v>591</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3"/>
      <c r="BF46" s="1195" t="s">
        <v>617</v>
      </c>
    </row>
    <row customHeight="1" ht="16.672500000000003" hidden="1">
      <c r="E47" s="794">
        <v>17.1</v>
      </c>
      <c r="F47" s="919" cm="1" t="str">
        <f t="array" ref="F47:F47">OFFSET(G47,-1,-1)</f>
        <v>0</v>
      </c>
      <c r="T47" s="805" cm="1" t="str">
        <f t="array" ref="T47:T47">T46</f>
        <v>false</v>
      </c>
      <c r="AB47" s="844" t="str">
        <f>AB46&amp;".1"</f>
        <v>3.1.1</v>
      </c>
      <c r="AC47" s="719" t="s">
        <v>595</v>
      </c>
      <c r="AD47" s="166" t="s">
        <v>591</v>
      </c>
      <c r="AE47" s="74">
        <f>AE31-AE39</f>
        <v>0</v>
      </c>
      <c r="AF47" s="74">
        <f>AF31-AF39</f>
        <v>0</v>
      </c>
      <c r="AG47" s="74">
        <f>AG31-AG39</f>
        <v>0</v>
      </c>
      <c r="AH47" s="74">
        <f>AH31-AH39</f>
        <v>0</v>
      </c>
      <c r="AI47" s="296">
        <f>AI31-AI39</f>
        <v>0</v>
      </c>
      <c r="AJ47" s="296">
        <f>AJ31-AJ39</f>
        <v>0</v>
      </c>
      <c r="AK47" s="296">
        <f>AK31-AK39</f>
        <v>0</v>
      </c>
      <c r="AL47" s="296">
        <f>AL31-AL39</f>
        <v>0</v>
      </c>
      <c r="AM47" s="296">
        <f>AM31-AM39</f>
        <v>0</v>
      </c>
      <c r="AN47" s="74">
        <f>AN31-AN39</f>
        <v>0</v>
      </c>
      <c r="AO47" s="74">
        <f>AO31-AO39</f>
        <v>0</v>
      </c>
      <c r="AP47" s="74">
        <f>AP31-AP39</f>
        <v>0</v>
      </c>
      <c r="AQ47" s="74">
        <f>AQ31-AQ39</f>
        <v>0</v>
      </c>
      <c r="AR47" s="74">
        <f>AR31-AR39</f>
        <v>0</v>
      </c>
      <c r="AS47" s="296">
        <f>AS31-AS39</f>
        <v>0</v>
      </c>
      <c r="AT47" s="296">
        <f>AT31-AT39</f>
        <v>0</v>
      </c>
      <c r="AU47" s="296">
        <f>AU31-AU39</f>
        <v>0</v>
      </c>
      <c r="AV47" s="296">
        <f>AV31-AV39</f>
        <v>0</v>
      </c>
      <c r="AW47" s="296">
        <f>AW31-AW39</f>
        <v>0</v>
      </c>
      <c r="AX47" s="74">
        <f>AX31-AX39</f>
        <v>0</v>
      </c>
      <c r="AY47" s="74">
        <f>AY31-AY39</f>
        <v>0</v>
      </c>
      <c r="AZ47" s="74">
        <f>AZ31-AZ39</f>
        <v>0</v>
      </c>
      <c r="BA47" s="74">
        <f>BA31-BA39</f>
        <v>0</v>
      </c>
      <c r="BB47" s="74">
        <f>BB31-BB39</f>
        <v>0</v>
      </c>
      <c r="BC47" s="73"/>
      <c r="BF47" s="1195" t="s">
        <v>618</v>
      </c>
    </row>
    <row customHeight="1" ht="16.672500000000003" hidden="1">
      <c r="E48" s="794">
        <v>17.1</v>
      </c>
      <c r="F48" s="919" cm="1" t="str">
        <f t="array" ref="F48:F48">OFFSET(G48,-1,-1)</f>
        <v>0</v>
      </c>
      <c r="T48" s="805" cm="1" t="str">
        <f t="array" ref="T48:T48">T47</f>
        <v>false</v>
      </c>
      <c r="AB48" s="844" t="str">
        <f>AB46&amp;".2"</f>
        <v>3.1.2</v>
      </c>
      <c r="AC48" s="719" t="s">
        <v>597</v>
      </c>
      <c r="AD48" s="166" t="s">
        <v>591</v>
      </c>
      <c r="AE48" s="74">
        <f>AE32-AE40</f>
        <v>0</v>
      </c>
      <c r="AF48" s="74">
        <f>AF32-AF40</f>
        <v>0</v>
      </c>
      <c r="AG48" s="74">
        <f>AG32-AG40</f>
        <v>0</v>
      </c>
      <c r="AH48" s="74">
        <f>AH32-AH40</f>
        <v>0</v>
      </c>
      <c r="AI48" s="296">
        <f>AI32-AI40</f>
        <v>0</v>
      </c>
      <c r="AJ48" s="296">
        <f>AJ32-AJ40</f>
        <v>0</v>
      </c>
      <c r="AK48" s="296">
        <f>AK32-AK40</f>
        <v>0</v>
      </c>
      <c r="AL48" s="296">
        <f>AL32-AL40</f>
        <v>0</v>
      </c>
      <c r="AM48" s="296">
        <f>AM32-AM40</f>
        <v>0</v>
      </c>
      <c r="AN48" s="74">
        <f>AN32-AN40</f>
        <v>0</v>
      </c>
      <c r="AO48" s="74">
        <f>AO32-AO40</f>
        <v>0</v>
      </c>
      <c r="AP48" s="74">
        <f>AP32-AP40</f>
        <v>0</v>
      </c>
      <c r="AQ48" s="74">
        <f>AQ32-AQ40</f>
        <v>0</v>
      </c>
      <c r="AR48" s="74">
        <f>AR32-AR40</f>
        <v>0</v>
      </c>
      <c r="AS48" s="296">
        <f>AS32-AS40</f>
        <v>0</v>
      </c>
      <c r="AT48" s="296">
        <f>AT32-AT40</f>
        <v>0</v>
      </c>
      <c r="AU48" s="296">
        <f>AU32-AU40</f>
        <v>0</v>
      </c>
      <c r="AV48" s="296">
        <f>AV32-AV40</f>
        <v>0</v>
      </c>
      <c r="AW48" s="296">
        <f>AW32-AW40</f>
        <v>0</v>
      </c>
      <c r="AX48" s="74">
        <f>AX32-AX40</f>
        <v>0</v>
      </c>
      <c r="AY48" s="74">
        <f>AY32-AY40</f>
        <v>0</v>
      </c>
      <c r="AZ48" s="74">
        <f>AZ32-AZ40</f>
        <v>0</v>
      </c>
      <c r="BA48" s="74">
        <f>BA32-BA40</f>
        <v>0</v>
      </c>
      <c r="BB48" s="74">
        <f>BB32-BB40</f>
        <v>0</v>
      </c>
      <c r="BC48" s="73"/>
      <c r="BF48" s="1195" t="s">
        <v>619</v>
      </c>
    </row>
    <row customHeight="1" ht="16.672500000000003" hidden="1">
      <c r="E49" s="794">
        <v>17.1</v>
      </c>
      <c r="F49" s="919" cm="1" t="str">
        <f t="array" ref="F49:F49">OFFSET(G49,-1,-1)</f>
        <v>0</v>
      </c>
      <c r="T49" s="805" cm="1" t="str">
        <f t="array" ref="T49:T49">T48</f>
        <v>false</v>
      </c>
      <c r="AB49" s="844" t="str">
        <f>AB45&amp;".2"</f>
        <v>3.2</v>
      </c>
      <c r="AC49" s="721" t="s">
        <v>599</v>
      </c>
      <c r="AD49" s="166" t="s">
        <v>591</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3"/>
      <c r="BF49" s="1195" t="s">
        <v>620</v>
      </c>
    </row>
    <row customHeight="1" ht="16.672500000000003" hidden="1">
      <c r="E50" s="794">
        <v>17.1</v>
      </c>
      <c r="F50" s="919" cm="1" t="str">
        <f t="array" ref="F50:F50">OFFSET(G50,-1,-1)</f>
        <v>0</v>
      </c>
      <c r="T50" s="805" cm="1" t="str">
        <f t="array" ref="T50:T50">T49</f>
        <v>false</v>
      </c>
      <c r="AB50" s="844" t="str">
        <f>AB49&amp;".1"</f>
        <v>3.2.1</v>
      </c>
      <c r="AC50" s="719" t="s">
        <v>595</v>
      </c>
      <c r="AD50" s="166" t="s">
        <v>591</v>
      </c>
      <c r="AE50" s="74">
        <f>AE34-AE42</f>
        <v>0</v>
      </c>
      <c r="AF50" s="74">
        <f>AF34-AF42</f>
        <v>0</v>
      </c>
      <c r="AG50" s="74">
        <f>AG34-AG42</f>
        <v>0</v>
      </c>
      <c r="AH50" s="74">
        <f>AH34-AH42</f>
        <v>0</v>
      </c>
      <c r="AI50" s="296">
        <f>AI34-AI42</f>
        <v>0</v>
      </c>
      <c r="AJ50" s="296">
        <f>AJ34-AJ42</f>
        <v>0</v>
      </c>
      <c r="AK50" s="296">
        <f>AK34-AK42</f>
        <v>0</v>
      </c>
      <c r="AL50" s="296">
        <f>AL34-AL42</f>
        <v>0</v>
      </c>
      <c r="AM50" s="296">
        <f>AM34-AM42</f>
        <v>0</v>
      </c>
      <c r="AN50" s="74">
        <f>AN34-AN42</f>
        <v>0</v>
      </c>
      <c r="AO50" s="74">
        <f>AO34-AO42</f>
        <v>0</v>
      </c>
      <c r="AP50" s="74">
        <f>AP34-AP42</f>
        <v>0</v>
      </c>
      <c r="AQ50" s="74">
        <f>AQ34-AQ42</f>
        <v>0</v>
      </c>
      <c r="AR50" s="74">
        <f>AR34-AR42</f>
        <v>0</v>
      </c>
      <c r="AS50" s="296">
        <f>AS34-AS42</f>
        <v>0</v>
      </c>
      <c r="AT50" s="296">
        <f>AT34-AT42</f>
        <v>0</v>
      </c>
      <c r="AU50" s="296">
        <f>AU34-AU42</f>
        <v>0</v>
      </c>
      <c r="AV50" s="296">
        <f>AV34-AV42</f>
        <v>0</v>
      </c>
      <c r="AW50" s="296">
        <f>AW34-AW42</f>
        <v>0</v>
      </c>
      <c r="AX50" s="74">
        <f>AX34-AX42</f>
        <v>0</v>
      </c>
      <c r="AY50" s="74">
        <f>AY34-AY42</f>
        <v>0</v>
      </c>
      <c r="AZ50" s="74">
        <f>AZ34-AZ42</f>
        <v>0</v>
      </c>
      <c r="BA50" s="74">
        <f>BA34-BA42</f>
        <v>0</v>
      </c>
      <c r="BB50" s="74">
        <f>BB34-BB42</f>
        <v>0</v>
      </c>
      <c r="BC50" s="73"/>
      <c r="BF50" s="1195" t="s">
        <v>621</v>
      </c>
    </row>
    <row customHeight="1" ht="16.672500000000003" hidden="1">
      <c r="E51" s="794">
        <v>17.1</v>
      </c>
      <c r="F51" s="919" cm="1" t="str">
        <f t="array" ref="F51:F51">OFFSET(G51,-1,-1)</f>
        <v>0</v>
      </c>
      <c r="T51" s="805" cm="1" t="str">
        <f t="array" ref="T51:T51">T50</f>
        <v>false</v>
      </c>
      <c r="AB51" s="844" t="str">
        <f>AB49&amp;".2"</f>
        <v>3.2.2</v>
      </c>
      <c r="AC51" s="559" t="s">
        <v>597</v>
      </c>
      <c r="AD51" s="850" t="s">
        <v>591</v>
      </c>
      <c r="AE51" s="74">
        <f>AE35-AE43</f>
        <v>0</v>
      </c>
      <c r="AF51" s="74">
        <f>AF35-AF43</f>
        <v>0</v>
      </c>
      <c r="AG51" s="74">
        <f>AG35-AG43</f>
        <v>0</v>
      </c>
      <c r="AH51" s="74">
        <f>AH35-AH43</f>
        <v>0</v>
      </c>
      <c r="AI51" s="296">
        <f>AI35-AI43</f>
        <v>0</v>
      </c>
      <c r="AJ51" s="296">
        <f>AJ35-AJ43</f>
        <v>0</v>
      </c>
      <c r="AK51" s="296">
        <f>AK35-AK43</f>
        <v>0</v>
      </c>
      <c r="AL51" s="296">
        <f>AL35-AL43</f>
        <v>0</v>
      </c>
      <c r="AM51" s="296">
        <f>AM35-AM43</f>
        <v>0</v>
      </c>
      <c r="AN51" s="74">
        <f>AN35-AN43</f>
        <v>0</v>
      </c>
      <c r="AO51" s="74">
        <f>AO35-AO43</f>
        <v>0</v>
      </c>
      <c r="AP51" s="74">
        <f>AP35-AP43</f>
        <v>0</v>
      </c>
      <c r="AQ51" s="74">
        <f>AQ35-AQ43</f>
        <v>0</v>
      </c>
      <c r="AR51" s="74">
        <f>AR35-AR43</f>
        <v>0</v>
      </c>
      <c r="AS51" s="296">
        <f>AS35-AS43</f>
        <v>0</v>
      </c>
      <c r="AT51" s="296">
        <f>AT35-AT43</f>
        <v>0</v>
      </c>
      <c r="AU51" s="296">
        <f>AU35-AU43</f>
        <v>0</v>
      </c>
      <c r="AV51" s="296">
        <f>AV35-AV43</f>
        <v>0</v>
      </c>
      <c r="AW51" s="296">
        <f>AW35-AW43</f>
        <v>0</v>
      </c>
      <c r="AX51" s="74">
        <f>AX35-AX43</f>
        <v>0</v>
      </c>
      <c r="AY51" s="74">
        <f>AY35-AY43</f>
        <v>0</v>
      </c>
      <c r="AZ51" s="74">
        <f>AZ35-AZ43</f>
        <v>0</v>
      </c>
      <c r="BA51" s="74">
        <f>BA35-BA43</f>
        <v>0</v>
      </c>
      <c r="BB51" s="74">
        <f>BB35-BB43</f>
        <v>0</v>
      </c>
      <c r="BC51" s="73"/>
      <c r="BF51" s="1195" t="s">
        <v>622</v>
      </c>
    </row>
    <row customHeight="1" ht="16.672500000000003" hidden="1">
      <c r="E52" s="794">
        <v>17.1</v>
      </c>
      <c r="F52" s="919" cm="1" t="str">
        <f t="array" ref="F52:F52">OFFSET(G52,-1,-1)</f>
        <v>0</v>
      </c>
      <c r="T52" s="805" cm="1" t="str">
        <f t="array" ref="T52:T52">T51</f>
        <v>false</v>
      </c>
      <c r="AB52" s="844" t="str">
        <f>AB45&amp;".3"</f>
        <v>3.3</v>
      </c>
      <c r="AC52" s="556" t="s">
        <v>603</v>
      </c>
      <c r="AD52" s="167" t="s">
        <v>591</v>
      </c>
      <c r="AE52" s="74"/>
      <c r="AF52" s="74"/>
      <c r="AG52" s="74"/>
      <c r="AH52" s="74"/>
      <c r="AI52" s="296"/>
      <c r="AJ52" s="296"/>
      <c r="AK52" s="296"/>
      <c r="AL52" s="296"/>
      <c r="AM52" s="296"/>
      <c r="AN52" s="74"/>
      <c r="AO52" s="74"/>
      <c r="AP52" s="74"/>
      <c r="AQ52" s="74"/>
      <c r="AR52" s="74"/>
      <c r="AS52" s="296"/>
      <c r="AT52" s="296"/>
      <c r="AU52" s="296"/>
      <c r="AV52" s="296"/>
      <c r="AW52" s="296"/>
      <c r="AX52" s="74"/>
      <c r="AY52" s="74"/>
      <c r="AZ52" s="74"/>
      <c r="BA52" s="74"/>
      <c r="BB52" s="74"/>
      <c r="BC52" s="73"/>
      <c r="BF52" s="1195" t="s">
        <v>623</v>
      </c>
    </row>
    <row customHeight="1" ht="16.672500000000003" hidden="1">
      <c r="E53" s="794">
        <v>17.1</v>
      </c>
      <c r="F53" s="919" cm="1" t="str">
        <f t="array" ref="F53:F53">OFFSET(G53,-1,-1)</f>
        <v>0</v>
      </c>
      <c r="T53" s="805" cm="1" t="str">
        <f t="array" ref="T53:T53">T52</f>
        <v>false</v>
      </c>
      <c r="AB53" s="565" t="s">
        <v>624</v>
      </c>
      <c r="AC53" s="566" t="s">
        <v>625</v>
      </c>
      <c r="AD53" s="167" t="s">
        <v>591</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3"/>
      <c r="BF53" s="1195" t="s">
        <v>626</v>
      </c>
    </row>
    <row customHeight="1" ht="16.672500000000003" hidden="1">
      <c r="E54" s="794">
        <v>17.1</v>
      </c>
      <c r="F54" s="919" cm="1" t="str">
        <f t="array" ref="F54:F54">OFFSET(G54,-1,-1)</f>
        <v>0</v>
      </c>
      <c r="T54" s="805" cm="1" t="str">
        <f t="array" ref="T54:T54">T53</f>
        <v>false</v>
      </c>
      <c r="AB54" s="844" t="str">
        <f>AB53&amp;".1"</f>
        <v>4.1</v>
      </c>
      <c r="AC54" s="556" t="s">
        <v>595</v>
      </c>
      <c r="AD54" s="167" t="s">
        <v>591</v>
      </c>
      <c r="AE54" s="77"/>
      <c r="AF54" s="77"/>
      <c r="AG54" s="77"/>
      <c r="AH54" s="77"/>
      <c r="AI54" s="482"/>
      <c r="AJ54" s="482"/>
      <c r="AK54" s="482"/>
      <c r="AL54" s="482"/>
      <c r="AM54" s="482"/>
      <c r="AN54" s="77"/>
      <c r="AO54" s="77"/>
      <c r="AP54" s="77"/>
      <c r="AQ54" s="77"/>
      <c r="AR54" s="77"/>
      <c r="AS54" s="482"/>
      <c r="AT54" s="482"/>
      <c r="AU54" s="482"/>
      <c r="AV54" s="482"/>
      <c r="AW54" s="482"/>
      <c r="AX54" s="77"/>
      <c r="AY54" s="77"/>
      <c r="AZ54" s="77"/>
      <c r="BA54" s="77"/>
      <c r="BB54" s="77"/>
      <c r="BC54" s="73"/>
      <c r="BF54" s="1195" t="s">
        <v>627</v>
      </c>
    </row>
    <row customHeight="1" ht="16.672500000000003" hidden="1">
      <c r="E55" s="794">
        <v>17.1</v>
      </c>
      <c r="F55" s="919" cm="1" t="str">
        <f t="array" ref="F55:F55">OFFSET(G55,-1,-1)</f>
        <v>0</v>
      </c>
      <c r="T55" s="805" cm="1" t="str">
        <f t="array" ref="T55:T55">T54</f>
        <v>false</v>
      </c>
      <c r="AB55" s="844" t="str">
        <f>AB53&amp;".2"</f>
        <v>4.2</v>
      </c>
      <c r="AC55" s="556" t="s">
        <v>597</v>
      </c>
      <c r="AD55" s="167" t="s">
        <v>591</v>
      </c>
      <c r="AE55" s="78"/>
      <c r="AF55" s="78"/>
      <c r="AG55" s="78"/>
      <c r="AH55" s="78"/>
      <c r="AI55" s="563"/>
      <c r="AJ55" s="563"/>
      <c r="AK55" s="563"/>
      <c r="AL55" s="563"/>
      <c r="AM55" s="563"/>
      <c r="AN55" s="78"/>
      <c r="AO55" s="78"/>
      <c r="AP55" s="78"/>
      <c r="AQ55" s="78"/>
      <c r="AR55" s="78"/>
      <c r="AS55" s="563"/>
      <c r="AT55" s="563"/>
      <c r="AU55" s="563"/>
      <c r="AV55" s="563"/>
      <c r="AW55" s="563"/>
      <c r="AX55" s="78"/>
      <c r="AY55" s="78"/>
      <c r="AZ55" s="78"/>
      <c r="BA55" s="78"/>
      <c r="BB55" s="78"/>
      <c r="BC55" s="68"/>
      <c r="BF55" s="1195" t="s">
        <v>628</v>
      </c>
    </row>
    <row customHeight="1" ht="16.672500000000003" hidden="1">
      <c r="E56" s="794">
        <v>17.1</v>
      </c>
      <c r="F56" s="919" cm="1" t="str">
        <f t="array" ref="F56:F56">OFFSET(G56,-1,-1)</f>
        <v>0</v>
      </c>
      <c r="T56" s="805" cm="1" t="str">
        <f t="array" ref="T56:T56">T55</f>
        <v>false</v>
      </c>
      <c r="AB56" s="853" t="s">
        <v>629</v>
      </c>
      <c r="AC56" s="524" t="s">
        <v>630</v>
      </c>
      <c r="AD56" s="410" t="s">
        <v>591</v>
      </c>
      <c r="AE56" s="74"/>
      <c r="AF56" s="74"/>
      <c r="AG56" s="74"/>
      <c r="AH56" s="74"/>
      <c r="AI56" s="296"/>
      <c r="AJ56" s="296"/>
      <c r="AK56" s="296"/>
      <c r="AL56" s="296"/>
      <c r="AM56" s="296"/>
      <c r="AN56" s="74"/>
      <c r="AO56" s="74"/>
      <c r="AP56" s="74"/>
      <c r="AQ56" s="74"/>
      <c r="AR56" s="74"/>
      <c r="AS56" s="296"/>
      <c r="AT56" s="296"/>
      <c r="AU56" s="296"/>
      <c r="AV56" s="296"/>
      <c r="AW56" s="296"/>
      <c r="AX56" s="74"/>
      <c r="AY56" s="74"/>
      <c r="AZ56" s="74"/>
      <c r="BA56" s="74"/>
      <c r="BB56" s="74"/>
      <c r="BC56" s="79"/>
      <c r="BF56" s="1195" t="s">
        <v>631</v>
      </c>
    </row>
    <row customHeight="1" ht="16.672500000000003" hidden="1">
      <c r="E57" s="794">
        <v>17.1</v>
      </c>
      <c r="F57" s="919" cm="1" t="str">
        <f t="array" ref="F57:F57">OFFSET(G57,-1,-1)</f>
        <v>0</v>
      </c>
      <c r="T57" s="805" cm="1" t="str">
        <f t="array" ref="T57:T57">T56</f>
        <v>false</v>
      </c>
      <c r="AB57" s="854" t="s">
        <v>632</v>
      </c>
      <c r="AC57" s="478" t="s">
        <v>633</v>
      </c>
      <c r="AD57" s="410" t="s">
        <v>591</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9"/>
      <c r="BF57" s="1195" t="s">
        <v>634</v>
      </c>
    </row>
    <row customHeight="1" ht="16.672500000000003" hidden="1">
      <c r="E58" s="794">
        <v>17.1</v>
      </c>
      <c r="F58" s="919" cm="1" t="str">
        <f t="array" ref="F58:F58">OFFSET(G58,-1,-1)</f>
        <v>0</v>
      </c>
      <c r="T58" s="805" cm="1" t="str">
        <f t="array" ref="T58:T58">T57</f>
        <v>false</v>
      </c>
      <c r="AB58" s="844" t="str">
        <f>AB57&amp;".1"</f>
        <v>6.1</v>
      </c>
      <c r="AC58" s="556" t="s">
        <v>595</v>
      </c>
      <c r="AD58" s="410" t="s">
        <v>591</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9"/>
      <c r="BF58" s="1195" t="s">
        <v>635</v>
      </c>
    </row>
    <row customHeight="1" ht="16.672500000000003" hidden="1">
      <c r="E59" s="794">
        <v>17.1</v>
      </c>
      <c r="F59" s="919" cm="1" t="str">
        <f t="array" ref="F59:F59">OFFSET(G59,-1,-1)</f>
        <v>0</v>
      </c>
      <c r="T59" s="805" cm="1" t="str">
        <f t="array" ref="T59:T59">T58</f>
        <v>false</v>
      </c>
      <c r="AB59" s="844" t="str">
        <f>AB58&amp;".1"</f>
        <v>6.1.1</v>
      </c>
      <c r="AC59" s="681" t="s">
        <v>636</v>
      </c>
      <c r="AD59" s="167" t="s">
        <v>591</v>
      </c>
      <c r="AE59" s="74"/>
      <c r="AF59" s="74"/>
      <c r="AG59" s="74"/>
      <c r="AH59" s="74"/>
      <c r="AI59" s="296"/>
      <c r="AJ59" s="296"/>
      <c r="AK59" s="296"/>
      <c r="AL59" s="296"/>
      <c r="AM59" s="296"/>
      <c r="AN59" s="74"/>
      <c r="AO59" s="74"/>
      <c r="AP59" s="74"/>
      <c r="AQ59" s="74"/>
      <c r="AR59" s="74"/>
      <c r="AS59" s="296"/>
      <c r="AT59" s="296"/>
      <c r="AU59" s="296"/>
      <c r="AV59" s="296"/>
      <c r="AW59" s="296"/>
      <c r="AX59" s="74"/>
      <c r="AY59" s="74"/>
      <c r="AZ59" s="74"/>
      <c r="BA59" s="74"/>
      <c r="BB59" s="74"/>
      <c r="BC59" s="79"/>
      <c r="BF59" s="1195" t="s">
        <v>637</v>
      </c>
    </row>
    <row customHeight="1" ht="16.672500000000003" hidden="1">
      <c r="E60" s="794">
        <v>17.1</v>
      </c>
      <c r="F60" s="919" cm="1" t="str">
        <f t="array" ref="F60:F60">OFFSET(G60,-1,-1)</f>
        <v>0</v>
      </c>
      <c r="T60" s="805" cm="1" t="str">
        <f t="array" ref="T60:T60">T59</f>
        <v>false</v>
      </c>
      <c r="AB60" s="844" t="str">
        <f>AB58&amp;".2"</f>
        <v>6.1.2</v>
      </c>
      <c r="AC60" s="682" t="s">
        <v>638</v>
      </c>
      <c r="AD60" s="167" t="s">
        <v>591</v>
      </c>
      <c r="AE60" s="74">
        <f>SUM(AE61:AE64)</f>
        <v>0</v>
      </c>
      <c r="AF60" s="74">
        <f>SUM(AF61:AF64)</f>
        <v>0</v>
      </c>
      <c r="AG60" s="74">
        <f>SUM(AG61:AG64)</f>
        <v>0</v>
      </c>
      <c r="AH60" s="74">
        <f>SUM(AH61:AH64)</f>
        <v>0</v>
      </c>
      <c r="AI60" s="296">
        <f>SUM(AI61:AI64)</f>
        <v>0</v>
      </c>
      <c r="AJ60" s="296">
        <f>SUM(AJ61:AJ64)</f>
        <v>0</v>
      </c>
      <c r="AK60" s="296">
        <f>SUM(AK61:AK64)</f>
        <v>0</v>
      </c>
      <c r="AL60" s="296">
        <f>SUM(AL61:AL64)</f>
        <v>0</v>
      </c>
      <c r="AM60" s="296">
        <f>SUM(AM61:AM64)</f>
        <v>0</v>
      </c>
      <c r="AN60" s="74">
        <f>SUM(AN61:AN64)</f>
        <v>0</v>
      </c>
      <c r="AO60" s="74">
        <f>SUM(AO61:AO64)</f>
        <v>0</v>
      </c>
      <c r="AP60" s="74">
        <f>SUM(AP61:AP64)</f>
        <v>0</v>
      </c>
      <c r="AQ60" s="74">
        <f>SUM(AQ61:AQ64)</f>
        <v>0</v>
      </c>
      <c r="AR60" s="74">
        <f>SUM(AR61:AR64)</f>
        <v>0</v>
      </c>
      <c r="AS60" s="296">
        <f>SUM(AS61:AS64)</f>
        <v>0</v>
      </c>
      <c r="AT60" s="296">
        <f>SUM(AT61:AT64)</f>
        <v>0</v>
      </c>
      <c r="AU60" s="296">
        <f>SUM(AU61:AU64)</f>
        <v>0</v>
      </c>
      <c r="AV60" s="296">
        <f>SUM(AV61:AV64)</f>
        <v>0</v>
      </c>
      <c r="AW60" s="296">
        <f>SUM(AW61:AW64)</f>
        <v>0</v>
      </c>
      <c r="AX60" s="74">
        <f>SUM(AX61:AX64)</f>
        <v>0</v>
      </c>
      <c r="AY60" s="74">
        <f>SUM(AY61:AY64)</f>
        <v>0</v>
      </c>
      <c r="AZ60" s="74">
        <f>SUM(AZ61:AZ64)</f>
        <v>0</v>
      </c>
      <c r="BA60" s="74">
        <f>SUM(BA61:BA64)</f>
        <v>0</v>
      </c>
      <c r="BB60" s="74">
        <f>SUM(BB61:BB64)</f>
        <v>0</v>
      </c>
      <c r="BC60" s="79"/>
      <c r="BF60" s="1195" t="s">
        <v>639</v>
      </c>
    </row>
    <row customHeight="1" ht="16.672500000000003" hidden="1">
      <c r="E61" s="794">
        <v>17.1</v>
      </c>
      <c r="F61" s="919" cm="1" t="str">
        <f t="array" ref="F61:F61">OFFSET(G61,-1,-1)</f>
        <v>0</v>
      </c>
      <c r="T61" s="805" cm="1" t="str">
        <f t="array" ref="T61:T61">T60</f>
        <v>false</v>
      </c>
      <c r="AB61" s="844" t="str">
        <f>AB60&amp;".1"</f>
        <v>6.1.2.1</v>
      </c>
      <c r="AC61" s="683" t="s">
        <v>640</v>
      </c>
      <c r="AD61" s="410" t="s">
        <v>591</v>
      </c>
      <c r="AE61" s="74"/>
      <c r="AF61" s="74"/>
      <c r="AG61" s="74"/>
      <c r="AH61" s="74"/>
      <c r="AI61" s="296"/>
      <c r="AJ61" s="296"/>
      <c r="AK61" s="296"/>
      <c r="AL61" s="296"/>
      <c r="AM61" s="296"/>
      <c r="AN61" s="74"/>
      <c r="AO61" s="74"/>
      <c r="AP61" s="74"/>
      <c r="AQ61" s="74"/>
      <c r="AR61" s="74"/>
      <c r="AS61" s="296"/>
      <c r="AT61" s="296"/>
      <c r="AU61" s="296"/>
      <c r="AV61" s="296"/>
      <c r="AW61" s="296"/>
      <c r="AX61" s="74"/>
      <c r="AY61" s="74"/>
      <c r="AZ61" s="74"/>
      <c r="BA61" s="74"/>
      <c r="BB61" s="74"/>
      <c r="BC61" s="79"/>
      <c r="BF61" s="1195" t="s">
        <v>641</v>
      </c>
    </row>
    <row customHeight="1" ht="16.672500000000003" hidden="1">
      <c r="E62" s="794">
        <v>17.1</v>
      </c>
      <c r="F62" s="919" cm="1" t="str">
        <f t="array" ref="F62:F62">OFFSET(G62,-1,-1)</f>
        <v>0</v>
      </c>
      <c r="T62" s="805" cm="1" t="str">
        <f t="array" ref="T62:T62">T61</f>
        <v>false</v>
      </c>
      <c r="AB62" s="844" t="str">
        <f>AB60&amp;".2"</f>
        <v>6.1.2.2</v>
      </c>
      <c r="AC62" s="684" t="s">
        <v>642</v>
      </c>
      <c r="AD62" s="167" t="s">
        <v>591</v>
      </c>
      <c r="AE62" s="74"/>
      <c r="AF62" s="74"/>
      <c r="AG62" s="74"/>
      <c r="AH62" s="74"/>
      <c r="AI62" s="296"/>
      <c r="AJ62" s="296"/>
      <c r="AK62" s="296"/>
      <c r="AL62" s="296"/>
      <c r="AM62" s="296"/>
      <c r="AN62" s="74"/>
      <c r="AO62" s="74"/>
      <c r="AP62" s="74"/>
      <c r="AQ62" s="74"/>
      <c r="AR62" s="74"/>
      <c r="AS62" s="296"/>
      <c r="AT62" s="296"/>
      <c r="AU62" s="296"/>
      <c r="AV62" s="296"/>
      <c r="AW62" s="296"/>
      <c r="AX62" s="74"/>
      <c r="AY62" s="74"/>
      <c r="AZ62" s="74"/>
      <c r="BA62" s="74"/>
      <c r="BB62" s="74"/>
      <c r="BC62" s="79"/>
      <c r="BF62" s="1195" t="s">
        <v>643</v>
      </c>
    </row>
    <row customHeight="1" ht="16.672500000000003" hidden="1">
      <c r="E63" s="794">
        <v>17.1</v>
      </c>
      <c r="F63" s="919" cm="1" t="str">
        <f t="array" ref="F63:F63">OFFSET(G63,-1,-1)</f>
        <v>0</v>
      </c>
      <c r="T63" s="805" cm="1" t="str">
        <f t="array" ref="T63:T63">T62</f>
        <v>false</v>
      </c>
      <c r="AB63" s="844" t="str">
        <f>AB60&amp;".3"</f>
        <v>6.1.2.3</v>
      </c>
      <c r="AC63" s="684" t="s">
        <v>644</v>
      </c>
      <c r="AD63" s="167" t="s">
        <v>591</v>
      </c>
      <c r="AE63" s="74"/>
      <c r="AF63" s="74"/>
      <c r="AG63" s="74"/>
      <c r="AH63" s="74"/>
      <c r="AI63" s="296"/>
      <c r="AJ63" s="296"/>
      <c r="AK63" s="296"/>
      <c r="AL63" s="296"/>
      <c r="AM63" s="296"/>
      <c r="AN63" s="74"/>
      <c r="AO63" s="74"/>
      <c r="AP63" s="74"/>
      <c r="AQ63" s="74"/>
      <c r="AR63" s="74"/>
      <c r="AS63" s="296"/>
      <c r="AT63" s="296"/>
      <c r="AU63" s="296"/>
      <c r="AV63" s="296"/>
      <c r="AW63" s="296"/>
      <c r="AX63" s="74"/>
      <c r="AY63" s="74"/>
      <c r="AZ63" s="74"/>
      <c r="BA63" s="74"/>
      <c r="BB63" s="74"/>
      <c r="BC63" s="79"/>
      <c r="BF63" s="1195" t="s">
        <v>645</v>
      </c>
    </row>
    <row customHeight="1" ht="16.672500000000003" hidden="1">
      <c r="E64" s="794">
        <v>17.1</v>
      </c>
      <c r="F64" s="919" cm="1" t="str">
        <f t="array" ref="F64:F64">OFFSET(G64,-1,-1)</f>
        <v>0</v>
      </c>
      <c r="T64" s="805" cm="1" t="str">
        <f t="array" ref="T64:T64">T63</f>
        <v>false</v>
      </c>
      <c r="AB64" s="844" t="str">
        <f>AB60&amp;".4"</f>
        <v>6.1.2.4</v>
      </c>
      <c r="AC64" s="684" t="s">
        <v>646</v>
      </c>
      <c r="AD64" s="410" t="s">
        <v>591</v>
      </c>
      <c r="AE64" s="74"/>
      <c r="AF64" s="74"/>
      <c r="AG64" s="74"/>
      <c r="AH64" s="74"/>
      <c r="AI64" s="296"/>
      <c r="AJ64" s="296"/>
      <c r="AK64" s="296"/>
      <c r="AL64" s="296"/>
      <c r="AM64" s="296"/>
      <c r="AN64" s="74"/>
      <c r="AO64" s="74"/>
      <c r="AP64" s="74"/>
      <c r="AQ64" s="74"/>
      <c r="AR64" s="74"/>
      <c r="AS64" s="296"/>
      <c r="AT64" s="296"/>
      <c r="AU64" s="296"/>
      <c r="AV64" s="296"/>
      <c r="AW64" s="296"/>
      <c r="AX64" s="74"/>
      <c r="AY64" s="74"/>
      <c r="AZ64" s="74"/>
      <c r="BA64" s="74"/>
      <c r="BB64" s="74"/>
      <c r="BC64" s="79"/>
      <c r="BF64" s="1195" t="s">
        <v>647</v>
      </c>
    </row>
    <row customHeight="1" ht="16.672500000000003" hidden="1">
      <c r="E65" s="794">
        <v>17.1</v>
      </c>
      <c r="F65" s="919" cm="1" t="str">
        <f t="array" ref="F65:F65">OFFSET(G65,-1,-1)</f>
        <v>0</v>
      </c>
      <c r="T65" s="805" cm="1" t="str">
        <f t="array" ref="T65:T65">T64</f>
        <v>false</v>
      </c>
      <c r="AB65" s="844" t="str">
        <f>AB58&amp;".3"</f>
        <v>6.1.3</v>
      </c>
      <c r="AC65" s="1106" t="s">
        <v>648</v>
      </c>
      <c r="AD65" s="410" t="s">
        <v>591</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79"/>
      <c r="BF65" s="1195" t="s">
        <v>649</v>
      </c>
    </row>
    <row customHeight="1" ht="16.672500000000003" hidden="1">
      <c r="E66" s="794">
        <v>17.1</v>
      </c>
      <c r="F66" s="919" cm="1" t="str">
        <f t="array" ref="F66:F66">OFFSET(G66,-1,-1)</f>
        <v>0</v>
      </c>
      <c r="T66" s="805" cm="1" t="str">
        <f t="array" ref="T66:T66">T65</f>
        <v>false</v>
      </c>
      <c r="AB66" s="844" t="str">
        <f>AB57&amp;".2"</f>
        <v>6.2</v>
      </c>
      <c r="AC66" s="556" t="s">
        <v>597</v>
      </c>
      <c r="AD66" s="410" t="s">
        <v>591</v>
      </c>
      <c r="AE66" s="74"/>
      <c r="AF66" s="74"/>
      <c r="AG66" s="74"/>
      <c r="AH66" s="74"/>
      <c r="AI66" s="296"/>
      <c r="AJ66" s="296"/>
      <c r="AK66" s="296"/>
      <c r="AL66" s="296"/>
      <c r="AM66" s="296"/>
      <c r="AN66" s="74"/>
      <c r="AO66" s="74"/>
      <c r="AP66" s="74"/>
      <c r="AQ66" s="74"/>
      <c r="AR66" s="74"/>
      <c r="AS66" s="296"/>
      <c r="AT66" s="296"/>
      <c r="AU66" s="296"/>
      <c r="AV66" s="296"/>
      <c r="AW66" s="296"/>
      <c r="AX66" s="74"/>
      <c r="AY66" s="74"/>
      <c r="AZ66" s="74"/>
      <c r="BA66" s="74"/>
      <c r="BB66" s="74"/>
      <c r="BC66" s="79"/>
      <c r="BF66" s="1195" t="s">
        <v>650</v>
      </c>
    </row>
    <row customHeight="1" ht="16.672500000000003" hidden="1">
      <c r="E67" s="794">
        <v>17.1</v>
      </c>
      <c r="F67" s="919" cm="1" t="str">
        <f t="array" ref="F67:F67">OFFSET(G67,-1,-1)</f>
        <v>0</v>
      </c>
      <c r="T67" s="805" cm="1" t="str">
        <f t="array" ref="T67:T67">T66</f>
        <v>false</v>
      </c>
      <c r="AB67" s="565" t="s">
        <v>651</v>
      </c>
      <c r="AC67" s="566" t="s">
        <v>652</v>
      </c>
      <c r="AD67" s="410" t="s">
        <v>591</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9"/>
      <c r="BF67" s="1195" t="s">
        <v>653</v>
      </c>
    </row>
    <row customHeight="1" ht="16.672500000000003" hidden="1">
      <c r="E68" s="794">
        <v>17.1</v>
      </c>
      <c r="F68" s="919" cm="1" t="str">
        <f t="array" ref="F68:F68">OFFSET(G68,-1,-1)</f>
        <v>0</v>
      </c>
      <c r="T68" s="805" cm="1" t="str">
        <f t="array" ref="T68:T68">T67</f>
        <v>false</v>
      </c>
      <c r="AB68" s="844" t="str">
        <f>AB67&amp;".1"</f>
        <v>7.1</v>
      </c>
      <c r="AC68" s="556" t="s">
        <v>595</v>
      </c>
      <c r="AD68" s="410" t="s">
        <v>591</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79"/>
      <c r="BF68" s="1195" t="s">
        <v>654</v>
      </c>
    </row>
    <row customHeight="1" ht="16.672500000000003" hidden="1">
      <c r="E69" s="794">
        <v>17.1</v>
      </c>
      <c r="F69" s="919" cm="1" t="str">
        <f t="array" ref="F69:F69">OFFSET(G69,-1,-1)</f>
        <v>0</v>
      </c>
      <c r="T69" s="805" cm="1" t="str">
        <f t="array" ref="T69:T69">T68</f>
        <v>false</v>
      </c>
      <c r="AB69" s="844" t="str">
        <f>AB67&amp;".2"</f>
        <v>7.2</v>
      </c>
      <c r="AC69" s="556" t="s">
        <v>597</v>
      </c>
      <c r="AD69" s="410" t="s">
        <v>591</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79"/>
      <c r="BF69" s="1195" t="s">
        <v>655</v>
      </c>
    </row>
    <row customHeight="1" ht="33.6375" hidden="1">
      <c r="E70" s="794">
        <v>34.5</v>
      </c>
      <c r="F70" s="919" cm="1" t="str">
        <f t="array" ref="F70:F70">OFFSET(G70,-1,-1)</f>
        <v>0</v>
      </c>
      <c r="T70" s="805" cm="1" t="str">
        <f t="array" ref="T70:T70">T69</f>
        <v>false</v>
      </c>
      <c r="AB70" s="565" t="s">
        <v>656</v>
      </c>
      <c r="AC70" s="566" t="s">
        <v>657</v>
      </c>
      <c r="AD70" s="410" t="s">
        <v>591</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9"/>
      <c r="BF70" s="1195" t="s">
        <v>658</v>
      </c>
    </row>
    <row customHeight="1" ht="16.672500000000003" hidden="1">
      <c r="E71" s="794">
        <v>17.1</v>
      </c>
      <c r="F71" s="919" cm="1" t="str">
        <f t="array" ref="F71:F71">OFFSET(G71,-1,-1)</f>
        <v>0</v>
      </c>
      <c r="T71" s="805" cm="1" t="str">
        <f t="array" ref="T71:T71">T70</f>
        <v>false</v>
      </c>
      <c r="AB71" s="844" t="str">
        <f>AB70&amp;".1"</f>
        <v>8.1</v>
      </c>
      <c r="AC71" s="556" t="s">
        <v>595</v>
      </c>
      <c r="AD71" s="410" t="s">
        <v>591</v>
      </c>
      <c r="AE71" s="74"/>
      <c r="AF71" s="74"/>
      <c r="AG71" s="74"/>
      <c r="AH71" s="74"/>
      <c r="AI71" s="296"/>
      <c r="AJ71" s="296"/>
      <c r="AK71" s="296"/>
      <c r="AL71" s="296"/>
      <c r="AM71" s="296"/>
      <c r="AN71" s="74"/>
      <c r="AO71" s="74"/>
      <c r="AP71" s="74"/>
      <c r="AQ71" s="74"/>
      <c r="AR71" s="74"/>
      <c r="AS71" s="296"/>
      <c r="AT71" s="296"/>
      <c r="AU71" s="296"/>
      <c r="AV71" s="296"/>
      <c r="AW71" s="296"/>
      <c r="AX71" s="74"/>
      <c r="AY71" s="74"/>
      <c r="AZ71" s="74"/>
      <c r="BA71" s="74"/>
      <c r="BB71" s="74"/>
      <c r="BC71" s="79"/>
      <c r="BF71" s="1195" t="s">
        <v>659</v>
      </c>
    </row>
    <row customHeight="1" ht="16.672500000000003" hidden="1">
      <c r="E72" s="794">
        <v>17.1</v>
      </c>
      <c r="F72" s="919" cm="1" t="str">
        <f t="array" ref="F72:F72">OFFSET(G72,-1,-1)</f>
        <v>0</v>
      </c>
      <c r="T72" s="805" cm="1" t="str">
        <f t="array" ref="T72:T72">T71</f>
        <v>false</v>
      </c>
      <c r="AB72" s="844" t="str">
        <f>AB71&amp;".1"</f>
        <v>8.1.1</v>
      </c>
      <c r="AC72" s="680" t="s">
        <v>660</v>
      </c>
      <c r="AD72" s="410" t="s">
        <v>490</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9"/>
      <c r="BF72" s="1195" t="s">
        <v>661</v>
      </c>
    </row>
    <row customHeight="1" ht="16.672500000000003" hidden="1">
      <c r="E73" s="794">
        <v>17.1</v>
      </c>
      <c r="F73" s="919" cm="1" t="str">
        <f t="array" ref="F73:F73">OFFSET(G73,-1,-1)</f>
        <v>0</v>
      </c>
      <c r="T73" s="805" cm="1" t="str">
        <f t="array" ref="T73:T73">T72</f>
        <v>false</v>
      </c>
      <c r="AB73" s="844" t="str">
        <f>AB70&amp;".2"</f>
        <v>8.2</v>
      </c>
      <c r="AC73" s="556" t="s">
        <v>597</v>
      </c>
      <c r="AD73" s="410" t="s">
        <v>591</v>
      </c>
      <c r="AE73" s="74"/>
      <c r="AF73" s="74"/>
      <c r="AG73" s="74"/>
      <c r="AH73" s="74"/>
      <c r="AI73" s="296"/>
      <c r="AJ73" s="296"/>
      <c r="AK73" s="296"/>
      <c r="AL73" s="296"/>
      <c r="AM73" s="296"/>
      <c r="AN73" s="74"/>
      <c r="AO73" s="74"/>
      <c r="AP73" s="74"/>
      <c r="AQ73" s="74"/>
      <c r="AR73" s="74"/>
      <c r="AS73" s="296"/>
      <c r="AT73" s="296"/>
      <c r="AU73" s="296"/>
      <c r="AV73" s="296"/>
      <c r="AW73" s="296"/>
      <c r="AX73" s="74"/>
      <c r="AY73" s="74"/>
      <c r="AZ73" s="74"/>
      <c r="BA73" s="74"/>
      <c r="BB73" s="74"/>
      <c r="BC73" s="79"/>
      <c r="BF73" s="1195" t="s">
        <v>662</v>
      </c>
    </row>
    <row customHeight="1" ht="16.672500000000003" hidden="1">
      <c r="E74" s="794">
        <v>17.1</v>
      </c>
      <c r="F74" s="919" cm="1" t="str">
        <f t="array" ref="F74:F74">OFFSET(G74,-1,-1)</f>
        <v>0</v>
      </c>
      <c r="T74" s="805" cm="1" t="str">
        <f t="array" ref="T74:T74">T73</f>
        <v>false</v>
      </c>
      <c r="AB74" s="844" t="str">
        <f>AB73&amp;".1"</f>
        <v>8.2.1</v>
      </c>
      <c r="AC74" s="680" t="s">
        <v>660</v>
      </c>
      <c r="AD74" s="167" t="s">
        <v>490</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80"/>
      <c r="BF74" s="1195" t="s">
        <v>663</v>
      </c>
    </row>
    <row customHeight="1" ht="16.672500000000003" hidden="1">
      <c r="E75" s="794">
        <v>17.1</v>
      </c>
      <c r="F75" s="919" cm="1" t="str">
        <f t="array" ref="F75:F75">OFFSET(G75,-1,-1)</f>
        <v>0</v>
      </c>
      <c r="T75" s="805" cm="1" t="str">
        <f t="array" ref="T75:T75">T74</f>
        <v>false</v>
      </c>
      <c r="AB75" s="479" t="s">
        <v>664</v>
      </c>
      <c r="AC75" s="478" t="s">
        <v>665</v>
      </c>
      <c r="AD75" s="167" t="s">
        <v>591</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3"/>
      <c r="BF75" s="1195" t="s">
        <v>666</v>
      </c>
    </row>
    <row customHeight="1" ht="16.672500000000003" hidden="1">
      <c r="E76" s="794">
        <v>17.1</v>
      </c>
      <c r="F76" s="919" cm="1" t="str">
        <f t="array" ref="F76:F76">OFFSET(G76,-1,-1)</f>
        <v>0</v>
      </c>
      <c r="T76" s="805" cm="1" t="str">
        <f t="array" ref="T76:T76">T75</f>
        <v>false</v>
      </c>
      <c r="AB76" s="844" t="str">
        <f>AB75&amp;".1"</f>
        <v>9.1</v>
      </c>
      <c r="AC76" s="556" t="s">
        <v>595</v>
      </c>
      <c r="AD76" s="167" t="s">
        <v>591</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3"/>
      <c r="BF76" s="1195" t="s">
        <v>667</v>
      </c>
    </row>
    <row customHeight="1" ht="16.672500000000003" hidden="1">
      <c r="E77" s="794">
        <v>17.1</v>
      </c>
      <c r="F77" s="919" cm="1" t="str">
        <f t="array" ref="F77:F77">OFFSET(G77,-1,-1)</f>
        <v>0</v>
      </c>
      <c r="T77" s="805" cm="1" t="str">
        <f t="array" ref="T77:T77">T76</f>
        <v>false</v>
      </c>
      <c r="AB77" s="844" t="str">
        <f>AB76&amp;".1"</f>
        <v>9.1.1</v>
      </c>
      <c r="AC77" s="681" t="s">
        <v>636</v>
      </c>
      <c r="AD77" s="167" t="s">
        <v>591</v>
      </c>
      <c r="AE77" s="77"/>
      <c r="AF77" s="77"/>
      <c r="AG77" s="77"/>
      <c r="AH77" s="77"/>
      <c r="AI77" s="482"/>
      <c r="AJ77" s="482"/>
      <c r="AK77" s="482"/>
      <c r="AL77" s="482"/>
      <c r="AM77" s="482"/>
      <c r="AN77" s="77"/>
      <c r="AO77" s="77"/>
      <c r="AP77" s="77"/>
      <c r="AQ77" s="77"/>
      <c r="AR77" s="77"/>
      <c r="AS77" s="482"/>
      <c r="AT77" s="482"/>
      <c r="AU77" s="482"/>
      <c r="AV77" s="482"/>
      <c r="AW77" s="482"/>
      <c r="AX77" s="77"/>
      <c r="AY77" s="77"/>
      <c r="AZ77" s="77"/>
      <c r="BA77" s="77"/>
      <c r="BB77" s="77"/>
      <c r="BC77" s="73"/>
      <c r="BF77" s="1195" t="s">
        <v>668</v>
      </c>
    </row>
    <row customHeight="1" ht="16.672500000000003" hidden="1">
      <c r="E78" s="794">
        <v>17.1</v>
      </c>
      <c r="F78" s="919" cm="1" t="str">
        <f t="array" ref="F78:F78">OFFSET(G78,-1,-1)</f>
        <v>0</v>
      </c>
      <c r="T78" s="805" cm="1" t="str">
        <f t="array" ref="T78:T78">T77</f>
        <v>false</v>
      </c>
      <c r="AB78" s="844" t="str">
        <f>AB76&amp;".2"</f>
        <v>9.1.2</v>
      </c>
      <c r="AC78" s="682" t="s">
        <v>638</v>
      </c>
      <c r="AD78" s="167" t="s">
        <v>591</v>
      </c>
      <c r="AE78" s="81">
        <f>AE79+AE80+AE81+AE82</f>
        <v>0</v>
      </c>
      <c r="AF78" s="81">
        <f>AF79+AF80+AF81+AF82</f>
        <v>0</v>
      </c>
      <c r="AG78" s="81">
        <f>AG79+AG80+AG81+AG82</f>
        <v>0</v>
      </c>
      <c r="AH78" s="81">
        <f>AH79+AH80+AH81+AH82</f>
        <v>0</v>
      </c>
      <c r="AI78" s="1130">
        <f>AI79+AI80+AI81+AI82</f>
        <v>0</v>
      </c>
      <c r="AJ78" s="1130">
        <f>AJ79+AJ80+AJ81+AJ82</f>
        <v>0</v>
      </c>
      <c r="AK78" s="1130">
        <f>AK79+AK80+AK81+AK82</f>
        <v>0</v>
      </c>
      <c r="AL78" s="1130">
        <f>AL79+AL80+AL81+AL82</f>
        <v>0</v>
      </c>
      <c r="AM78" s="1130">
        <f>AM79+AM80+AM81+AM82</f>
        <v>0</v>
      </c>
      <c r="AN78" s="81">
        <f>AN79+AN80+AN81+AN82</f>
        <v>0</v>
      </c>
      <c r="AO78" s="81">
        <f>AO79+AO80+AO81+AO82</f>
        <v>0</v>
      </c>
      <c r="AP78" s="81">
        <f>AP79+AP80+AP81+AP82</f>
        <v>0</v>
      </c>
      <c r="AQ78" s="81">
        <f>AQ79+AQ80+AQ81+AQ82</f>
        <v>0</v>
      </c>
      <c r="AR78" s="81">
        <f>AR79+AR80+AR81+AR82</f>
        <v>0</v>
      </c>
      <c r="AS78" s="1130">
        <f>AS79+AS80+AS81+AS82</f>
        <v>0</v>
      </c>
      <c r="AT78" s="1130">
        <f>AT79+AT80+AT81+AT82</f>
        <v>0</v>
      </c>
      <c r="AU78" s="1130">
        <f>AU79+AU80+AU81+AU82</f>
        <v>0</v>
      </c>
      <c r="AV78" s="1130">
        <f>AV79+AV80+AV81+AV82</f>
        <v>0</v>
      </c>
      <c r="AW78" s="1130">
        <f>AW79+AW80+AW81+AW82</f>
        <v>0</v>
      </c>
      <c r="AX78" s="81">
        <f>AX79+AX80+AX81+AX82</f>
        <v>0</v>
      </c>
      <c r="AY78" s="81">
        <f>AY79+AY80+AY81+AY82</f>
        <v>0</v>
      </c>
      <c r="AZ78" s="81">
        <f>AZ79+AZ80+AZ81+AZ82</f>
        <v>0</v>
      </c>
      <c r="BA78" s="81">
        <f>BA79+BA80+BA81+BA82</f>
        <v>0</v>
      </c>
      <c r="BB78" s="81">
        <f>BB79+BB80+BB81+BB82</f>
        <v>0</v>
      </c>
      <c r="BC78" s="73"/>
      <c r="BF78" s="1195" t="s">
        <v>669</v>
      </c>
    </row>
    <row customHeight="1" ht="16.672500000000003" hidden="1">
      <c r="E79" s="794">
        <v>17.1</v>
      </c>
      <c r="F79" s="919" cm="1" t="str">
        <f t="array" ref="F79:F79">OFFSET(G79,-1,-1)</f>
        <v>0</v>
      </c>
      <c r="T79" s="805" cm="1" t="str">
        <f t="array" ref="T79:T79">T78</f>
        <v>false</v>
      </c>
      <c r="AB79" s="844" t="str">
        <f>AB78&amp;".1"</f>
        <v>9.1.2.1</v>
      </c>
      <c r="AC79" s="683" t="s">
        <v>640</v>
      </c>
      <c r="AD79" s="410" t="s">
        <v>591</v>
      </c>
      <c r="AE79" s="82"/>
      <c r="AF79" s="82"/>
      <c r="AG79" s="82"/>
      <c r="AH79" s="82"/>
      <c r="AI79" s="560"/>
      <c r="AJ79" s="560"/>
      <c r="AK79" s="560"/>
      <c r="AL79" s="560"/>
      <c r="AM79" s="560"/>
      <c r="AN79" s="82"/>
      <c r="AO79" s="82"/>
      <c r="AP79" s="82"/>
      <c r="AQ79" s="82"/>
      <c r="AR79" s="82"/>
      <c r="AS79" s="560"/>
      <c r="AT79" s="560"/>
      <c r="AU79" s="560"/>
      <c r="AV79" s="560"/>
      <c r="AW79" s="560"/>
      <c r="AX79" s="82"/>
      <c r="AY79" s="82"/>
      <c r="AZ79" s="82"/>
      <c r="BA79" s="82"/>
      <c r="BB79" s="82"/>
      <c r="BC79" s="73"/>
      <c r="BF79" s="1195" t="s">
        <v>670</v>
      </c>
    </row>
    <row customHeight="1" ht="16.672500000000003" hidden="1">
      <c r="E80" s="794">
        <v>17.1</v>
      </c>
      <c r="F80" s="919" cm="1" t="str">
        <f t="array" ref="F80:F80">OFFSET(G80,-1,-1)</f>
        <v>0</v>
      </c>
      <c r="T80" s="805" cm="1" t="str">
        <f t="array" ref="T80:T80">T79</f>
        <v>false</v>
      </c>
      <c r="AB80" s="844" t="str">
        <f>AB78&amp;".2"</f>
        <v>9.1.2.2</v>
      </c>
      <c r="AC80" s="684" t="s">
        <v>642</v>
      </c>
      <c r="AD80" s="167" t="s">
        <v>591</v>
      </c>
      <c r="AE80" s="77"/>
      <c r="AF80" s="77"/>
      <c r="AG80" s="77"/>
      <c r="AH80" s="77"/>
      <c r="AI80" s="482"/>
      <c r="AJ80" s="482"/>
      <c r="AK80" s="482"/>
      <c r="AL80" s="482"/>
      <c r="AM80" s="482"/>
      <c r="AN80" s="77"/>
      <c r="AO80" s="77"/>
      <c r="AP80" s="77"/>
      <c r="AQ80" s="77"/>
      <c r="AR80" s="77"/>
      <c r="AS80" s="482"/>
      <c r="AT80" s="482"/>
      <c r="AU80" s="482"/>
      <c r="AV80" s="482"/>
      <c r="AW80" s="482"/>
      <c r="AX80" s="77"/>
      <c r="AY80" s="77"/>
      <c r="AZ80" s="77"/>
      <c r="BA80" s="77"/>
      <c r="BB80" s="77"/>
      <c r="BC80" s="73"/>
      <c r="BF80" s="1195" t="s">
        <v>671</v>
      </c>
    </row>
    <row customHeight="1" ht="16.672500000000003" hidden="1">
      <c r="E81" s="794">
        <v>17.1</v>
      </c>
      <c r="F81" s="919" cm="1" t="str">
        <f t="array" ref="F81:F81">OFFSET(G81,-1,-1)</f>
        <v>0</v>
      </c>
      <c r="T81" s="805" cm="1" t="str">
        <f t="array" ref="T81:T81">T80</f>
        <v>false</v>
      </c>
      <c r="AB81" s="844" t="str">
        <f>AB78&amp;".3"</f>
        <v>9.1.2.3</v>
      </c>
      <c r="AC81" s="684" t="s">
        <v>644</v>
      </c>
      <c r="AD81" s="167" t="s">
        <v>591</v>
      </c>
      <c r="AE81" s="78"/>
      <c r="AF81" s="78"/>
      <c r="AG81" s="78"/>
      <c r="AH81" s="78"/>
      <c r="AI81" s="563"/>
      <c r="AJ81" s="563"/>
      <c r="AK81" s="563"/>
      <c r="AL81" s="563"/>
      <c r="AM81" s="563"/>
      <c r="AN81" s="78"/>
      <c r="AO81" s="78"/>
      <c r="AP81" s="78"/>
      <c r="AQ81" s="78"/>
      <c r="AR81" s="78"/>
      <c r="AS81" s="563"/>
      <c r="AT81" s="563"/>
      <c r="AU81" s="563"/>
      <c r="AV81" s="563"/>
      <c r="AW81" s="563"/>
      <c r="AX81" s="78"/>
      <c r="AY81" s="78"/>
      <c r="AZ81" s="78"/>
      <c r="BA81" s="78"/>
      <c r="BB81" s="78"/>
      <c r="BC81" s="73"/>
      <c r="BF81" s="1195" t="s">
        <v>672</v>
      </c>
    </row>
    <row customHeight="1" ht="16.672500000000003" hidden="1">
      <c r="E82" s="794">
        <v>17.1</v>
      </c>
      <c r="F82" s="919" cm="1" t="str">
        <f t="array" ref="F82:F82">OFFSET(G82,-1,-1)</f>
        <v>0</v>
      </c>
      <c r="T82" s="805" cm="1" t="str">
        <f t="array" ref="T82:T82">T81</f>
        <v>false</v>
      </c>
      <c r="AB82" s="844" t="str">
        <f>AB78&amp;".4"</f>
        <v>9.1.2.4</v>
      </c>
      <c r="AC82" s="684" t="s">
        <v>646</v>
      </c>
      <c r="AD82" s="410" t="s">
        <v>591</v>
      </c>
      <c r="AE82" s="74"/>
      <c r="AF82" s="76"/>
      <c r="AG82" s="74"/>
      <c r="AH82" s="74"/>
      <c r="AI82" s="296"/>
      <c r="AJ82" s="296"/>
      <c r="AK82" s="296"/>
      <c r="AL82" s="296"/>
      <c r="AM82" s="296"/>
      <c r="AN82" s="74"/>
      <c r="AO82" s="74"/>
      <c r="AP82" s="74"/>
      <c r="AQ82" s="74"/>
      <c r="AR82" s="74"/>
      <c r="AS82" s="296"/>
      <c r="AT82" s="296"/>
      <c r="AU82" s="296"/>
      <c r="AV82" s="296"/>
      <c r="AW82" s="296"/>
      <c r="AX82" s="74"/>
      <c r="AY82" s="74"/>
      <c r="AZ82" s="74"/>
      <c r="BA82" s="74"/>
      <c r="BB82" s="74"/>
      <c r="BC82" s="73"/>
      <c r="BF82" s="1195" t="s">
        <v>673</v>
      </c>
    </row>
    <row customHeight="1" ht="16.672500000000003" hidden="1">
      <c r="E83" s="794">
        <v>17.1</v>
      </c>
      <c r="F83" s="919" cm="1" t="str">
        <f t="array" ref="F83:F83">OFFSET(G83,-1,-1)</f>
        <v>0</v>
      </c>
      <c r="T83" s="805" cm="1" t="str">
        <f t="array" ref="T83:T83">T82</f>
        <v>false</v>
      </c>
      <c r="AB83" s="844" t="str">
        <f>AB75&amp;".2"</f>
        <v>9.2</v>
      </c>
      <c r="AC83" s="556" t="s">
        <v>597</v>
      </c>
      <c r="AD83" s="410" t="s">
        <v>591</v>
      </c>
      <c r="AE83" s="74">
        <f>AE69-AE73</f>
        <v>0</v>
      </c>
      <c r="AF83" s="74">
        <f>AF69-AF73</f>
        <v>0</v>
      </c>
      <c r="AG83" s="74">
        <f>AG69-AG73</f>
        <v>0</v>
      </c>
      <c r="AH83" s="74">
        <f>AH69-AH73</f>
        <v>0</v>
      </c>
      <c r="AI83" s="296">
        <f>AI69-AI73</f>
        <v>0</v>
      </c>
      <c r="AJ83" s="296">
        <f>AJ69-AJ73</f>
        <v>0</v>
      </c>
      <c r="AK83" s="296">
        <f>AK69-AK73</f>
        <v>0</v>
      </c>
      <c r="AL83" s="296">
        <f>AL69-AL73</f>
        <v>0</v>
      </c>
      <c r="AM83" s="296">
        <f>AM69-AM73</f>
        <v>0</v>
      </c>
      <c r="AN83" s="74">
        <f>AN69-AN73</f>
        <v>0</v>
      </c>
      <c r="AO83" s="74">
        <f>AO69-AO73</f>
        <v>0</v>
      </c>
      <c r="AP83" s="74">
        <f>AP69-AP73</f>
        <v>0</v>
      </c>
      <c r="AQ83" s="74">
        <f>AQ69-AQ73</f>
        <v>0</v>
      </c>
      <c r="AR83" s="74">
        <f>AR69-AR73</f>
        <v>0</v>
      </c>
      <c r="AS83" s="296">
        <f>AS69-AS73</f>
        <v>0</v>
      </c>
      <c r="AT83" s="296">
        <f>AT69-AT73</f>
        <v>0</v>
      </c>
      <c r="AU83" s="296">
        <f>AU69-AU73</f>
        <v>0</v>
      </c>
      <c r="AV83" s="296">
        <f>AV69-AV73</f>
        <v>0</v>
      </c>
      <c r="AW83" s="296">
        <f>AW69-AW73</f>
        <v>0</v>
      </c>
      <c r="AX83" s="74">
        <f>AX69-AX73</f>
        <v>0</v>
      </c>
      <c r="AY83" s="74">
        <f>AY69-AY73</f>
        <v>0</v>
      </c>
      <c r="AZ83" s="74">
        <f>AZ69-AZ73</f>
        <v>0</v>
      </c>
      <c r="BA83" s="74">
        <f>BA69-BA73</f>
        <v>0</v>
      </c>
      <c r="BB83" s="74">
        <f>BB69-BB73</f>
        <v>0</v>
      </c>
      <c r="BC83" s="73"/>
      <c r="BF83" s="1195" t="s">
        <v>674</v>
      </c>
    </row>
    <row customHeight="1" ht="16.672500000000003" hidden="1">
      <c r="E84" s="794">
        <v>17.1</v>
      </c>
      <c r="F84" s="919" cm="1" t="str">
        <f t="array" ref="F84:F84">OFFSET(G84,-1,-1)</f>
        <v>0</v>
      </c>
      <c r="T84" s="805" cm="1" t="str">
        <f t="array" ref="T84:T84">T83</f>
        <v>false</v>
      </c>
      <c r="AB84" s="484" t="s">
        <v>675</v>
      </c>
      <c r="AC84" s="681" t="s">
        <v>636</v>
      </c>
      <c r="AD84" s="410" t="s">
        <v>591</v>
      </c>
      <c r="AE84" s="74"/>
      <c r="AF84" s="74"/>
      <c r="AG84" s="74"/>
      <c r="AH84" s="74"/>
      <c r="AI84" s="296"/>
      <c r="AJ84" s="296"/>
      <c r="AK84" s="296"/>
      <c r="AL84" s="296"/>
      <c r="AM84" s="296"/>
      <c r="AN84" s="74"/>
      <c r="AO84" s="74"/>
      <c r="AP84" s="74"/>
      <c r="AQ84" s="74"/>
      <c r="AR84" s="74"/>
      <c r="AS84" s="296"/>
      <c r="AT84" s="296"/>
      <c r="AU84" s="296"/>
      <c r="AV84" s="296"/>
      <c r="AW84" s="296"/>
      <c r="AX84" s="74"/>
      <c r="AY84" s="74"/>
      <c r="AZ84" s="74"/>
      <c r="BA84" s="74"/>
      <c r="BB84" s="74"/>
      <c r="BC84" s="73"/>
      <c r="BF84" s="1195" t="s">
        <v>676</v>
      </c>
    </row>
    <row customHeight="1" ht="16.672500000000003" hidden="1">
      <c r="E85" s="794">
        <v>17.1</v>
      </c>
      <c r="F85" s="919" cm="1" t="str">
        <f t="array" ref="F85:F85">OFFSET(G85,-1,-1)</f>
        <v>0</v>
      </c>
      <c r="T85" s="805" cm="1" t="str">
        <f t="array" ref="T85:T85">T84</f>
        <v>false</v>
      </c>
      <c r="AB85" s="485" t="s">
        <v>677</v>
      </c>
      <c r="AC85" s="682" t="s">
        <v>638</v>
      </c>
      <c r="AD85" s="167" t="s">
        <v>591</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3"/>
      <c r="BF85" s="1195" t="s">
        <v>678</v>
      </c>
    </row>
    <row customHeight="1" ht="16.672500000000003" hidden="1">
      <c r="E86" s="794">
        <v>17.1</v>
      </c>
      <c r="F86" s="919" cm="1" t="str">
        <f t="array" ref="F86:F86">OFFSET(G86,-1,-1)</f>
        <v>0</v>
      </c>
      <c r="T86" s="805" cm="1" t="str">
        <f t="array" ref="T86:T86">T85</f>
        <v>false</v>
      </c>
      <c r="AB86" s="484" t="s">
        <v>679</v>
      </c>
      <c r="AC86" s="683" t="s">
        <v>640</v>
      </c>
      <c r="AD86" s="410" t="s">
        <v>591</v>
      </c>
      <c r="AE86" s="82"/>
      <c r="AF86" s="82"/>
      <c r="AG86" s="82"/>
      <c r="AH86" s="82"/>
      <c r="AI86" s="560"/>
      <c r="AJ86" s="560"/>
      <c r="AK86" s="560"/>
      <c r="AL86" s="560"/>
      <c r="AM86" s="560"/>
      <c r="AN86" s="82"/>
      <c r="AO86" s="82"/>
      <c r="AP86" s="82"/>
      <c r="AQ86" s="82"/>
      <c r="AR86" s="82"/>
      <c r="AS86" s="560"/>
      <c r="AT86" s="560"/>
      <c r="AU86" s="560"/>
      <c r="AV86" s="560"/>
      <c r="AW86" s="560"/>
      <c r="AX86" s="82"/>
      <c r="AY86" s="82"/>
      <c r="AZ86" s="82"/>
      <c r="BA86" s="82"/>
      <c r="BB86" s="82"/>
      <c r="BC86" s="73"/>
      <c r="BF86" s="1195" t="s">
        <v>680</v>
      </c>
    </row>
    <row customHeight="1" ht="16.672500000000003" hidden="1">
      <c r="E87" s="794">
        <v>17.1</v>
      </c>
      <c r="F87" s="919" cm="1" t="str">
        <f t="array" ref="F87:F87">OFFSET(G87,-1,-1)</f>
        <v>0</v>
      </c>
      <c r="T87" s="805" cm="1" t="str">
        <f t="array" ref="T87:T87">T86</f>
        <v>false</v>
      </c>
      <c r="AB87" s="484" t="s">
        <v>681</v>
      </c>
      <c r="AC87" s="684" t="s">
        <v>642</v>
      </c>
      <c r="AD87" s="167" t="s">
        <v>591</v>
      </c>
      <c r="AE87" s="78"/>
      <c r="AF87" s="78"/>
      <c r="AG87" s="78"/>
      <c r="AH87" s="78"/>
      <c r="AI87" s="563"/>
      <c r="AJ87" s="563"/>
      <c r="AK87" s="563"/>
      <c r="AL87" s="563"/>
      <c r="AM87" s="563"/>
      <c r="AN87" s="78"/>
      <c r="AO87" s="78"/>
      <c r="AP87" s="78"/>
      <c r="AQ87" s="78"/>
      <c r="AR87" s="78"/>
      <c r="AS87" s="563"/>
      <c r="AT87" s="563"/>
      <c r="AU87" s="563"/>
      <c r="AV87" s="563"/>
      <c r="AW87" s="563"/>
      <c r="AX87" s="78"/>
      <c r="AY87" s="78"/>
      <c r="AZ87" s="78"/>
      <c r="BA87" s="78"/>
      <c r="BB87" s="78"/>
      <c r="BC87" s="73"/>
      <c r="BF87" s="1195" t="s">
        <v>682</v>
      </c>
    </row>
    <row customHeight="1" ht="16.672500000000003" hidden="1">
      <c r="E88" s="794">
        <v>17.1</v>
      </c>
      <c r="F88" s="919" cm="1" t="str">
        <f t="array" ref="F88:F88">OFFSET(G88,-1,-1)</f>
        <v>0</v>
      </c>
      <c r="T88" s="805" cm="1" t="str">
        <f t="array" ref="T88:T88">T87</f>
        <v>false</v>
      </c>
      <c r="AB88" s="855" t="s">
        <v>683</v>
      </c>
      <c r="AC88" s="684" t="s">
        <v>644</v>
      </c>
      <c r="AD88" s="410" t="s">
        <v>591</v>
      </c>
      <c r="AE88" s="74"/>
      <c r="AF88" s="74"/>
      <c r="AG88" s="74"/>
      <c r="AH88" s="74"/>
      <c r="AI88" s="296"/>
      <c r="AJ88" s="296"/>
      <c r="AK88" s="296"/>
      <c r="AL88" s="296"/>
      <c r="AM88" s="296"/>
      <c r="AN88" s="74"/>
      <c r="AO88" s="74"/>
      <c r="AP88" s="74"/>
      <c r="AQ88" s="74"/>
      <c r="AR88" s="74"/>
      <c r="AS88" s="296"/>
      <c r="AT88" s="296"/>
      <c r="AU88" s="296"/>
      <c r="AV88" s="296"/>
      <c r="AW88" s="296"/>
      <c r="AX88" s="74"/>
      <c r="AY88" s="74"/>
      <c r="AZ88" s="74"/>
      <c r="BA88" s="74"/>
      <c r="BB88" s="74"/>
      <c r="BC88" s="73"/>
      <c r="BF88" s="1195" t="s">
        <v>684</v>
      </c>
    </row>
    <row customHeight="1" ht="16.672500000000003" hidden="1">
      <c r="E89" s="794">
        <v>17.1</v>
      </c>
      <c r="F89" s="919" cm="1" t="str">
        <f t="array" ref="F89:F89">OFFSET(G89,-1,-1)</f>
        <v>0</v>
      </c>
      <c r="T89" s="805" cm="1" t="str">
        <f t="array" ref="T89:T89">T88</f>
        <v>false</v>
      </c>
      <c r="AB89" s="856" t="s">
        <v>685</v>
      </c>
      <c r="AC89" s="684" t="s">
        <v>646</v>
      </c>
      <c r="AD89" s="410" t="s">
        <v>591</v>
      </c>
      <c r="AE89" s="74"/>
      <c r="AF89" s="74"/>
      <c r="AG89" s="74"/>
      <c r="AH89" s="74"/>
      <c r="AI89" s="296"/>
      <c r="AJ89" s="296"/>
      <c r="AK89" s="296"/>
      <c r="AL89" s="296"/>
      <c r="AM89" s="296"/>
      <c r="AN89" s="74"/>
      <c r="AO89" s="74"/>
      <c r="AP89" s="74"/>
      <c r="AQ89" s="74"/>
      <c r="AR89" s="74"/>
      <c r="AS89" s="296"/>
      <c r="AT89" s="296"/>
      <c r="AU89" s="296"/>
      <c r="AV89" s="296"/>
      <c r="AW89" s="296"/>
      <c r="AX89" s="74"/>
      <c r="AY89" s="74"/>
      <c r="AZ89" s="74"/>
      <c r="BA89" s="74"/>
      <c r="BB89" s="74"/>
      <c r="BC89" s="73"/>
      <c r="BF89" s="1195" t="s">
        <v>686</v>
      </c>
    </row>
    <row customHeight="1" ht="24.862499999999997" hidden="1">
      <c r="E90" s="794">
        <v>25.5</v>
      </c>
      <c r="F90" s="919" cm="1" t="str">
        <f t="array" ref="F90:F90">OFFSET(G90,-1,-1)</f>
        <v>0</v>
      </c>
      <c r="O90" s="736" t="s">
        <v>687</v>
      </c>
      <c r="T90" s="805">
        <f>AND(T89,H28="двухставочный")</f>
        <v>0</v>
      </c>
      <c r="AB90" s="322" t="s">
        <v>688</v>
      </c>
      <c r="AC90" s="594" t="s">
        <v>689</v>
      </c>
      <c r="AD90" s="508" t="s">
        <v>690</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3"/>
      <c r="BF90" s="1195" t="s">
        <v>691</v>
      </c>
    </row>
    <row customHeight="1" ht="16.672500000000003" hidden="1">
      <c r="E91" s="794">
        <v>17.1</v>
      </c>
      <c r="F91" s="919" cm="1" t="str">
        <f t="array" ref="F91:F91">OFFSET(G91,-1,-1)</f>
        <v>0</v>
      </c>
      <c r="O91" s="736" t="s">
        <v>687</v>
      </c>
      <c r="T91" s="805" cm="1" t="str">
        <f t="array" ref="T91:T91">T90</f>
        <v>false</v>
      </c>
      <c r="AB91" s="844" t="str">
        <f>AB90&amp;".1"</f>
        <v>10.1</v>
      </c>
      <c r="AC91" s="561" t="s">
        <v>640</v>
      </c>
      <c r="AD91" s="508" t="s">
        <v>690</v>
      </c>
      <c r="AE91" s="74"/>
      <c r="AF91" s="74"/>
      <c r="AG91" s="74"/>
      <c r="AH91" s="74"/>
      <c r="AI91" s="296"/>
      <c r="AJ91" s="296"/>
      <c r="AK91" s="296"/>
      <c r="AL91" s="296"/>
      <c r="AM91" s="296"/>
      <c r="AN91" s="74"/>
      <c r="AO91" s="74"/>
      <c r="AP91" s="74"/>
      <c r="AQ91" s="74"/>
      <c r="AR91" s="74"/>
      <c r="AS91" s="296"/>
      <c r="AT91" s="296"/>
      <c r="AU91" s="296"/>
      <c r="AV91" s="296"/>
      <c r="AW91" s="296"/>
      <c r="AX91" s="74"/>
      <c r="AY91" s="74"/>
      <c r="AZ91" s="74"/>
      <c r="BA91" s="74"/>
      <c r="BB91" s="83"/>
      <c r="BC91" s="73"/>
      <c r="BF91" s="1195" t="s">
        <v>692</v>
      </c>
    </row>
    <row customHeight="1" ht="16.672500000000003" hidden="1">
      <c r="E92" s="794">
        <v>17.1</v>
      </c>
      <c r="F92" s="919" cm="1" t="str">
        <f t="array" ref="F92:F92">OFFSET(G92,-1,-1)</f>
        <v>0</v>
      </c>
      <c r="O92" s="736" t="s">
        <v>687</v>
      </c>
      <c r="T92" s="805" cm="1" t="str">
        <f t="array" ref="T92:T92">T91</f>
        <v>false</v>
      </c>
      <c r="AB92" s="844" t="str">
        <f>AB90&amp;".2"</f>
        <v>10.2</v>
      </c>
      <c r="AC92" s="415" t="s">
        <v>642</v>
      </c>
      <c r="AD92" s="508" t="s">
        <v>690</v>
      </c>
      <c r="AE92" s="74"/>
      <c r="AF92" s="74"/>
      <c r="AG92" s="74"/>
      <c r="AH92" s="74"/>
      <c r="AI92" s="296"/>
      <c r="AJ92" s="296"/>
      <c r="AK92" s="296"/>
      <c r="AL92" s="296"/>
      <c r="AM92" s="296"/>
      <c r="AN92" s="74"/>
      <c r="AO92" s="74"/>
      <c r="AP92" s="74"/>
      <c r="AQ92" s="74"/>
      <c r="AR92" s="74"/>
      <c r="AS92" s="296"/>
      <c r="AT92" s="296"/>
      <c r="AU92" s="296"/>
      <c r="AV92" s="296"/>
      <c r="AW92" s="296"/>
      <c r="AX92" s="74"/>
      <c r="AY92" s="74"/>
      <c r="AZ92" s="74"/>
      <c r="BA92" s="74"/>
      <c r="BB92" s="83"/>
      <c r="BC92" s="73"/>
      <c r="BF92" s="1195" t="s">
        <v>693</v>
      </c>
    </row>
    <row customHeight="1" ht="16.672500000000003" hidden="1">
      <c r="E93" s="794">
        <v>17.1</v>
      </c>
      <c r="F93" s="919" cm="1" t="str">
        <f t="array" ref="F93:F93">OFFSET(G93,-1,-1)</f>
        <v>0</v>
      </c>
      <c r="O93" s="736" t="s">
        <v>687</v>
      </c>
      <c r="T93" s="805" cm="1" t="str">
        <f t="array" ref="T93:T93">T92</f>
        <v>false</v>
      </c>
      <c r="AB93" s="844" t="str">
        <f>AB90&amp;".3"</f>
        <v>10.3</v>
      </c>
      <c r="AC93" s="415" t="s">
        <v>644</v>
      </c>
      <c r="AD93" s="508" t="s">
        <v>690</v>
      </c>
      <c r="AE93" s="74"/>
      <c r="AF93" s="74"/>
      <c r="AG93" s="74"/>
      <c r="AH93" s="74"/>
      <c r="AI93" s="296"/>
      <c r="AJ93" s="296"/>
      <c r="AK93" s="296"/>
      <c r="AL93" s="296"/>
      <c r="AM93" s="296"/>
      <c r="AN93" s="74"/>
      <c r="AO93" s="74"/>
      <c r="AP93" s="74"/>
      <c r="AQ93" s="74"/>
      <c r="AR93" s="74"/>
      <c r="AS93" s="296"/>
      <c r="AT93" s="296"/>
      <c r="AU93" s="296"/>
      <c r="AV93" s="296"/>
      <c r="AW93" s="296"/>
      <c r="AX93" s="74"/>
      <c r="AY93" s="74"/>
      <c r="AZ93" s="74"/>
      <c r="BA93" s="74"/>
      <c r="BB93" s="83"/>
      <c r="BC93" s="73"/>
      <c r="BF93" s="1195" t="s">
        <v>694</v>
      </c>
    </row>
    <row customHeight="1" ht="16.672500000000003" hidden="1">
      <c r="E94" s="794">
        <v>17.1</v>
      </c>
      <c r="F94" s="919" cm="1" t="str">
        <f t="array" ref="F94:F94">OFFSET(G94,-1,-1)</f>
        <v>0</v>
      </c>
      <c r="O94" s="736" t="s">
        <v>687</v>
      </c>
      <c r="T94" s="805" cm="1" t="str">
        <f t="array" ref="T94:T94">T93</f>
        <v>false</v>
      </c>
      <c r="AB94" s="844" t="str">
        <f>AB90&amp;".4"</f>
        <v>10.4</v>
      </c>
      <c r="AC94" s="415" t="s">
        <v>646</v>
      </c>
      <c r="AD94" s="596" t="s">
        <v>690</v>
      </c>
      <c r="AE94" s="75"/>
      <c r="AF94" s="75"/>
      <c r="AG94" s="75"/>
      <c r="AH94" s="75"/>
      <c r="AI94" s="592"/>
      <c r="AJ94" s="592"/>
      <c r="AK94" s="592"/>
      <c r="AL94" s="592"/>
      <c r="AM94" s="592"/>
      <c r="AN94" s="75"/>
      <c r="AO94" s="75"/>
      <c r="AP94" s="75"/>
      <c r="AQ94" s="75"/>
      <c r="AR94" s="75"/>
      <c r="AS94" s="592"/>
      <c r="AT94" s="592"/>
      <c r="AU94" s="592"/>
      <c r="AV94" s="592"/>
      <c r="AW94" s="592"/>
      <c r="AX94" s="75"/>
      <c r="AY94" s="75"/>
      <c r="AZ94" s="75"/>
      <c r="BA94" s="75"/>
      <c r="BB94" s="84"/>
      <c r="BC94" s="68"/>
      <c r="BF94" s="1195" t="s">
        <v>695</v>
      </c>
    </row>
    <row customHeight="1" ht="52.650000000000006" hidden="1">
      <c r="E95" s="794">
        <v>54</v>
      </c>
      <c r="F95" s="919" cm="1" t="str">
        <f t="array" ref="F95:F95">OFFSET(G95,-1,-1)</f>
        <v>0</v>
      </c>
      <c r="O95" s="736" t="s">
        <v>687</v>
      </c>
      <c r="T95" s="805" cm="1" t="str">
        <f t="array" ref="T95:T95">T94</f>
        <v>false</v>
      </c>
      <c r="AB95" s="322" t="s">
        <v>696</v>
      </c>
      <c r="AC95" s="595" t="s">
        <v>697</v>
      </c>
      <c r="AD95" s="154"/>
      <c r="AE95" s="74"/>
      <c r="AF95" s="74"/>
      <c r="AG95" s="74"/>
      <c r="AH95" s="74"/>
      <c r="AI95" s="296"/>
      <c r="AJ95" s="296"/>
      <c r="AK95" s="296"/>
      <c r="AL95" s="296"/>
      <c r="AM95" s="296"/>
      <c r="AN95" s="74"/>
      <c r="AO95" s="74"/>
      <c r="AP95" s="74"/>
      <c r="AQ95" s="74"/>
      <c r="AR95" s="74"/>
      <c r="AS95" s="296"/>
      <c r="AT95" s="296"/>
      <c r="AU95" s="296"/>
      <c r="AV95" s="296"/>
      <c r="AW95" s="296"/>
      <c r="AX95" s="74"/>
      <c r="AY95" s="74"/>
      <c r="AZ95" s="74"/>
      <c r="BA95" s="74"/>
      <c r="BB95" s="74"/>
      <c r="BC95" s="79"/>
      <c r="BF95" s="1195" t="s">
        <v>698</v>
      </c>
    </row>
    <row s="1619" customFormat="1" customHeight="1" ht="10.5">
      <c r="A96" s="1183"/>
      <c r="B96" s="924"/>
      <c r="C96" s="1461"/>
      <c r="D96" s="1461"/>
      <c r="E96" s="794">
        <v>11.4</v>
      </c>
      <c r="F96" s="919" cm="1" t="str">
        <f t="array" ref="F96:F96">X96</f>
        <v>1</v>
      </c>
      <c r="G96" s="210" cm="1" t="str">
        <f t="array" ref="G96:G96">INDEX('Общие сведения'!$AL$169:$AL$218,MATCH($F96,'Общие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96" s="210" cm="1" t="str">
        <f t="array" ref="H96:H96">INDEX('Общие сведения'!$AK$169:$AK$218,MATCH($F96,'Общие сведения'!$Z$169:$Z$218,0))</f>
        <v>одноставочный</v>
      </c>
      <c r="I96" s="497"/>
      <c r="J96" s="497"/>
      <c r="K96" s="497"/>
      <c r="L96" s="497"/>
      <c r="M96" s="497"/>
      <c r="N96" s="497"/>
      <c r="O96" s="497"/>
      <c r="P96" s="497"/>
      <c r="Q96" s="497"/>
      <c r="R96" s="497"/>
      <c r="S96" s="497"/>
      <c r="T96" s="805">
        <f>AND(X96&gt;0,G96&lt;&gt;"передача тепловой энергии")</f>
        <v>1</v>
      </c>
      <c r="U96" s="1461"/>
      <c r="V96" s="172" cm="1" t="str">
        <f t="array" ref="V96:V96">'Сценарии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W96" s="1461"/>
      <c r="X96" s="172" t="s">
        <v>335</v>
      </c>
      <c r="Y96" s="1461"/>
      <c r="Z96" s="1461"/>
      <c r="AA96" s="497"/>
      <c r="AB96" s="463" cm="1" t="str">
        <f t="array" ref="AB96:AB96">IF(ISBLANK('Сценарии (МСА)'!$AB$35),"",'Сценарии (МСА)'!$AB$35)</f>
        <v>Тариф 1 (Теплоснабжение) - Тариф на тепловую энергию (мощность), поставляемую потребителям (Тариф: Носитель - горячая вода (Т); Носитель - горячая вода (Т))</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19" customFormat="1" customHeight="1" ht="16.5">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true</v>
      </c>
      <c r="U97" s="1461"/>
      <c r="V97" s="1461"/>
      <c r="W97" s="1461"/>
      <c r="X97" s="1461"/>
      <c r="Y97" s="1461"/>
      <c r="Z97" s="1461"/>
      <c r="AA97" s="497"/>
      <c r="AB97" s="322" t="s">
        <v>335</v>
      </c>
      <c r="AC97" s="160" t="s">
        <v>590</v>
      </c>
      <c r="AD97" s="166" t="s">
        <v>591</v>
      </c>
      <c r="AE97" s="364">
        <f>AE98+AE101+AE104</f>
        <v>0</v>
      </c>
      <c r="AF97" s="364">
        <f>AF98+AF101+AF104</f>
        <v>0</v>
      </c>
      <c r="AG97" s="364">
        <f>AG98+AG101+AG104</f>
        <v>0</v>
      </c>
      <c r="AH97" s="364">
        <f>AH98+AH101+AH104</f>
        <v>0</v>
      </c>
      <c r="AI97" s="364">
        <f>AI98+AI101+AI104</f>
        <v>1384</v>
      </c>
      <c r="AJ97" s="364">
        <f>AJ98+AJ101+AJ104</f>
        <v>1384</v>
      </c>
      <c r="AK97" s="364">
        <f>AK98+AK101+AK104</f>
        <v>1384</v>
      </c>
      <c r="AL97" s="364">
        <f>AL98+AL101+AL104</f>
        <v>1384</v>
      </c>
      <c r="AM97" s="364">
        <f>AM98+AM101+AM104</f>
        <v>1384</v>
      </c>
      <c r="AN97" s="364">
        <f>AN98+AN101+AN104</f>
        <v>1384</v>
      </c>
      <c r="AO97" s="364">
        <f>AO98+AO101+AO104</f>
        <v>1384</v>
      </c>
      <c r="AP97" s="364">
        <f>AP98+AP101+AP104</f>
        <v>1384</v>
      </c>
      <c r="AQ97" s="364">
        <f>AQ98+AQ101+AQ104</f>
        <v>1384</v>
      </c>
      <c r="AR97" s="364">
        <f>AR98+AR101+AR104</f>
        <v>1384</v>
      </c>
      <c r="AS97" s="364">
        <f>AS98+AS101+AS104</f>
        <v>1384</v>
      </c>
      <c r="AT97" s="364">
        <f>AT98+AT101+AT104</f>
        <v>1384</v>
      </c>
      <c r="AU97" s="364">
        <f>AU98+AU101+AU104</f>
        <v>1384</v>
      </c>
      <c r="AV97" s="364">
        <f>AV98+AV101+AV104</f>
        <v>1384</v>
      </c>
      <c r="AW97" s="364">
        <f>AW98+AW101+AW104</f>
        <v>1384</v>
      </c>
      <c r="AX97" s="364">
        <f>AX98+AX101+AX104</f>
        <v>0</v>
      </c>
      <c r="AY97" s="364">
        <f>AY98+AY101+AY104</f>
        <v>0</v>
      </c>
      <c r="AZ97" s="364">
        <f>AZ98+AZ101+AZ104</f>
        <v>0</v>
      </c>
      <c r="BA97" s="364">
        <f>BA98+BA101+BA104</f>
        <v>0</v>
      </c>
      <c r="BB97" s="364">
        <f>BB98+BB101+BB104</f>
        <v>0</v>
      </c>
      <c r="BC97" s="1730"/>
      <c r="BD97" s="497"/>
      <c r="BE97" s="497"/>
      <c r="BF97" s="1195" t="s">
        <v>592</v>
      </c>
    </row>
    <row s="1619" customFormat="1" customHeight="1" ht="16.5">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true</v>
      </c>
      <c r="U98" s="1461"/>
      <c r="V98" s="1461"/>
      <c r="W98" s="1461"/>
      <c r="X98" s="1461"/>
      <c r="Y98" s="1461"/>
      <c r="Z98" s="1461"/>
      <c r="AA98" s="497"/>
      <c r="AB98" s="154" t="str">
        <f>AB97&amp;".1"</f>
        <v>1.1</v>
      </c>
      <c r="AC98" s="161" t="s">
        <v>593</v>
      </c>
      <c r="AD98" s="166" t="s">
        <v>591</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30"/>
      <c r="BD98" s="497"/>
      <c r="BE98" s="497"/>
      <c r="BF98" s="1195" t="s">
        <v>594</v>
      </c>
    </row>
    <row s="1619" customFormat="1" customHeight="1" ht="16.5">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true</v>
      </c>
      <c r="U99" s="1461"/>
      <c r="V99" s="1461"/>
      <c r="W99" s="1461"/>
      <c r="X99" s="1461"/>
      <c r="Y99" s="1461"/>
      <c r="Z99" s="1461"/>
      <c r="AA99" s="497"/>
      <c r="AB99" s="154" t="str">
        <f>AB98&amp;".1"</f>
        <v>1.1.1</v>
      </c>
      <c r="AC99" s="559" t="s">
        <v>595</v>
      </c>
      <c r="AD99" s="166" t="s">
        <v>591</v>
      </c>
      <c r="AE99" s="1731"/>
      <c r="AF99" s="1731"/>
      <c r="AG99" s="1731"/>
      <c r="AH99" s="1731"/>
      <c r="AI99" s="296"/>
      <c r="AJ99" s="296"/>
      <c r="AK99" s="296"/>
      <c r="AL99" s="296"/>
      <c r="AM99" s="296"/>
      <c r="AN99" s="1731"/>
      <c r="AO99" s="1731"/>
      <c r="AP99" s="1731"/>
      <c r="AQ99" s="1731"/>
      <c r="AR99" s="1731"/>
      <c r="AS99" s="296"/>
      <c r="AT99" s="296"/>
      <c r="AU99" s="296"/>
      <c r="AV99" s="296"/>
      <c r="AW99" s="296"/>
      <c r="AX99" s="1731"/>
      <c r="AY99" s="1731"/>
      <c r="AZ99" s="1731"/>
      <c r="BA99" s="1731"/>
      <c r="BB99" s="1731"/>
      <c r="BC99" s="1730"/>
      <c r="BD99" s="497"/>
      <c r="BE99" s="497"/>
      <c r="BF99" s="1195" t="s">
        <v>596</v>
      </c>
    </row>
    <row s="1619" customFormat="1" customHeight="1" ht="16.5">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61"/>
      <c r="V100" s="1461"/>
      <c r="W100" s="1461"/>
      <c r="X100" s="1461"/>
      <c r="Y100" s="1461"/>
      <c r="Z100" s="1461"/>
      <c r="AA100" s="497"/>
      <c r="AB100" s="154" t="str">
        <f>AB98&amp;".2"</f>
        <v>1.1.2</v>
      </c>
      <c r="AC100" s="559" t="s">
        <v>597</v>
      </c>
      <c r="AD100" s="166" t="s">
        <v>591</v>
      </c>
      <c r="AE100" s="1731"/>
      <c r="AF100" s="1731"/>
      <c r="AG100" s="1731"/>
      <c r="AH100" s="1731"/>
      <c r="AI100" s="296"/>
      <c r="AJ100" s="296"/>
      <c r="AK100" s="296"/>
      <c r="AL100" s="296"/>
      <c r="AM100" s="296"/>
      <c r="AN100" s="1731"/>
      <c r="AO100" s="1731"/>
      <c r="AP100" s="1731"/>
      <c r="AQ100" s="1731"/>
      <c r="AR100" s="1731"/>
      <c r="AS100" s="296"/>
      <c r="AT100" s="296"/>
      <c r="AU100" s="296"/>
      <c r="AV100" s="296"/>
      <c r="AW100" s="296"/>
      <c r="AX100" s="1731"/>
      <c r="AY100" s="1731"/>
      <c r="AZ100" s="1731"/>
      <c r="BA100" s="1731"/>
      <c r="BB100" s="1731"/>
      <c r="BC100" s="1730"/>
      <c r="BD100" s="497"/>
      <c r="BE100" s="497"/>
      <c r="BF100" s="1195" t="s">
        <v>598</v>
      </c>
    </row>
    <row s="1619" customFormat="1" customHeight="1" ht="16.5">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61"/>
      <c r="V101" s="1461"/>
      <c r="W101" s="1461"/>
      <c r="X101" s="1461"/>
      <c r="Y101" s="1461"/>
      <c r="Z101" s="1461"/>
      <c r="AA101" s="497"/>
      <c r="AB101" s="154" t="str">
        <f>AB97&amp;".2"</f>
        <v>1.2</v>
      </c>
      <c r="AC101" s="161" t="s">
        <v>599</v>
      </c>
      <c r="AD101" s="166" t="s">
        <v>591</v>
      </c>
      <c r="AE101" s="364">
        <f>AE102+AE103</f>
        <v>0</v>
      </c>
      <c r="AF101" s="364">
        <f>AF102+AF103</f>
        <v>0</v>
      </c>
      <c r="AG101" s="364">
        <f>AG102+AG103</f>
        <v>0</v>
      </c>
      <c r="AH101" s="364">
        <f>AH102+AH103</f>
        <v>0</v>
      </c>
      <c r="AI101" s="364">
        <f>AI102+AI103</f>
        <v>1384</v>
      </c>
      <c r="AJ101" s="364">
        <f>AJ102+AJ103</f>
        <v>1384</v>
      </c>
      <c r="AK101" s="364">
        <f>AK102+AK103</f>
        <v>1384</v>
      </c>
      <c r="AL101" s="364">
        <f>AL102+AL103</f>
        <v>1384</v>
      </c>
      <c r="AM101" s="364">
        <f>AM102+AM103</f>
        <v>1384</v>
      </c>
      <c r="AN101" s="364">
        <f>AN102+AN103</f>
        <v>1384</v>
      </c>
      <c r="AO101" s="364">
        <f>AO102+AO103</f>
        <v>1384</v>
      </c>
      <c r="AP101" s="364">
        <f>AP102+AP103</f>
        <v>1384</v>
      </c>
      <c r="AQ101" s="364">
        <f>AQ102+AQ103</f>
        <v>1384</v>
      </c>
      <c r="AR101" s="364">
        <f>AR102+AR103</f>
        <v>1384</v>
      </c>
      <c r="AS101" s="364">
        <f>AS102+AS103</f>
        <v>1384</v>
      </c>
      <c r="AT101" s="364">
        <f>AT102+AT103</f>
        <v>1384</v>
      </c>
      <c r="AU101" s="364">
        <f>AU102+AU103</f>
        <v>1384</v>
      </c>
      <c r="AV101" s="364">
        <f>AV102+AV103</f>
        <v>1384</v>
      </c>
      <c r="AW101" s="364">
        <f>AW102+AW103</f>
        <v>1384</v>
      </c>
      <c r="AX101" s="364">
        <f>AX102+AX103</f>
        <v>0</v>
      </c>
      <c r="AY101" s="364">
        <f>AY102+AY103</f>
        <v>0</v>
      </c>
      <c r="AZ101" s="364">
        <f>AZ102+AZ103</f>
        <v>0</v>
      </c>
      <c r="BA101" s="364">
        <f>BA102+BA103</f>
        <v>0</v>
      </c>
      <c r="BB101" s="364">
        <f>BB102+BB103</f>
        <v>0</v>
      </c>
      <c r="BC101" s="1730"/>
      <c r="BD101" s="497"/>
      <c r="BE101" s="497"/>
      <c r="BF101" s="1195" t="s">
        <v>600</v>
      </c>
    </row>
    <row s="1619" customFormat="1" customHeight="1" ht="16.5">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61"/>
      <c r="V102" s="1461"/>
      <c r="W102" s="1461"/>
      <c r="X102" s="1461"/>
      <c r="Y102" s="1461"/>
      <c r="Z102" s="1461"/>
      <c r="AA102" s="497"/>
      <c r="AB102" s="154" t="str">
        <f>AB101&amp;".1"</f>
        <v>1.2.1</v>
      </c>
      <c r="AC102" s="559" t="s">
        <v>595</v>
      </c>
      <c r="AD102" s="166" t="s">
        <v>591</v>
      </c>
      <c r="AE102" s="1731"/>
      <c r="AF102" s="1731"/>
      <c r="AG102" s="1731"/>
      <c r="AH102" s="1731"/>
      <c r="AI102" s="296">
        <v>1384</v>
      </c>
      <c r="AJ102" s="296">
        <v>1384</v>
      </c>
      <c r="AK102" s="296">
        <v>1384</v>
      </c>
      <c r="AL102" s="296">
        <v>1384</v>
      </c>
      <c r="AM102" s="296">
        <v>1384</v>
      </c>
      <c r="AN102" s="1731">
        <v>1384</v>
      </c>
      <c r="AO102" s="1731">
        <v>1384</v>
      </c>
      <c r="AP102" s="1731">
        <v>1384</v>
      </c>
      <c r="AQ102" s="1731">
        <v>1384</v>
      </c>
      <c r="AR102" s="1731">
        <v>1384</v>
      </c>
      <c r="AS102" s="296">
        <v>1384</v>
      </c>
      <c r="AT102" s="296">
        <v>1384</v>
      </c>
      <c r="AU102" s="296">
        <v>1384</v>
      </c>
      <c r="AV102" s="296">
        <v>1384</v>
      </c>
      <c r="AW102" s="296">
        <v>1384</v>
      </c>
      <c r="AX102" s="1731"/>
      <c r="AY102" s="1731"/>
      <c r="AZ102" s="1731"/>
      <c r="BA102" s="1731"/>
      <c r="BB102" s="1731"/>
      <c r="BC102" s="1730"/>
      <c r="BD102" s="497"/>
      <c r="BE102" s="497"/>
      <c r="BF102" s="1195" t="s">
        <v>601</v>
      </c>
    </row>
    <row s="1619" customFormat="1" customHeight="1" ht="16.5">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61"/>
      <c r="V103" s="1461"/>
      <c r="W103" s="1461"/>
      <c r="X103" s="1461"/>
      <c r="Y103" s="1461"/>
      <c r="Z103" s="1461"/>
      <c r="AA103" s="497"/>
      <c r="AB103" s="154" t="str">
        <f>AB101&amp;".2"</f>
        <v>1.2.2</v>
      </c>
      <c r="AC103" s="559" t="s">
        <v>597</v>
      </c>
      <c r="AD103" s="166" t="s">
        <v>591</v>
      </c>
      <c r="AE103" s="1731"/>
      <c r="AF103" s="1731"/>
      <c r="AG103" s="1731"/>
      <c r="AH103" s="1731"/>
      <c r="AI103" s="296"/>
      <c r="AJ103" s="296"/>
      <c r="AK103" s="296"/>
      <c r="AL103" s="296"/>
      <c r="AM103" s="296"/>
      <c r="AN103" s="1731"/>
      <c r="AO103" s="1731"/>
      <c r="AP103" s="1731"/>
      <c r="AQ103" s="1731"/>
      <c r="AR103" s="1731"/>
      <c r="AS103" s="296"/>
      <c r="AT103" s="296"/>
      <c r="AU103" s="296"/>
      <c r="AV103" s="296"/>
      <c r="AW103" s="296"/>
      <c r="AX103" s="1731"/>
      <c r="AY103" s="1731"/>
      <c r="AZ103" s="1731"/>
      <c r="BA103" s="1731"/>
      <c r="BB103" s="1731"/>
      <c r="BC103" s="1730"/>
      <c r="BD103" s="497"/>
      <c r="BE103" s="497"/>
      <c r="BF103" s="1195" t="s">
        <v>602</v>
      </c>
    </row>
    <row s="1619" customFormat="1" customHeight="1" ht="16.5">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61"/>
      <c r="V104" s="1461"/>
      <c r="W104" s="1461"/>
      <c r="X104" s="1461"/>
      <c r="Y104" s="1461"/>
      <c r="Z104" s="1461"/>
      <c r="AA104" s="497"/>
      <c r="AB104" s="154" t="str">
        <f>AB97&amp;".3"</f>
        <v>1.3</v>
      </c>
      <c r="AC104" s="161" t="s">
        <v>603</v>
      </c>
      <c r="AD104" s="166" t="s">
        <v>591</v>
      </c>
      <c r="AE104" s="1731"/>
      <c r="AF104" s="1731"/>
      <c r="AG104" s="1731"/>
      <c r="AH104" s="1731"/>
      <c r="AI104" s="296"/>
      <c r="AJ104" s="296"/>
      <c r="AK104" s="296"/>
      <c r="AL104" s="296"/>
      <c r="AM104" s="296"/>
      <c r="AN104" s="1731"/>
      <c r="AO104" s="1731"/>
      <c r="AP104" s="1731"/>
      <c r="AQ104" s="1731"/>
      <c r="AR104" s="1731"/>
      <c r="AS104" s="296"/>
      <c r="AT104" s="296"/>
      <c r="AU104" s="296"/>
      <c r="AV104" s="296"/>
      <c r="AW104" s="296"/>
      <c r="AX104" s="1731"/>
      <c r="AY104" s="1731"/>
      <c r="AZ104" s="1731"/>
      <c r="BA104" s="1731"/>
      <c r="BB104" s="1731"/>
      <c r="BC104" s="1730"/>
      <c r="BD104" s="497"/>
      <c r="BE104" s="497"/>
      <c r="BF104" s="1195" t="s">
        <v>604</v>
      </c>
    </row>
    <row s="1619" customFormat="1" customHeight="1" ht="16.5">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61"/>
      <c r="V105" s="1461"/>
      <c r="W105" s="1461"/>
      <c r="X105" s="1461"/>
      <c r="Y105" s="1461"/>
      <c r="Z105" s="1461"/>
      <c r="AA105" s="497"/>
      <c r="AB105" s="170" t="s">
        <v>343</v>
      </c>
      <c r="AC105" s="845" t="s">
        <v>605</v>
      </c>
      <c r="AD105" s="166" t="s">
        <v>591</v>
      </c>
      <c r="AE105" s="364">
        <f>AE106+AE109+AE112</f>
        <v>0</v>
      </c>
      <c r="AF105" s="364">
        <f>AF106+AF109+AF112</f>
        <v>0</v>
      </c>
      <c r="AG105" s="364">
        <f>AG106+AG109+AG112</f>
        <v>0</v>
      </c>
      <c r="AH105" s="364">
        <f>AH106+AH109+AH112</f>
        <v>0</v>
      </c>
      <c r="AI105" s="364">
        <f>AI106+AI109+AI112</f>
        <v>14</v>
      </c>
      <c r="AJ105" s="364">
        <f>AJ106+AJ109+AJ112</f>
        <v>14</v>
      </c>
      <c r="AK105" s="364">
        <f>AK106+AK109+AK112</f>
        <v>14</v>
      </c>
      <c r="AL105" s="364">
        <f>AL106+AL109+AL112</f>
        <v>14</v>
      </c>
      <c r="AM105" s="364">
        <f>AM106+AM109+AM112</f>
        <v>14</v>
      </c>
      <c r="AN105" s="364">
        <f>AN106+AN109+AN112</f>
        <v>14</v>
      </c>
      <c r="AO105" s="364">
        <f>AO106+AO109+AO112</f>
        <v>14</v>
      </c>
      <c r="AP105" s="364">
        <f>AP106+AP109+AP112</f>
        <v>14</v>
      </c>
      <c r="AQ105" s="364">
        <f>AQ106+AQ109+AQ112</f>
        <v>14</v>
      </c>
      <c r="AR105" s="364">
        <f>AR106+AR109+AR112</f>
        <v>14</v>
      </c>
      <c r="AS105" s="364">
        <f>AS106+AS109+AS112</f>
        <v>14</v>
      </c>
      <c r="AT105" s="364">
        <f>AT106+AT109+AT112</f>
        <v>14</v>
      </c>
      <c r="AU105" s="364">
        <f>AU106+AU109+AU112</f>
        <v>14</v>
      </c>
      <c r="AV105" s="364">
        <f>AV106+AV109+AV112</f>
        <v>14</v>
      </c>
      <c r="AW105" s="364">
        <f>AW106+AW109+AW112</f>
        <v>14</v>
      </c>
      <c r="AX105" s="364">
        <f>AX106+AX109+AX112</f>
        <v>0</v>
      </c>
      <c r="AY105" s="364">
        <f>AY106+AY109+AY112</f>
        <v>0</v>
      </c>
      <c r="AZ105" s="364">
        <f>AZ106+AZ109+AZ112</f>
        <v>0</v>
      </c>
      <c r="BA105" s="364">
        <f>BA106+BA109+BA112</f>
        <v>0</v>
      </c>
      <c r="BB105" s="364">
        <f>BB106+BB109+BB112</f>
        <v>0</v>
      </c>
      <c r="BC105" s="1730"/>
      <c r="BD105" s="497"/>
      <c r="BE105" s="497"/>
      <c r="BF105" s="1195" t="s">
        <v>606</v>
      </c>
    </row>
    <row s="1619" customFormat="1" customHeight="1" ht="16.5">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61"/>
      <c r="V106" s="1461"/>
      <c r="W106" s="1461"/>
      <c r="X106" s="1461"/>
      <c r="Y106" s="1461"/>
      <c r="Z106" s="1461"/>
      <c r="AA106" s="497"/>
      <c r="AB106" s="154" t="str">
        <f>AB105&amp;".1"</f>
        <v>2.1</v>
      </c>
      <c r="AC106" s="161" t="s">
        <v>593</v>
      </c>
      <c r="AD106" s="166" t="s">
        <v>591</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30"/>
      <c r="BD106" s="497"/>
      <c r="BE106" s="497"/>
      <c r="BF106" s="1195" t="s">
        <v>607</v>
      </c>
    </row>
    <row s="1619" customFormat="1" customHeight="1" ht="16.5">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61"/>
      <c r="V107" s="1461"/>
      <c r="W107" s="1461"/>
      <c r="X107" s="1461"/>
      <c r="Y107" s="1461"/>
      <c r="Z107" s="1461"/>
      <c r="AA107" s="497"/>
      <c r="AB107" s="154" t="str">
        <f>AB106&amp;".1"</f>
        <v>2.1.1</v>
      </c>
      <c r="AC107" s="559" t="s">
        <v>595</v>
      </c>
      <c r="AD107" s="166" t="s">
        <v>591</v>
      </c>
      <c r="AE107" s="1731"/>
      <c r="AF107" s="1731"/>
      <c r="AG107" s="1731"/>
      <c r="AH107" s="1731"/>
      <c r="AI107" s="296"/>
      <c r="AJ107" s="296"/>
      <c r="AK107" s="296"/>
      <c r="AL107" s="296"/>
      <c r="AM107" s="296"/>
      <c r="AN107" s="1731"/>
      <c r="AO107" s="1731"/>
      <c r="AP107" s="1731"/>
      <c r="AQ107" s="1731"/>
      <c r="AR107" s="1731"/>
      <c r="AS107" s="296"/>
      <c r="AT107" s="296"/>
      <c r="AU107" s="296"/>
      <c r="AV107" s="296"/>
      <c r="AW107" s="296"/>
      <c r="AX107" s="1731"/>
      <c r="AY107" s="1731"/>
      <c r="AZ107" s="1731"/>
      <c r="BA107" s="1731"/>
      <c r="BB107" s="1731"/>
      <c r="BC107" s="1730"/>
      <c r="BD107" s="497"/>
      <c r="BE107" s="497"/>
      <c r="BF107" s="1195" t="s">
        <v>608</v>
      </c>
    </row>
    <row s="1619" customFormat="1" customHeight="1" ht="16.5">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61"/>
      <c r="V108" s="1461"/>
      <c r="W108" s="1461"/>
      <c r="X108" s="1461"/>
      <c r="Y108" s="1461"/>
      <c r="Z108" s="1461"/>
      <c r="AA108" s="497"/>
      <c r="AB108" s="154" t="str">
        <f>AB106&amp;".2"</f>
        <v>2.1.2</v>
      </c>
      <c r="AC108" s="559" t="s">
        <v>597</v>
      </c>
      <c r="AD108" s="166" t="s">
        <v>591</v>
      </c>
      <c r="AE108" s="1731"/>
      <c r="AF108" s="1731"/>
      <c r="AG108" s="1731"/>
      <c r="AH108" s="1731"/>
      <c r="AI108" s="296"/>
      <c r="AJ108" s="296"/>
      <c r="AK108" s="296"/>
      <c r="AL108" s="296"/>
      <c r="AM108" s="296"/>
      <c r="AN108" s="1731"/>
      <c r="AO108" s="1731"/>
      <c r="AP108" s="1731"/>
      <c r="AQ108" s="1731"/>
      <c r="AR108" s="1731"/>
      <c r="AS108" s="296"/>
      <c r="AT108" s="296"/>
      <c r="AU108" s="296"/>
      <c r="AV108" s="296"/>
      <c r="AW108" s="296"/>
      <c r="AX108" s="1731"/>
      <c r="AY108" s="1731"/>
      <c r="AZ108" s="1731"/>
      <c r="BA108" s="1731"/>
      <c r="BB108" s="1731"/>
      <c r="BC108" s="1730"/>
      <c r="BD108" s="497"/>
      <c r="BE108" s="497"/>
      <c r="BF108" s="1195" t="s">
        <v>609</v>
      </c>
    </row>
    <row s="1619" customFormat="1" customHeight="1" ht="16.5">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61"/>
      <c r="V109" s="1461"/>
      <c r="W109" s="1461"/>
      <c r="X109" s="1461"/>
      <c r="Y109" s="1461"/>
      <c r="Z109" s="1461"/>
      <c r="AA109" s="497"/>
      <c r="AB109" s="154" t="str">
        <f>AB106&amp;".2"</f>
        <v>2.1.2</v>
      </c>
      <c r="AC109" s="161" t="s">
        <v>599</v>
      </c>
      <c r="AD109" s="166" t="s">
        <v>591</v>
      </c>
      <c r="AE109" s="364">
        <f>AE110+AE111</f>
        <v>0</v>
      </c>
      <c r="AF109" s="364">
        <f>AF110+AF111</f>
        <v>0</v>
      </c>
      <c r="AG109" s="364">
        <f>AG110+AG111</f>
        <v>0</v>
      </c>
      <c r="AH109" s="364">
        <f>AH110+AH111</f>
        <v>0</v>
      </c>
      <c r="AI109" s="364">
        <f>AI110+AI111</f>
        <v>14</v>
      </c>
      <c r="AJ109" s="364">
        <f>AJ110+AJ111</f>
        <v>14</v>
      </c>
      <c r="AK109" s="364">
        <f>AK110+AK111</f>
        <v>14</v>
      </c>
      <c r="AL109" s="364">
        <f>AL110+AL111</f>
        <v>14</v>
      </c>
      <c r="AM109" s="364">
        <f>AM110+AM111</f>
        <v>14</v>
      </c>
      <c r="AN109" s="364">
        <f>AN110+AN111</f>
        <v>14</v>
      </c>
      <c r="AO109" s="364">
        <f>AO110+AO111</f>
        <v>14</v>
      </c>
      <c r="AP109" s="364">
        <f>AP110+AP111</f>
        <v>14</v>
      </c>
      <c r="AQ109" s="364">
        <f>AQ110+AQ111</f>
        <v>14</v>
      </c>
      <c r="AR109" s="364">
        <f>AR110+AR111</f>
        <v>14</v>
      </c>
      <c r="AS109" s="364">
        <f>AS110+AS111</f>
        <v>14</v>
      </c>
      <c r="AT109" s="364">
        <f>AT110+AT111</f>
        <v>14</v>
      </c>
      <c r="AU109" s="364">
        <f>AU110+AU111</f>
        <v>14</v>
      </c>
      <c r="AV109" s="364">
        <f>AV110+AV111</f>
        <v>14</v>
      </c>
      <c r="AW109" s="364">
        <f>AW110+AW111</f>
        <v>14</v>
      </c>
      <c r="AX109" s="364">
        <f>AX110+AX111</f>
        <v>0</v>
      </c>
      <c r="AY109" s="364">
        <f>AY110+AY111</f>
        <v>0</v>
      </c>
      <c r="AZ109" s="364">
        <f>AZ110+AZ111</f>
        <v>0</v>
      </c>
      <c r="BA109" s="364">
        <f>BA110+BA111</f>
        <v>0</v>
      </c>
      <c r="BB109" s="364">
        <f>BB110+BB111</f>
        <v>0</v>
      </c>
      <c r="BC109" s="1730"/>
      <c r="BD109" s="497"/>
      <c r="BE109" s="497"/>
      <c r="BF109" s="1195" t="s">
        <v>610</v>
      </c>
    </row>
    <row s="1619" customFormat="1" customHeight="1" ht="16.5">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61"/>
      <c r="V110" s="1461"/>
      <c r="W110" s="1461"/>
      <c r="X110" s="1461"/>
      <c r="Y110" s="1461"/>
      <c r="Z110" s="1461"/>
      <c r="AA110" s="497"/>
      <c r="AB110" s="154" t="str">
        <f>AB109&amp;".1"</f>
        <v>2.1.2.1</v>
      </c>
      <c r="AC110" s="559" t="s">
        <v>595</v>
      </c>
      <c r="AD110" s="166" t="s">
        <v>591</v>
      </c>
      <c r="AE110" s="1731"/>
      <c r="AF110" s="1731"/>
      <c r="AG110" s="1731"/>
      <c r="AH110" s="1731"/>
      <c r="AI110" s="296">
        <v>14</v>
      </c>
      <c r="AJ110" s="296">
        <v>14</v>
      </c>
      <c r="AK110" s="296">
        <v>14</v>
      </c>
      <c r="AL110" s="296">
        <v>14</v>
      </c>
      <c r="AM110" s="296">
        <v>14</v>
      </c>
      <c r="AN110" s="1731">
        <v>14</v>
      </c>
      <c r="AO110" s="1731">
        <v>14</v>
      </c>
      <c r="AP110" s="1731">
        <v>14</v>
      </c>
      <c r="AQ110" s="1731">
        <v>14</v>
      </c>
      <c r="AR110" s="1731">
        <v>14</v>
      </c>
      <c r="AS110" s="296">
        <v>14</v>
      </c>
      <c r="AT110" s="296">
        <v>14</v>
      </c>
      <c r="AU110" s="296">
        <v>14</v>
      </c>
      <c r="AV110" s="296">
        <v>14</v>
      </c>
      <c r="AW110" s="296">
        <v>14</v>
      </c>
      <c r="AX110" s="1731"/>
      <c r="AY110" s="1731"/>
      <c r="AZ110" s="1731"/>
      <c r="BA110" s="1731"/>
      <c r="BB110" s="1731"/>
      <c r="BC110" s="1730"/>
      <c r="BD110" s="497"/>
      <c r="BE110" s="497"/>
      <c r="BF110" s="1195" t="s">
        <v>611</v>
      </c>
    </row>
    <row s="1619" customFormat="1" customHeight="1" ht="16.5">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61"/>
      <c r="V111" s="1461"/>
      <c r="W111" s="1461"/>
      <c r="X111" s="1461"/>
      <c r="Y111" s="1461"/>
      <c r="Z111" s="1461"/>
      <c r="AA111" s="497"/>
      <c r="AB111" s="154" t="str">
        <f>AB109&amp;".2"</f>
        <v>2.1.2.2</v>
      </c>
      <c r="AC111" s="559" t="s">
        <v>597</v>
      </c>
      <c r="AD111" s="848" t="s">
        <v>591</v>
      </c>
      <c r="AE111" s="1733"/>
      <c r="AF111" s="1731"/>
      <c r="AG111" s="1733"/>
      <c r="AH111" s="1731"/>
      <c r="AI111" s="592"/>
      <c r="AJ111" s="296"/>
      <c r="AK111" s="592"/>
      <c r="AL111" s="296"/>
      <c r="AM111" s="592"/>
      <c r="AN111" s="1731"/>
      <c r="AO111" s="1733"/>
      <c r="AP111" s="1731"/>
      <c r="AQ111" s="1733"/>
      <c r="AR111" s="1731"/>
      <c r="AS111" s="592"/>
      <c r="AT111" s="296"/>
      <c r="AU111" s="592"/>
      <c r="AV111" s="296"/>
      <c r="AW111" s="592"/>
      <c r="AX111" s="1731"/>
      <c r="AY111" s="1733"/>
      <c r="AZ111" s="1731"/>
      <c r="BA111" s="1733"/>
      <c r="BB111" s="1731"/>
      <c r="BC111" s="1730"/>
      <c r="BD111" s="497"/>
      <c r="BE111" s="497"/>
      <c r="BF111" s="1195" t="s">
        <v>612</v>
      </c>
    </row>
    <row s="1619" customFormat="1" customHeight="1" ht="16.5">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61"/>
      <c r="V112" s="1461"/>
      <c r="W112" s="1461"/>
      <c r="X112" s="1461"/>
      <c r="Y112" s="1461"/>
      <c r="Z112" s="1461"/>
      <c r="AA112" s="497"/>
      <c r="AB112" s="154" t="str">
        <f>AB105&amp;".3"</f>
        <v>2.3</v>
      </c>
      <c r="AC112" s="721" t="s">
        <v>603</v>
      </c>
      <c r="AD112" s="166" t="s">
        <v>591</v>
      </c>
      <c r="AE112" s="1731"/>
      <c r="AF112" s="1735"/>
      <c r="AG112" s="1731"/>
      <c r="AH112" s="1735"/>
      <c r="AI112" s="296"/>
      <c r="AJ112" s="851"/>
      <c r="AK112" s="296"/>
      <c r="AL112" s="851"/>
      <c r="AM112" s="296"/>
      <c r="AN112" s="1735"/>
      <c r="AO112" s="1731"/>
      <c r="AP112" s="1735"/>
      <c r="AQ112" s="1731"/>
      <c r="AR112" s="1735"/>
      <c r="AS112" s="296"/>
      <c r="AT112" s="851"/>
      <c r="AU112" s="296"/>
      <c r="AV112" s="851"/>
      <c r="AW112" s="296"/>
      <c r="AX112" s="1735"/>
      <c r="AY112" s="1731"/>
      <c r="AZ112" s="1735"/>
      <c r="BA112" s="1731"/>
      <c r="BB112" s="1735"/>
      <c r="BC112" s="1730"/>
      <c r="BD112" s="497"/>
      <c r="BE112" s="497"/>
      <c r="BF112" s="1195" t="s">
        <v>613</v>
      </c>
    </row>
    <row s="1619" customFormat="1" customHeight="1" ht="29.25">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61"/>
      <c r="V113" s="1461"/>
      <c r="W113" s="1461"/>
      <c r="X113" s="1461"/>
      <c r="Y113" s="1461"/>
      <c r="Z113" s="1461"/>
      <c r="AA113" s="497"/>
      <c r="AB113" s="322" t="s">
        <v>614</v>
      </c>
      <c r="AC113" s="160" t="s">
        <v>615</v>
      </c>
      <c r="AD113" s="166" t="s">
        <v>591</v>
      </c>
      <c r="AE113" s="364">
        <f>AE114+AE117+AE120</f>
        <v>0</v>
      </c>
      <c r="AF113" s="852">
        <f>AF114+AF117+AF120</f>
        <v>0</v>
      </c>
      <c r="AG113" s="364">
        <f>AG114+AG117+AG120</f>
        <v>0</v>
      </c>
      <c r="AH113" s="364">
        <f>AH114+AH117+AH120</f>
        <v>0</v>
      </c>
      <c r="AI113" s="364">
        <f>AI114+AI117+AI120</f>
        <v>1370</v>
      </c>
      <c r="AJ113" s="364">
        <f>AJ114+AJ117+AJ120</f>
        <v>1370</v>
      </c>
      <c r="AK113" s="364">
        <f>AK114+AK117+AK120</f>
        <v>1370</v>
      </c>
      <c r="AL113" s="364">
        <f>AL114+AL117+AL120</f>
        <v>1370</v>
      </c>
      <c r="AM113" s="364">
        <f>AM114+AM117+AM120</f>
        <v>1370</v>
      </c>
      <c r="AN113" s="364">
        <f>AN114+AN117+AN120</f>
        <v>1370</v>
      </c>
      <c r="AO113" s="364">
        <f>AO114+AO117+AO120</f>
        <v>1370</v>
      </c>
      <c r="AP113" s="364">
        <f>AP114+AP117+AP120</f>
        <v>1370</v>
      </c>
      <c r="AQ113" s="364">
        <f>AQ114+AQ117+AQ120</f>
        <v>1370</v>
      </c>
      <c r="AR113" s="364">
        <f>AR114+AR117+AR120</f>
        <v>1370</v>
      </c>
      <c r="AS113" s="364">
        <f>AS114+AS117+AS120</f>
        <v>1370</v>
      </c>
      <c r="AT113" s="364">
        <f>AT114+AT117+AT120</f>
        <v>1370</v>
      </c>
      <c r="AU113" s="364">
        <f>AU114+AU117+AU120</f>
        <v>1370</v>
      </c>
      <c r="AV113" s="364">
        <f>AV114+AV117+AV120</f>
        <v>1370</v>
      </c>
      <c r="AW113" s="364">
        <f>AW114+AW117+AW120</f>
        <v>1370</v>
      </c>
      <c r="AX113" s="364">
        <f>AX114+AX117+AX120</f>
        <v>0</v>
      </c>
      <c r="AY113" s="364">
        <f>AY114+AY117+AY120</f>
        <v>0</v>
      </c>
      <c r="AZ113" s="364">
        <f>AZ114+AZ117+AZ120</f>
        <v>0</v>
      </c>
      <c r="BA113" s="364">
        <f>BA114+BA117+BA120</f>
        <v>0</v>
      </c>
      <c r="BB113" s="364">
        <f>BB114+BB117+BB120</f>
        <v>0</v>
      </c>
      <c r="BC113" s="1730"/>
      <c r="BD113" s="497"/>
      <c r="BE113" s="497"/>
      <c r="BF113" s="1195" t="s">
        <v>616</v>
      </c>
    </row>
    <row s="1619" customFormat="1" customHeight="1" ht="16.5">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61"/>
      <c r="V114" s="1461"/>
      <c r="W114" s="1461"/>
      <c r="X114" s="1461"/>
      <c r="Y114" s="1461"/>
      <c r="Z114" s="1461"/>
      <c r="AA114" s="497"/>
      <c r="AB114" s="844" t="str">
        <f>AB113&amp;".1"</f>
        <v>3.1</v>
      </c>
      <c r="AC114" s="721" t="s">
        <v>593</v>
      </c>
      <c r="AD114" s="166" t="s">
        <v>591</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30"/>
      <c r="BD114" s="497"/>
      <c r="BE114" s="497"/>
      <c r="BF114" s="1195" t="s">
        <v>617</v>
      </c>
    </row>
    <row s="1619" customFormat="1" customHeight="1" ht="16.5">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61"/>
      <c r="V115" s="1461"/>
      <c r="W115" s="1461"/>
      <c r="X115" s="1461"/>
      <c r="Y115" s="1461"/>
      <c r="Z115" s="1461"/>
      <c r="AA115" s="497"/>
      <c r="AB115" s="844" t="str">
        <f>AB114&amp;".1"</f>
        <v>3.1.1</v>
      </c>
      <c r="AC115" s="719" t="s">
        <v>595</v>
      </c>
      <c r="AD115" s="166" t="s">
        <v>591</v>
      </c>
      <c r="AE115" s="1731">
        <f>AE99-AE107</f>
        <v>0</v>
      </c>
      <c r="AF115" s="1731">
        <f>AF99-AF107</f>
        <v>0</v>
      </c>
      <c r="AG115" s="1731">
        <f>AG99-AG107</f>
        <v>0</v>
      </c>
      <c r="AH115" s="1731">
        <f>AH99-AH107</f>
        <v>0</v>
      </c>
      <c r="AI115" s="296">
        <f>AI99-AI107</f>
        <v>0</v>
      </c>
      <c r="AJ115" s="296">
        <f>AJ99-AJ107</f>
        <v>0</v>
      </c>
      <c r="AK115" s="296">
        <f>AK99-AK107</f>
        <v>0</v>
      </c>
      <c r="AL115" s="296">
        <f>AL99-AL107</f>
        <v>0</v>
      </c>
      <c r="AM115" s="296">
        <f>AM99-AM107</f>
        <v>0</v>
      </c>
      <c r="AN115" s="1731">
        <f>AN99-AN107</f>
        <v>0</v>
      </c>
      <c r="AO115" s="1731">
        <f>AO99-AO107</f>
        <v>0</v>
      </c>
      <c r="AP115" s="1731">
        <f>AP99-AP107</f>
        <v>0</v>
      </c>
      <c r="AQ115" s="1731">
        <f>AQ99-AQ107</f>
        <v>0</v>
      </c>
      <c r="AR115" s="1731">
        <f>AR99-AR107</f>
        <v>0</v>
      </c>
      <c r="AS115" s="296">
        <f>AS99-AS107</f>
        <v>0</v>
      </c>
      <c r="AT115" s="296">
        <f>AT99-AT107</f>
        <v>0</v>
      </c>
      <c r="AU115" s="296">
        <f>AU99-AU107</f>
        <v>0</v>
      </c>
      <c r="AV115" s="296">
        <f>AV99-AV107</f>
        <v>0</v>
      </c>
      <c r="AW115" s="296">
        <f>AW99-AW107</f>
        <v>0</v>
      </c>
      <c r="AX115" s="1731">
        <f>AX99-AX107</f>
        <v>0</v>
      </c>
      <c r="AY115" s="1731">
        <f>AY99-AY107</f>
        <v>0</v>
      </c>
      <c r="AZ115" s="1731">
        <f>AZ99-AZ107</f>
        <v>0</v>
      </c>
      <c r="BA115" s="1731">
        <f>BA99-BA107</f>
        <v>0</v>
      </c>
      <c r="BB115" s="1731">
        <f>BB99-BB107</f>
        <v>0</v>
      </c>
      <c r="BC115" s="1730"/>
      <c r="BD115" s="497"/>
      <c r="BE115" s="497"/>
      <c r="BF115" s="1195" t="s">
        <v>618</v>
      </c>
    </row>
    <row s="1619" customFormat="1" customHeight="1" ht="16.5">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61"/>
      <c r="V116" s="1461"/>
      <c r="W116" s="1461"/>
      <c r="X116" s="1461"/>
      <c r="Y116" s="1461"/>
      <c r="Z116" s="1461"/>
      <c r="AA116" s="497"/>
      <c r="AB116" s="844" t="str">
        <f>AB114&amp;".2"</f>
        <v>3.1.2</v>
      </c>
      <c r="AC116" s="719" t="s">
        <v>597</v>
      </c>
      <c r="AD116" s="166" t="s">
        <v>591</v>
      </c>
      <c r="AE116" s="1731">
        <f>AE100-AE108</f>
        <v>0</v>
      </c>
      <c r="AF116" s="1731">
        <f>AF100-AF108</f>
        <v>0</v>
      </c>
      <c r="AG116" s="1731">
        <f>AG100-AG108</f>
        <v>0</v>
      </c>
      <c r="AH116" s="1731">
        <f>AH100-AH108</f>
        <v>0</v>
      </c>
      <c r="AI116" s="296">
        <f>AI100-AI108</f>
        <v>0</v>
      </c>
      <c r="AJ116" s="296">
        <f>AJ100-AJ108</f>
        <v>0</v>
      </c>
      <c r="AK116" s="296">
        <f>AK100-AK108</f>
        <v>0</v>
      </c>
      <c r="AL116" s="296">
        <f>AL100-AL108</f>
        <v>0</v>
      </c>
      <c r="AM116" s="296">
        <f>AM100-AM108</f>
        <v>0</v>
      </c>
      <c r="AN116" s="1731">
        <f>AN100-AN108</f>
        <v>0</v>
      </c>
      <c r="AO116" s="1731">
        <f>AO100-AO108</f>
        <v>0</v>
      </c>
      <c r="AP116" s="1731">
        <f>AP100-AP108</f>
        <v>0</v>
      </c>
      <c r="AQ116" s="1731">
        <f>AQ100-AQ108</f>
        <v>0</v>
      </c>
      <c r="AR116" s="1731">
        <f>AR100-AR108</f>
        <v>0</v>
      </c>
      <c r="AS116" s="296">
        <f>AS100-AS108</f>
        <v>0</v>
      </c>
      <c r="AT116" s="296">
        <f>AT100-AT108</f>
        <v>0</v>
      </c>
      <c r="AU116" s="296">
        <f>AU100-AU108</f>
        <v>0</v>
      </c>
      <c r="AV116" s="296">
        <f>AV100-AV108</f>
        <v>0</v>
      </c>
      <c r="AW116" s="296">
        <f>AW100-AW108</f>
        <v>0</v>
      </c>
      <c r="AX116" s="1731">
        <f>AX100-AX108</f>
        <v>0</v>
      </c>
      <c r="AY116" s="1731">
        <f>AY100-AY108</f>
        <v>0</v>
      </c>
      <c r="AZ116" s="1731">
        <f>AZ100-AZ108</f>
        <v>0</v>
      </c>
      <c r="BA116" s="1731">
        <f>BA100-BA108</f>
        <v>0</v>
      </c>
      <c r="BB116" s="1731">
        <f>BB100-BB108</f>
        <v>0</v>
      </c>
      <c r="BC116" s="1730"/>
      <c r="BD116" s="497"/>
      <c r="BE116" s="497"/>
      <c r="BF116" s="1195" t="s">
        <v>619</v>
      </c>
    </row>
    <row s="1619" customFormat="1" customHeight="1" ht="16.5">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61"/>
      <c r="V117" s="1461"/>
      <c r="W117" s="1461"/>
      <c r="X117" s="1461"/>
      <c r="Y117" s="1461"/>
      <c r="Z117" s="1461"/>
      <c r="AA117" s="497"/>
      <c r="AB117" s="844" t="str">
        <f>AB113&amp;".2"</f>
        <v>3.2</v>
      </c>
      <c r="AC117" s="721" t="s">
        <v>599</v>
      </c>
      <c r="AD117" s="166" t="s">
        <v>591</v>
      </c>
      <c r="AE117" s="364">
        <f>AE118+AE119</f>
        <v>0</v>
      </c>
      <c r="AF117" s="364">
        <f>AF118+AF119</f>
        <v>0</v>
      </c>
      <c r="AG117" s="364">
        <f>AG118+AG119</f>
        <v>0</v>
      </c>
      <c r="AH117" s="364">
        <f>AH118+AH119</f>
        <v>0</v>
      </c>
      <c r="AI117" s="364">
        <f>AI118+AI119</f>
        <v>1370</v>
      </c>
      <c r="AJ117" s="364">
        <f>AJ118+AJ119</f>
        <v>1370</v>
      </c>
      <c r="AK117" s="364">
        <f>AK118+AK119</f>
        <v>1370</v>
      </c>
      <c r="AL117" s="364">
        <f>AL118+AL119</f>
        <v>1370</v>
      </c>
      <c r="AM117" s="364">
        <f>AM118+AM119</f>
        <v>1370</v>
      </c>
      <c r="AN117" s="364">
        <f>AN118+AN119</f>
        <v>1370</v>
      </c>
      <c r="AO117" s="364">
        <f>AO118+AO119</f>
        <v>1370</v>
      </c>
      <c r="AP117" s="364">
        <f>AP118+AP119</f>
        <v>1370</v>
      </c>
      <c r="AQ117" s="364">
        <f>AQ118+AQ119</f>
        <v>1370</v>
      </c>
      <c r="AR117" s="364">
        <f>AR118+AR119</f>
        <v>1370</v>
      </c>
      <c r="AS117" s="364">
        <f>AS118+AS119</f>
        <v>1370</v>
      </c>
      <c r="AT117" s="364">
        <f>AT118+AT119</f>
        <v>1370</v>
      </c>
      <c r="AU117" s="364">
        <f>AU118+AU119</f>
        <v>1370</v>
      </c>
      <c r="AV117" s="364">
        <f>AV118+AV119</f>
        <v>1370</v>
      </c>
      <c r="AW117" s="364">
        <f>AW118+AW119</f>
        <v>1370</v>
      </c>
      <c r="AX117" s="364">
        <f>AX118+AX119</f>
        <v>0</v>
      </c>
      <c r="AY117" s="364">
        <f>AY118+AY119</f>
        <v>0</v>
      </c>
      <c r="AZ117" s="364">
        <f>AZ118+AZ119</f>
        <v>0</v>
      </c>
      <c r="BA117" s="364">
        <f>BA118+BA119</f>
        <v>0</v>
      </c>
      <c r="BB117" s="364">
        <f>BB118+BB119</f>
        <v>0</v>
      </c>
      <c r="BC117" s="1730"/>
      <c r="BD117" s="497"/>
      <c r="BE117" s="497"/>
      <c r="BF117" s="1195" t="s">
        <v>620</v>
      </c>
    </row>
    <row s="1619" customFormat="1" customHeight="1" ht="16.5">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61"/>
      <c r="V118" s="1461"/>
      <c r="W118" s="1461"/>
      <c r="X118" s="1461"/>
      <c r="Y118" s="1461"/>
      <c r="Z118" s="1461"/>
      <c r="AA118" s="497"/>
      <c r="AB118" s="844" t="str">
        <f>AB117&amp;".1"</f>
        <v>3.2.1</v>
      </c>
      <c r="AC118" s="719" t="s">
        <v>595</v>
      </c>
      <c r="AD118" s="166" t="s">
        <v>591</v>
      </c>
      <c r="AE118" s="1731">
        <f>AE102-AE110</f>
        <v>0</v>
      </c>
      <c r="AF118" s="1731">
        <f>AF102-AF110</f>
        <v>0</v>
      </c>
      <c r="AG118" s="1731">
        <f>AG102-AG110</f>
        <v>0</v>
      </c>
      <c r="AH118" s="1731">
        <f>AH102-AH110</f>
        <v>0</v>
      </c>
      <c r="AI118" s="296">
        <f>AI102-AI110</f>
        <v>1370</v>
      </c>
      <c r="AJ118" s="296">
        <f>AJ102-AJ110</f>
        <v>1370</v>
      </c>
      <c r="AK118" s="296">
        <f>AK102-AK110</f>
        <v>1370</v>
      </c>
      <c r="AL118" s="296">
        <f>AL102-AL110</f>
        <v>1370</v>
      </c>
      <c r="AM118" s="296">
        <f>AM102-AM110</f>
        <v>1370</v>
      </c>
      <c r="AN118" s="1731">
        <f>AN102-AN110</f>
        <v>1370</v>
      </c>
      <c r="AO118" s="1731">
        <f>AO102-AO110</f>
        <v>1370</v>
      </c>
      <c r="AP118" s="1731">
        <f>AP102-AP110</f>
        <v>1370</v>
      </c>
      <c r="AQ118" s="1731">
        <f>AQ102-AQ110</f>
        <v>1370</v>
      </c>
      <c r="AR118" s="1731">
        <f>AR102-AR110</f>
        <v>1370</v>
      </c>
      <c r="AS118" s="296">
        <f>AS102-AS110</f>
        <v>1370</v>
      </c>
      <c r="AT118" s="296">
        <f>AT102-AT110</f>
        <v>1370</v>
      </c>
      <c r="AU118" s="296">
        <f>AU102-AU110</f>
        <v>1370</v>
      </c>
      <c r="AV118" s="296">
        <f>AV102-AV110</f>
        <v>1370</v>
      </c>
      <c r="AW118" s="296">
        <f>AW102-AW110</f>
        <v>1370</v>
      </c>
      <c r="AX118" s="1731">
        <f>AX102-AX110</f>
        <v>0</v>
      </c>
      <c r="AY118" s="1731">
        <f>AY102-AY110</f>
        <v>0</v>
      </c>
      <c r="AZ118" s="1731">
        <f>AZ102-AZ110</f>
        <v>0</v>
      </c>
      <c r="BA118" s="1731">
        <f>BA102-BA110</f>
        <v>0</v>
      </c>
      <c r="BB118" s="1731">
        <f>BB102-BB110</f>
        <v>0</v>
      </c>
      <c r="BC118" s="1730"/>
      <c r="BD118" s="497"/>
      <c r="BE118" s="497"/>
      <c r="BF118" s="1195" t="s">
        <v>621</v>
      </c>
    </row>
    <row s="1619" customFormat="1" customHeight="1" ht="16.5">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61"/>
      <c r="V119" s="1461"/>
      <c r="W119" s="1461"/>
      <c r="X119" s="1461"/>
      <c r="Y119" s="1461"/>
      <c r="Z119" s="1461"/>
      <c r="AA119" s="497"/>
      <c r="AB119" s="844" t="str">
        <f>AB117&amp;".2"</f>
        <v>3.2.2</v>
      </c>
      <c r="AC119" s="559" t="s">
        <v>597</v>
      </c>
      <c r="AD119" s="850" t="s">
        <v>591</v>
      </c>
      <c r="AE119" s="1731">
        <f>AE103-AE111</f>
        <v>0</v>
      </c>
      <c r="AF119" s="1731">
        <f>AF103-AF111</f>
        <v>0</v>
      </c>
      <c r="AG119" s="1731">
        <f>AG103-AG111</f>
        <v>0</v>
      </c>
      <c r="AH119" s="1731">
        <f>AH103-AH111</f>
        <v>0</v>
      </c>
      <c r="AI119" s="296">
        <f>AI103-AI111</f>
        <v>0</v>
      </c>
      <c r="AJ119" s="296">
        <f>AJ103-AJ111</f>
        <v>0</v>
      </c>
      <c r="AK119" s="296">
        <f>AK103-AK111</f>
        <v>0</v>
      </c>
      <c r="AL119" s="296">
        <f>AL103-AL111</f>
        <v>0</v>
      </c>
      <c r="AM119" s="296">
        <f>AM103-AM111</f>
        <v>0</v>
      </c>
      <c r="AN119" s="1731">
        <f>AN103-AN111</f>
        <v>0</v>
      </c>
      <c r="AO119" s="1731">
        <f>AO103-AO111</f>
        <v>0</v>
      </c>
      <c r="AP119" s="1731">
        <f>AP103-AP111</f>
        <v>0</v>
      </c>
      <c r="AQ119" s="1731">
        <f>AQ103-AQ111</f>
        <v>0</v>
      </c>
      <c r="AR119" s="1731">
        <f>AR103-AR111</f>
        <v>0</v>
      </c>
      <c r="AS119" s="296">
        <f>AS103-AS111</f>
        <v>0</v>
      </c>
      <c r="AT119" s="296">
        <f>AT103-AT111</f>
        <v>0</v>
      </c>
      <c r="AU119" s="296">
        <f>AU103-AU111</f>
        <v>0</v>
      </c>
      <c r="AV119" s="296">
        <f>AV103-AV111</f>
        <v>0</v>
      </c>
      <c r="AW119" s="296">
        <f>AW103-AW111</f>
        <v>0</v>
      </c>
      <c r="AX119" s="1731">
        <f>AX103-AX111</f>
        <v>0</v>
      </c>
      <c r="AY119" s="1731">
        <f>AY103-AY111</f>
        <v>0</v>
      </c>
      <c r="AZ119" s="1731">
        <f>AZ103-AZ111</f>
        <v>0</v>
      </c>
      <c r="BA119" s="1731">
        <f>BA103-BA111</f>
        <v>0</v>
      </c>
      <c r="BB119" s="1731">
        <f>BB103-BB111</f>
        <v>0</v>
      </c>
      <c r="BC119" s="1730"/>
      <c r="BD119" s="497"/>
      <c r="BE119" s="497"/>
      <c r="BF119" s="1195" t="s">
        <v>622</v>
      </c>
    </row>
    <row s="1619" customFormat="1" customHeight="1" ht="16.5">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61"/>
      <c r="V120" s="1461"/>
      <c r="W120" s="1461"/>
      <c r="X120" s="1461"/>
      <c r="Y120" s="1461"/>
      <c r="Z120" s="1461"/>
      <c r="AA120" s="497"/>
      <c r="AB120" s="844" t="str">
        <f>AB113&amp;".3"</f>
        <v>3.3</v>
      </c>
      <c r="AC120" s="556" t="s">
        <v>603</v>
      </c>
      <c r="AD120" s="167" t="s">
        <v>591</v>
      </c>
      <c r="AE120" s="1731"/>
      <c r="AF120" s="1731"/>
      <c r="AG120" s="1731"/>
      <c r="AH120" s="1731"/>
      <c r="AI120" s="296"/>
      <c r="AJ120" s="296"/>
      <c r="AK120" s="296"/>
      <c r="AL120" s="296"/>
      <c r="AM120" s="296"/>
      <c r="AN120" s="1731"/>
      <c r="AO120" s="1731"/>
      <c r="AP120" s="1731"/>
      <c r="AQ120" s="1731"/>
      <c r="AR120" s="1731"/>
      <c r="AS120" s="296"/>
      <c r="AT120" s="296"/>
      <c r="AU120" s="296"/>
      <c r="AV120" s="296"/>
      <c r="AW120" s="296"/>
      <c r="AX120" s="1731"/>
      <c r="AY120" s="1731"/>
      <c r="AZ120" s="1731"/>
      <c r="BA120" s="1731"/>
      <c r="BB120" s="1731"/>
      <c r="BC120" s="1730"/>
      <c r="BD120" s="497"/>
      <c r="BE120" s="497"/>
      <c r="BF120" s="1195" t="s">
        <v>623</v>
      </c>
    </row>
    <row s="1619" customFormat="1" customHeight="1" ht="16.5">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61"/>
      <c r="V121" s="1461"/>
      <c r="W121" s="1461"/>
      <c r="X121" s="1461"/>
      <c r="Y121" s="1461"/>
      <c r="Z121" s="1461"/>
      <c r="AA121" s="497"/>
      <c r="AB121" s="565" t="s">
        <v>624</v>
      </c>
      <c r="AC121" s="566" t="s">
        <v>625</v>
      </c>
      <c r="AD121" s="167" t="s">
        <v>591</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30"/>
      <c r="BD121" s="497"/>
      <c r="BE121" s="497"/>
      <c r="BF121" s="1195" t="s">
        <v>626</v>
      </c>
    </row>
    <row s="1619" customFormat="1" customHeight="1" ht="16.5">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61"/>
      <c r="V122" s="1461"/>
      <c r="W122" s="1461"/>
      <c r="X122" s="1461"/>
      <c r="Y122" s="1461"/>
      <c r="Z122" s="1461"/>
      <c r="AA122" s="497"/>
      <c r="AB122" s="844" t="str">
        <f>AB121&amp;".1"</f>
        <v>4.1</v>
      </c>
      <c r="AC122" s="556" t="s">
        <v>595</v>
      </c>
      <c r="AD122" s="167" t="s">
        <v>591</v>
      </c>
      <c r="AE122" s="1737"/>
      <c r="AF122" s="1737"/>
      <c r="AG122" s="1737"/>
      <c r="AH122" s="1737"/>
      <c r="AI122" s="482"/>
      <c r="AJ122" s="482"/>
      <c r="AK122" s="482"/>
      <c r="AL122" s="482"/>
      <c r="AM122" s="482"/>
      <c r="AN122" s="1737"/>
      <c r="AO122" s="1737"/>
      <c r="AP122" s="1737"/>
      <c r="AQ122" s="1737"/>
      <c r="AR122" s="1737"/>
      <c r="AS122" s="482"/>
      <c r="AT122" s="482"/>
      <c r="AU122" s="482"/>
      <c r="AV122" s="482"/>
      <c r="AW122" s="482"/>
      <c r="AX122" s="1737"/>
      <c r="AY122" s="1737"/>
      <c r="AZ122" s="1737"/>
      <c r="BA122" s="1737"/>
      <c r="BB122" s="1737"/>
      <c r="BC122" s="1730"/>
      <c r="BD122" s="497"/>
      <c r="BE122" s="497"/>
      <c r="BF122" s="1195" t="s">
        <v>627</v>
      </c>
    </row>
    <row s="1619" customFormat="1" customHeight="1" ht="16.5">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61"/>
      <c r="V123" s="1461"/>
      <c r="W123" s="1461"/>
      <c r="X123" s="1461"/>
      <c r="Y123" s="1461"/>
      <c r="Z123" s="1461"/>
      <c r="AA123" s="497"/>
      <c r="AB123" s="844" t="str">
        <f>AB121&amp;".2"</f>
        <v>4.2</v>
      </c>
      <c r="AC123" s="556" t="s">
        <v>597</v>
      </c>
      <c r="AD123" s="167" t="s">
        <v>591</v>
      </c>
      <c r="AE123" s="1739"/>
      <c r="AF123" s="1739"/>
      <c r="AG123" s="1739"/>
      <c r="AH123" s="1739"/>
      <c r="AI123" s="563"/>
      <c r="AJ123" s="563"/>
      <c r="AK123" s="563"/>
      <c r="AL123" s="563"/>
      <c r="AM123" s="563"/>
      <c r="AN123" s="1739"/>
      <c r="AO123" s="1739"/>
      <c r="AP123" s="1739"/>
      <c r="AQ123" s="1739"/>
      <c r="AR123" s="1739"/>
      <c r="AS123" s="563"/>
      <c r="AT123" s="563"/>
      <c r="AU123" s="563"/>
      <c r="AV123" s="563"/>
      <c r="AW123" s="563"/>
      <c r="AX123" s="1739"/>
      <c r="AY123" s="1739"/>
      <c r="AZ123" s="1739"/>
      <c r="BA123" s="1739"/>
      <c r="BB123" s="1739"/>
      <c r="BC123" s="1741"/>
      <c r="BD123" s="497"/>
      <c r="BE123" s="497"/>
      <c r="BF123" s="1195" t="s">
        <v>628</v>
      </c>
    </row>
    <row s="1619" customFormat="1" customHeight="1" ht="16.5">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61"/>
      <c r="V124" s="1461"/>
      <c r="W124" s="1461"/>
      <c r="X124" s="1461"/>
      <c r="Y124" s="1461"/>
      <c r="Z124" s="1461"/>
      <c r="AA124" s="497"/>
      <c r="AB124" s="853" t="s">
        <v>629</v>
      </c>
      <c r="AC124" s="524" t="s">
        <v>630</v>
      </c>
      <c r="AD124" s="410" t="s">
        <v>591</v>
      </c>
      <c r="AE124" s="1731"/>
      <c r="AF124" s="1731"/>
      <c r="AG124" s="1731"/>
      <c r="AH124" s="1731"/>
      <c r="AI124" s="296"/>
      <c r="AJ124" s="296"/>
      <c r="AK124" s="296"/>
      <c r="AL124" s="296"/>
      <c r="AM124" s="296"/>
      <c r="AN124" s="1731"/>
      <c r="AO124" s="1731"/>
      <c r="AP124" s="1731"/>
      <c r="AQ124" s="1731"/>
      <c r="AR124" s="1731"/>
      <c r="AS124" s="296"/>
      <c r="AT124" s="296"/>
      <c r="AU124" s="296"/>
      <c r="AV124" s="296"/>
      <c r="AW124" s="296"/>
      <c r="AX124" s="1731"/>
      <c r="AY124" s="1731"/>
      <c r="AZ124" s="1731"/>
      <c r="BA124" s="1731"/>
      <c r="BB124" s="1731"/>
      <c r="BC124" s="1742"/>
      <c r="BD124" s="497"/>
      <c r="BE124" s="497"/>
      <c r="BF124" s="1195" t="s">
        <v>631</v>
      </c>
    </row>
    <row s="1619" customFormat="1" customHeight="1" ht="16.5">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61"/>
      <c r="V125" s="1461"/>
      <c r="W125" s="1461"/>
      <c r="X125" s="1461"/>
      <c r="Y125" s="1461"/>
      <c r="Z125" s="1461"/>
      <c r="AA125" s="497"/>
      <c r="AB125" s="854" t="s">
        <v>632</v>
      </c>
      <c r="AC125" s="478" t="s">
        <v>633</v>
      </c>
      <c r="AD125" s="410" t="s">
        <v>591</v>
      </c>
      <c r="AE125" s="364">
        <f>AE113-AE124</f>
        <v>0</v>
      </c>
      <c r="AF125" s="364">
        <f>AF113-AF124</f>
        <v>0</v>
      </c>
      <c r="AG125" s="364">
        <f>AG113-AG124</f>
        <v>0</v>
      </c>
      <c r="AH125" s="364">
        <f>AH113-AH124</f>
        <v>0</v>
      </c>
      <c r="AI125" s="364">
        <f>AI113-AI124</f>
        <v>1370</v>
      </c>
      <c r="AJ125" s="364">
        <f>AJ113-AJ124</f>
        <v>1370</v>
      </c>
      <c r="AK125" s="364">
        <f>AK113-AK124</f>
        <v>1370</v>
      </c>
      <c r="AL125" s="364">
        <f>AL113-AL124</f>
        <v>1370</v>
      </c>
      <c r="AM125" s="364">
        <f>AM113-AM124</f>
        <v>1370</v>
      </c>
      <c r="AN125" s="364">
        <f>AN113-AN124</f>
        <v>1370</v>
      </c>
      <c r="AO125" s="364">
        <f>AO113-AO124</f>
        <v>1370</v>
      </c>
      <c r="AP125" s="364">
        <f>AP113-AP124</f>
        <v>1370</v>
      </c>
      <c r="AQ125" s="364">
        <f>AQ113-AQ124</f>
        <v>1370</v>
      </c>
      <c r="AR125" s="364">
        <f>AR113-AR124</f>
        <v>1370</v>
      </c>
      <c r="AS125" s="364">
        <f>AS113-AS124</f>
        <v>1370</v>
      </c>
      <c r="AT125" s="364">
        <f>AT113-AT124</f>
        <v>1370</v>
      </c>
      <c r="AU125" s="364">
        <f>AU113-AU124</f>
        <v>1370</v>
      </c>
      <c r="AV125" s="364">
        <f>AV113-AV124</f>
        <v>1370</v>
      </c>
      <c r="AW125" s="364">
        <f>AW113-AW124</f>
        <v>1370</v>
      </c>
      <c r="AX125" s="364">
        <f>AX113-AX124</f>
        <v>0</v>
      </c>
      <c r="AY125" s="364">
        <f>AY113-AY124</f>
        <v>0</v>
      </c>
      <c r="AZ125" s="364">
        <f>AZ113-AZ124</f>
        <v>0</v>
      </c>
      <c r="BA125" s="364">
        <f>BA113-BA124</f>
        <v>0</v>
      </c>
      <c r="BB125" s="364">
        <f>BB113-BB124</f>
        <v>0</v>
      </c>
      <c r="BC125" s="1742"/>
      <c r="BD125" s="497"/>
      <c r="BE125" s="497"/>
      <c r="BF125" s="1195" t="s">
        <v>634</v>
      </c>
    </row>
    <row s="1619" customFormat="1" customHeight="1" ht="16.5">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61"/>
      <c r="V126" s="1461"/>
      <c r="W126" s="1461"/>
      <c r="X126" s="1461"/>
      <c r="Y126" s="1461"/>
      <c r="Z126" s="1461"/>
      <c r="AA126" s="497"/>
      <c r="AB126" s="844" t="str">
        <f>AB125&amp;".1"</f>
        <v>6.1</v>
      </c>
      <c r="AC126" s="556" t="s">
        <v>595</v>
      </c>
      <c r="AD126" s="410" t="s">
        <v>591</v>
      </c>
      <c r="AE126" s="364">
        <f>AE125-AE134</f>
        <v>0</v>
      </c>
      <c r="AF126" s="364">
        <f>AF125-AF134</f>
        <v>0</v>
      </c>
      <c r="AG126" s="364">
        <f>AG125-AG134</f>
        <v>0</v>
      </c>
      <c r="AH126" s="364">
        <f>AH125-AH134</f>
        <v>0</v>
      </c>
      <c r="AI126" s="364">
        <f>AI125-AI134</f>
        <v>1370</v>
      </c>
      <c r="AJ126" s="364">
        <f>AJ125-AJ134</f>
        <v>1370</v>
      </c>
      <c r="AK126" s="364">
        <f>AK125-AK134</f>
        <v>1370</v>
      </c>
      <c r="AL126" s="364">
        <f>AL125-AL134</f>
        <v>1370</v>
      </c>
      <c r="AM126" s="364">
        <f>AM125-AM134</f>
        <v>1370</v>
      </c>
      <c r="AN126" s="364">
        <f>AN125-AN134</f>
        <v>1370</v>
      </c>
      <c r="AO126" s="364">
        <f>AO125-AO134</f>
        <v>1370</v>
      </c>
      <c r="AP126" s="364">
        <f>AP125-AP134</f>
        <v>1370</v>
      </c>
      <c r="AQ126" s="364">
        <f>AQ125-AQ134</f>
        <v>1370</v>
      </c>
      <c r="AR126" s="364">
        <f>AR125-AR134</f>
        <v>1370</v>
      </c>
      <c r="AS126" s="364">
        <f>AS125-AS134</f>
        <v>1370</v>
      </c>
      <c r="AT126" s="364">
        <f>AT125-AT134</f>
        <v>1370</v>
      </c>
      <c r="AU126" s="364">
        <f>AU125-AU134</f>
        <v>1370</v>
      </c>
      <c r="AV126" s="364">
        <f>AV125-AV134</f>
        <v>1370</v>
      </c>
      <c r="AW126" s="364">
        <f>AW125-AW134</f>
        <v>1370</v>
      </c>
      <c r="AX126" s="364">
        <f>AX125-AX134</f>
        <v>0</v>
      </c>
      <c r="AY126" s="364">
        <f>AY125-AY134</f>
        <v>0</v>
      </c>
      <c r="AZ126" s="364">
        <f>AZ125-AZ134</f>
        <v>0</v>
      </c>
      <c r="BA126" s="364">
        <f>BA125-BA134</f>
        <v>0</v>
      </c>
      <c r="BB126" s="364">
        <f>BB125-BB134</f>
        <v>0</v>
      </c>
      <c r="BC126" s="1742"/>
      <c r="BD126" s="497"/>
      <c r="BE126" s="497"/>
      <c r="BF126" s="1195" t="s">
        <v>635</v>
      </c>
    </row>
    <row s="1619" customFormat="1" customHeight="1" ht="16.5">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61"/>
      <c r="V127" s="1461"/>
      <c r="W127" s="1461"/>
      <c r="X127" s="1461"/>
      <c r="Y127" s="1461"/>
      <c r="Z127" s="1461"/>
      <c r="AA127" s="497"/>
      <c r="AB127" s="844" t="str">
        <f>AB126&amp;".1"</f>
        <v>6.1.1</v>
      </c>
      <c r="AC127" s="681" t="s">
        <v>636</v>
      </c>
      <c r="AD127" s="167" t="s">
        <v>591</v>
      </c>
      <c r="AE127" s="1731"/>
      <c r="AF127" s="1731"/>
      <c r="AG127" s="1731"/>
      <c r="AH127" s="1731"/>
      <c r="AI127" s="296"/>
      <c r="AJ127" s="296"/>
      <c r="AK127" s="296"/>
      <c r="AL127" s="296"/>
      <c r="AM127" s="296"/>
      <c r="AN127" s="1731"/>
      <c r="AO127" s="1731"/>
      <c r="AP127" s="1731"/>
      <c r="AQ127" s="1731"/>
      <c r="AR127" s="1731"/>
      <c r="AS127" s="296"/>
      <c r="AT127" s="296"/>
      <c r="AU127" s="296"/>
      <c r="AV127" s="296"/>
      <c r="AW127" s="296"/>
      <c r="AX127" s="1731"/>
      <c r="AY127" s="1731"/>
      <c r="AZ127" s="1731"/>
      <c r="BA127" s="1731"/>
      <c r="BB127" s="1731"/>
      <c r="BC127" s="1742"/>
      <c r="BD127" s="497"/>
      <c r="BE127" s="497"/>
      <c r="BF127" s="1195" t="s">
        <v>637</v>
      </c>
    </row>
    <row s="1619" customFormat="1" customHeight="1" ht="16.5">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61"/>
      <c r="V128" s="1461"/>
      <c r="W128" s="1461"/>
      <c r="X128" s="1461"/>
      <c r="Y128" s="1461"/>
      <c r="Z128" s="1461"/>
      <c r="AA128" s="497"/>
      <c r="AB128" s="844" t="str">
        <f>AB126&amp;".2"</f>
        <v>6.1.2</v>
      </c>
      <c r="AC128" s="682" t="s">
        <v>638</v>
      </c>
      <c r="AD128" s="167" t="s">
        <v>591</v>
      </c>
      <c r="AE128" s="1731">
        <f>SUM(AE129:AE132)</f>
        <v>0</v>
      </c>
      <c r="AF128" s="1731">
        <f>SUM(AF129:AF132)</f>
        <v>0</v>
      </c>
      <c r="AG128" s="1731">
        <f>SUM(AG129:AG132)</f>
        <v>0</v>
      </c>
      <c r="AH128" s="1731">
        <f>SUM(AH129:AH132)</f>
        <v>0</v>
      </c>
      <c r="AI128" s="296">
        <f>SUM(AI129:AI132)</f>
        <v>0</v>
      </c>
      <c r="AJ128" s="296">
        <f>SUM(AJ129:AJ132)</f>
        <v>0</v>
      </c>
      <c r="AK128" s="296">
        <f>SUM(AK129:AK132)</f>
        <v>0</v>
      </c>
      <c r="AL128" s="296">
        <f>SUM(AL129:AL132)</f>
        <v>0</v>
      </c>
      <c r="AM128" s="296">
        <f>SUM(AM129:AM132)</f>
        <v>0</v>
      </c>
      <c r="AN128" s="1731">
        <f>SUM(AN129:AN132)</f>
        <v>0</v>
      </c>
      <c r="AO128" s="1731">
        <f>SUM(AO129:AO132)</f>
        <v>0</v>
      </c>
      <c r="AP128" s="1731">
        <f>SUM(AP129:AP132)</f>
        <v>0</v>
      </c>
      <c r="AQ128" s="1731">
        <f>SUM(AQ129:AQ132)</f>
        <v>0</v>
      </c>
      <c r="AR128" s="1731">
        <f>SUM(AR129:AR132)</f>
        <v>0</v>
      </c>
      <c r="AS128" s="296">
        <f>SUM(AS129:AS132)</f>
        <v>0</v>
      </c>
      <c r="AT128" s="296">
        <f>SUM(AT129:AT132)</f>
        <v>0</v>
      </c>
      <c r="AU128" s="296">
        <f>SUM(AU129:AU132)</f>
        <v>0</v>
      </c>
      <c r="AV128" s="296">
        <f>SUM(AV129:AV132)</f>
        <v>0</v>
      </c>
      <c r="AW128" s="296">
        <f>SUM(AW129:AW132)</f>
        <v>0</v>
      </c>
      <c r="AX128" s="1731">
        <f>SUM(AX129:AX132)</f>
        <v>0</v>
      </c>
      <c r="AY128" s="1731">
        <f>SUM(AY129:AY132)</f>
        <v>0</v>
      </c>
      <c r="AZ128" s="1731">
        <f>SUM(AZ129:AZ132)</f>
        <v>0</v>
      </c>
      <c r="BA128" s="1731">
        <f>SUM(BA129:BA132)</f>
        <v>0</v>
      </c>
      <c r="BB128" s="1731">
        <f>SUM(BB129:BB132)</f>
        <v>0</v>
      </c>
      <c r="BC128" s="1742"/>
      <c r="BD128" s="497"/>
      <c r="BE128" s="497"/>
      <c r="BF128" s="1195" t="s">
        <v>639</v>
      </c>
    </row>
    <row s="1619" customFormat="1" customHeight="1" ht="16.5">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61"/>
      <c r="V129" s="1461"/>
      <c r="W129" s="1461"/>
      <c r="X129" s="1461"/>
      <c r="Y129" s="1461"/>
      <c r="Z129" s="1461"/>
      <c r="AA129" s="497"/>
      <c r="AB129" s="844" t="str">
        <f>AB128&amp;".1"</f>
        <v>6.1.2.1</v>
      </c>
      <c r="AC129" s="683" t="s">
        <v>640</v>
      </c>
      <c r="AD129" s="410" t="s">
        <v>591</v>
      </c>
      <c r="AE129" s="1731"/>
      <c r="AF129" s="1731"/>
      <c r="AG129" s="1731"/>
      <c r="AH129" s="1731"/>
      <c r="AI129" s="296"/>
      <c r="AJ129" s="296"/>
      <c r="AK129" s="296"/>
      <c r="AL129" s="296"/>
      <c r="AM129" s="296"/>
      <c r="AN129" s="1731"/>
      <c r="AO129" s="1731"/>
      <c r="AP129" s="1731"/>
      <c r="AQ129" s="1731"/>
      <c r="AR129" s="1731"/>
      <c r="AS129" s="296"/>
      <c r="AT129" s="296"/>
      <c r="AU129" s="296"/>
      <c r="AV129" s="296"/>
      <c r="AW129" s="296"/>
      <c r="AX129" s="1731"/>
      <c r="AY129" s="1731"/>
      <c r="AZ129" s="1731"/>
      <c r="BA129" s="1731"/>
      <c r="BB129" s="1731"/>
      <c r="BC129" s="1742"/>
      <c r="BD129" s="497"/>
      <c r="BE129" s="497"/>
      <c r="BF129" s="1195" t="s">
        <v>641</v>
      </c>
    </row>
    <row s="1619" customFormat="1" customHeight="1" ht="16.5">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61"/>
      <c r="V130" s="1461"/>
      <c r="W130" s="1461"/>
      <c r="X130" s="1461"/>
      <c r="Y130" s="1461"/>
      <c r="Z130" s="1461"/>
      <c r="AA130" s="497"/>
      <c r="AB130" s="844" t="str">
        <f>AB128&amp;".2"</f>
        <v>6.1.2.2</v>
      </c>
      <c r="AC130" s="684" t="s">
        <v>642</v>
      </c>
      <c r="AD130" s="167" t="s">
        <v>591</v>
      </c>
      <c r="AE130" s="1731"/>
      <c r="AF130" s="1731"/>
      <c r="AG130" s="1731"/>
      <c r="AH130" s="1731"/>
      <c r="AI130" s="296"/>
      <c r="AJ130" s="296"/>
      <c r="AK130" s="296"/>
      <c r="AL130" s="296"/>
      <c r="AM130" s="296"/>
      <c r="AN130" s="1731"/>
      <c r="AO130" s="1731"/>
      <c r="AP130" s="1731"/>
      <c r="AQ130" s="1731"/>
      <c r="AR130" s="1731"/>
      <c r="AS130" s="296"/>
      <c r="AT130" s="296"/>
      <c r="AU130" s="296"/>
      <c r="AV130" s="296"/>
      <c r="AW130" s="296"/>
      <c r="AX130" s="1731"/>
      <c r="AY130" s="1731"/>
      <c r="AZ130" s="1731"/>
      <c r="BA130" s="1731"/>
      <c r="BB130" s="1731"/>
      <c r="BC130" s="1742"/>
      <c r="BD130" s="497"/>
      <c r="BE130" s="497"/>
      <c r="BF130" s="1195" t="s">
        <v>643</v>
      </c>
    </row>
    <row s="1619" customFormat="1" customHeight="1" ht="16.5">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61"/>
      <c r="V131" s="1461"/>
      <c r="W131" s="1461"/>
      <c r="X131" s="1461"/>
      <c r="Y131" s="1461"/>
      <c r="Z131" s="1461"/>
      <c r="AA131" s="497"/>
      <c r="AB131" s="844" t="str">
        <f>AB128&amp;".3"</f>
        <v>6.1.2.3</v>
      </c>
      <c r="AC131" s="684" t="s">
        <v>644</v>
      </c>
      <c r="AD131" s="167" t="s">
        <v>591</v>
      </c>
      <c r="AE131" s="1731"/>
      <c r="AF131" s="1731"/>
      <c r="AG131" s="1731"/>
      <c r="AH131" s="1731"/>
      <c r="AI131" s="296"/>
      <c r="AJ131" s="296"/>
      <c r="AK131" s="296"/>
      <c r="AL131" s="296"/>
      <c r="AM131" s="296"/>
      <c r="AN131" s="1731"/>
      <c r="AO131" s="1731"/>
      <c r="AP131" s="1731"/>
      <c r="AQ131" s="1731"/>
      <c r="AR131" s="1731"/>
      <c r="AS131" s="296"/>
      <c r="AT131" s="296"/>
      <c r="AU131" s="296"/>
      <c r="AV131" s="296"/>
      <c r="AW131" s="296"/>
      <c r="AX131" s="1731"/>
      <c r="AY131" s="1731"/>
      <c r="AZ131" s="1731"/>
      <c r="BA131" s="1731"/>
      <c r="BB131" s="1731"/>
      <c r="BC131" s="1742"/>
      <c r="BD131" s="497"/>
      <c r="BE131" s="497"/>
      <c r="BF131" s="1195" t="s">
        <v>645</v>
      </c>
    </row>
    <row s="1619" customFormat="1" customHeight="1" ht="16.5">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61"/>
      <c r="V132" s="1461"/>
      <c r="W132" s="1461"/>
      <c r="X132" s="1461"/>
      <c r="Y132" s="1461"/>
      <c r="Z132" s="1461"/>
      <c r="AA132" s="497"/>
      <c r="AB132" s="844" t="str">
        <f>AB128&amp;".4"</f>
        <v>6.1.2.4</v>
      </c>
      <c r="AC132" s="684" t="s">
        <v>646</v>
      </c>
      <c r="AD132" s="410" t="s">
        <v>591</v>
      </c>
      <c r="AE132" s="1731"/>
      <c r="AF132" s="1731"/>
      <c r="AG132" s="1731"/>
      <c r="AH132" s="1731"/>
      <c r="AI132" s="296"/>
      <c r="AJ132" s="296"/>
      <c r="AK132" s="296"/>
      <c r="AL132" s="296"/>
      <c r="AM132" s="296"/>
      <c r="AN132" s="1731"/>
      <c r="AO132" s="1731"/>
      <c r="AP132" s="1731"/>
      <c r="AQ132" s="1731"/>
      <c r="AR132" s="1731"/>
      <c r="AS132" s="296"/>
      <c r="AT132" s="296"/>
      <c r="AU132" s="296"/>
      <c r="AV132" s="296"/>
      <c r="AW132" s="296"/>
      <c r="AX132" s="1731"/>
      <c r="AY132" s="1731"/>
      <c r="AZ132" s="1731"/>
      <c r="BA132" s="1731"/>
      <c r="BB132" s="1731"/>
      <c r="BC132" s="1742"/>
      <c r="BD132" s="497"/>
      <c r="BE132" s="497"/>
      <c r="BF132" s="1195" t="s">
        <v>647</v>
      </c>
    </row>
    <row s="1619" customFormat="1" customHeight="1" ht="16.5">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61"/>
      <c r="V133" s="1461"/>
      <c r="W133" s="1461"/>
      <c r="X133" s="1461"/>
      <c r="Y133" s="1461"/>
      <c r="Z133" s="1461"/>
      <c r="AA133" s="497"/>
      <c r="AB133" s="844" t="str">
        <f>AB126&amp;".3"</f>
        <v>6.1.3</v>
      </c>
      <c r="AC133" s="1106" t="s">
        <v>648</v>
      </c>
      <c r="AD133" s="410" t="s">
        <v>591</v>
      </c>
      <c r="AE133" s="364">
        <f>AE126-AE127-AE128</f>
        <v>0</v>
      </c>
      <c r="AF133" s="364">
        <f>AF126-AF127-AF128</f>
        <v>0</v>
      </c>
      <c r="AG133" s="364">
        <f>AG126-AG127-AG128</f>
        <v>0</v>
      </c>
      <c r="AH133" s="364">
        <f>AH126-AH127-AH128</f>
        <v>0</v>
      </c>
      <c r="AI133" s="364">
        <f>AI126-AI127-AI128</f>
        <v>1370</v>
      </c>
      <c r="AJ133" s="364">
        <f>AJ126-AJ127-AJ128</f>
        <v>1370</v>
      </c>
      <c r="AK133" s="364">
        <f>AK126-AK127-AK128</f>
        <v>1370</v>
      </c>
      <c r="AL133" s="364">
        <f>AL126-AL127-AL128</f>
        <v>1370</v>
      </c>
      <c r="AM133" s="364">
        <f>AM126-AM127-AM128</f>
        <v>1370</v>
      </c>
      <c r="AN133" s="364">
        <f>AN126-AN127-AN128</f>
        <v>1370</v>
      </c>
      <c r="AO133" s="364">
        <f>AO126-AO127-AO128</f>
        <v>1370</v>
      </c>
      <c r="AP133" s="364">
        <f>AP126-AP127-AP128</f>
        <v>1370</v>
      </c>
      <c r="AQ133" s="364">
        <f>AQ126-AQ127-AQ128</f>
        <v>1370</v>
      </c>
      <c r="AR133" s="364">
        <f>AR126-AR127-AR128</f>
        <v>1370</v>
      </c>
      <c r="AS133" s="364">
        <f>AS126-AS127-AS128</f>
        <v>1370</v>
      </c>
      <c r="AT133" s="364">
        <f>AT126-AT127-AT128</f>
        <v>1370</v>
      </c>
      <c r="AU133" s="364">
        <f>AU126-AU127-AU128</f>
        <v>1370</v>
      </c>
      <c r="AV133" s="364">
        <f>AV126-AV127-AV128</f>
        <v>1370</v>
      </c>
      <c r="AW133" s="364">
        <f>AW126-AW127-AW128</f>
        <v>1370</v>
      </c>
      <c r="AX133" s="364">
        <f>AX126-AX127-AX128</f>
        <v>0</v>
      </c>
      <c r="AY133" s="364">
        <f>AY126-AY127-AY128</f>
        <v>0</v>
      </c>
      <c r="AZ133" s="364">
        <f>AZ126-AZ127-AZ128</f>
        <v>0</v>
      </c>
      <c r="BA133" s="364">
        <f>BA126-BA127-BA128</f>
        <v>0</v>
      </c>
      <c r="BB133" s="364">
        <f>BB126-BB127-BB128</f>
        <v>0</v>
      </c>
      <c r="BC133" s="1742"/>
      <c r="BD133" s="497"/>
      <c r="BE133" s="497"/>
      <c r="BF133" s="1195" t="s">
        <v>649</v>
      </c>
    </row>
    <row s="1619" customFormat="1" customHeight="1" ht="16.5">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61"/>
      <c r="V134" s="1461"/>
      <c r="W134" s="1461"/>
      <c r="X134" s="1461"/>
      <c r="Y134" s="1461"/>
      <c r="Z134" s="1461"/>
      <c r="AA134" s="497"/>
      <c r="AB134" s="844" t="str">
        <f>AB125&amp;".2"</f>
        <v>6.2</v>
      </c>
      <c r="AC134" s="556" t="s">
        <v>597</v>
      </c>
      <c r="AD134" s="410" t="s">
        <v>591</v>
      </c>
      <c r="AE134" s="1731"/>
      <c r="AF134" s="1731"/>
      <c r="AG134" s="1731"/>
      <c r="AH134" s="1731"/>
      <c r="AI134" s="296"/>
      <c r="AJ134" s="296"/>
      <c r="AK134" s="296"/>
      <c r="AL134" s="296"/>
      <c r="AM134" s="296"/>
      <c r="AN134" s="1731"/>
      <c r="AO134" s="1731"/>
      <c r="AP134" s="1731"/>
      <c r="AQ134" s="1731"/>
      <c r="AR134" s="1731"/>
      <c r="AS134" s="296"/>
      <c r="AT134" s="296"/>
      <c r="AU134" s="296"/>
      <c r="AV134" s="296"/>
      <c r="AW134" s="296"/>
      <c r="AX134" s="1731"/>
      <c r="AY134" s="1731"/>
      <c r="AZ134" s="1731"/>
      <c r="BA134" s="1731"/>
      <c r="BB134" s="1731"/>
      <c r="BC134" s="1742"/>
      <c r="BD134" s="497"/>
      <c r="BE134" s="497"/>
      <c r="BF134" s="1195" t="s">
        <v>650</v>
      </c>
    </row>
    <row s="1619" customFormat="1" customHeight="1" ht="16.5">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61"/>
      <c r="V135" s="1461"/>
      <c r="W135" s="1461"/>
      <c r="X135" s="1461"/>
      <c r="Y135" s="1461"/>
      <c r="Z135" s="1461"/>
      <c r="AA135" s="497"/>
      <c r="AB135" s="565" t="s">
        <v>651</v>
      </c>
      <c r="AC135" s="566" t="s">
        <v>652</v>
      </c>
      <c r="AD135" s="410" t="s">
        <v>591</v>
      </c>
      <c r="AE135" s="364">
        <f>SUM(AE136:AE137)</f>
        <v>0</v>
      </c>
      <c r="AF135" s="364">
        <f>SUM(AF136:AF137)</f>
        <v>0</v>
      </c>
      <c r="AG135" s="364">
        <f>SUM(AG136:AG137)</f>
        <v>0</v>
      </c>
      <c r="AH135" s="364">
        <f>SUM(AH136:AH137)</f>
        <v>0</v>
      </c>
      <c r="AI135" s="364">
        <f>SUM(AI136:AI137)</f>
        <v>1370</v>
      </c>
      <c r="AJ135" s="364">
        <f>SUM(AJ136:AJ137)</f>
        <v>1370</v>
      </c>
      <c r="AK135" s="364">
        <f>SUM(AK136:AK137)</f>
        <v>1370</v>
      </c>
      <c r="AL135" s="364">
        <f>SUM(AL136:AL137)</f>
        <v>1370</v>
      </c>
      <c r="AM135" s="364">
        <f>SUM(AM136:AM137)</f>
        <v>1370</v>
      </c>
      <c r="AN135" s="364">
        <f>SUM(AN136:AN137)</f>
        <v>1370</v>
      </c>
      <c r="AO135" s="364">
        <f>SUM(AO136:AO137)</f>
        <v>1370</v>
      </c>
      <c r="AP135" s="364">
        <f>SUM(AP136:AP137)</f>
        <v>1370</v>
      </c>
      <c r="AQ135" s="364">
        <f>SUM(AQ136:AQ137)</f>
        <v>1370</v>
      </c>
      <c r="AR135" s="364">
        <f>SUM(AR136:AR137)</f>
        <v>1370</v>
      </c>
      <c r="AS135" s="364">
        <f>SUM(AS136:AS137)</f>
        <v>1370</v>
      </c>
      <c r="AT135" s="364">
        <f>SUM(AT136:AT137)</f>
        <v>1370</v>
      </c>
      <c r="AU135" s="364">
        <f>SUM(AU136:AU137)</f>
        <v>1370</v>
      </c>
      <c r="AV135" s="364">
        <f>SUM(AV136:AV137)</f>
        <v>1370</v>
      </c>
      <c r="AW135" s="364">
        <f>SUM(AW136:AW137)</f>
        <v>1370</v>
      </c>
      <c r="AX135" s="364">
        <f>SUM(AX136:AX137)</f>
        <v>0</v>
      </c>
      <c r="AY135" s="364">
        <f>SUM(AY136:AY137)</f>
        <v>0</v>
      </c>
      <c r="AZ135" s="364">
        <f>SUM(AZ136:AZ137)</f>
        <v>0</v>
      </c>
      <c r="BA135" s="364">
        <f>SUM(BA136:BA137)</f>
        <v>0</v>
      </c>
      <c r="BB135" s="364">
        <f>SUM(BB136:BB137)</f>
        <v>0</v>
      </c>
      <c r="BC135" s="1742"/>
      <c r="BD135" s="497"/>
      <c r="BE135" s="497"/>
      <c r="BF135" s="1195" t="s">
        <v>653</v>
      </c>
    </row>
    <row s="1619" customFormat="1" customHeight="1" ht="16.5">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61"/>
      <c r="V136" s="1461"/>
      <c r="W136" s="1461"/>
      <c r="X136" s="1461"/>
      <c r="Y136" s="1461"/>
      <c r="Z136" s="1461"/>
      <c r="AA136" s="497"/>
      <c r="AB136" s="844" t="str">
        <f>AB135&amp;".1"</f>
        <v>7.1</v>
      </c>
      <c r="AC136" s="556" t="s">
        <v>595</v>
      </c>
      <c r="AD136" s="410" t="s">
        <v>591</v>
      </c>
      <c r="AE136" s="364">
        <f>AE133+AE122</f>
        <v>0</v>
      </c>
      <c r="AF136" s="364">
        <f>AF133+AF122</f>
        <v>0</v>
      </c>
      <c r="AG136" s="364">
        <f>AG133+AG122</f>
        <v>0</v>
      </c>
      <c r="AH136" s="364">
        <f>AH133+AH122</f>
        <v>0</v>
      </c>
      <c r="AI136" s="364">
        <f>AI133+AI122</f>
        <v>1370</v>
      </c>
      <c r="AJ136" s="364">
        <f>AJ133+AJ122</f>
        <v>1370</v>
      </c>
      <c r="AK136" s="364">
        <f>AK133+AK122</f>
        <v>1370</v>
      </c>
      <c r="AL136" s="364">
        <f>AL133+AL122</f>
        <v>1370</v>
      </c>
      <c r="AM136" s="364">
        <f>AM133+AM122</f>
        <v>1370</v>
      </c>
      <c r="AN136" s="364">
        <f>AN133+AN122</f>
        <v>1370</v>
      </c>
      <c r="AO136" s="364">
        <f>AO133+AO122</f>
        <v>1370</v>
      </c>
      <c r="AP136" s="364">
        <f>AP133+AP122</f>
        <v>1370</v>
      </c>
      <c r="AQ136" s="364">
        <f>AQ133+AQ122</f>
        <v>1370</v>
      </c>
      <c r="AR136" s="364">
        <f>AR133+AR122</f>
        <v>1370</v>
      </c>
      <c r="AS136" s="364">
        <f>AS133+AS122</f>
        <v>1370</v>
      </c>
      <c r="AT136" s="364">
        <f>AT133+AT122</f>
        <v>1370</v>
      </c>
      <c r="AU136" s="364">
        <f>AU133+AU122</f>
        <v>1370</v>
      </c>
      <c r="AV136" s="364">
        <f>AV133+AV122</f>
        <v>1370</v>
      </c>
      <c r="AW136" s="364">
        <f>AW133+AW122</f>
        <v>1370</v>
      </c>
      <c r="AX136" s="364">
        <f>AX133+AX122</f>
        <v>0</v>
      </c>
      <c r="AY136" s="364">
        <f>AY133+AY122</f>
        <v>0</v>
      </c>
      <c r="AZ136" s="364">
        <f>AZ133+AZ122</f>
        <v>0</v>
      </c>
      <c r="BA136" s="364">
        <f>BA133+BA122</f>
        <v>0</v>
      </c>
      <c r="BB136" s="364">
        <f>BB133+BB122</f>
        <v>0</v>
      </c>
      <c r="BC136" s="1742"/>
      <c r="BD136" s="497"/>
      <c r="BE136" s="497"/>
      <c r="BF136" s="1195" t="s">
        <v>654</v>
      </c>
    </row>
    <row s="1619" customFormat="1" customHeight="1" ht="16.5">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61"/>
      <c r="V137" s="1461"/>
      <c r="W137" s="1461"/>
      <c r="X137" s="1461"/>
      <c r="Y137" s="1461"/>
      <c r="Z137" s="1461"/>
      <c r="AA137" s="497"/>
      <c r="AB137" s="844" t="str">
        <f>AB135&amp;".2"</f>
        <v>7.2</v>
      </c>
      <c r="AC137" s="556" t="s">
        <v>597</v>
      </c>
      <c r="AD137" s="410" t="s">
        <v>591</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42"/>
      <c r="BD137" s="497"/>
      <c r="BE137" s="497"/>
      <c r="BF137" s="1195" t="s">
        <v>655</v>
      </c>
    </row>
    <row s="1619" customFormat="1" customHeight="1" ht="33">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61"/>
      <c r="V138" s="1461"/>
      <c r="W138" s="1461"/>
      <c r="X138" s="1461"/>
      <c r="Y138" s="1461"/>
      <c r="Z138" s="1461"/>
      <c r="AA138" s="497"/>
      <c r="AB138" s="565" t="s">
        <v>656</v>
      </c>
      <c r="AC138" s="566" t="s">
        <v>657</v>
      </c>
      <c r="AD138" s="410" t="s">
        <v>591</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42"/>
      <c r="BD138" s="497"/>
      <c r="BE138" s="497"/>
      <c r="BF138" s="1195" t="s">
        <v>658</v>
      </c>
    </row>
    <row s="1619" customFormat="1" customHeight="1" ht="16.5">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61"/>
      <c r="V139" s="1461"/>
      <c r="W139" s="1461"/>
      <c r="X139" s="1461"/>
      <c r="Y139" s="1461"/>
      <c r="Z139" s="1461"/>
      <c r="AA139" s="497"/>
      <c r="AB139" s="844" t="str">
        <f>AB138&amp;".1"</f>
        <v>8.1</v>
      </c>
      <c r="AC139" s="556" t="s">
        <v>595</v>
      </c>
      <c r="AD139" s="410" t="s">
        <v>591</v>
      </c>
      <c r="AE139" s="1731"/>
      <c r="AF139" s="1731"/>
      <c r="AG139" s="1731"/>
      <c r="AH139" s="1731"/>
      <c r="AI139" s="296"/>
      <c r="AJ139" s="296"/>
      <c r="AK139" s="296"/>
      <c r="AL139" s="296"/>
      <c r="AM139" s="296"/>
      <c r="AN139" s="1731"/>
      <c r="AO139" s="1731"/>
      <c r="AP139" s="1731"/>
      <c r="AQ139" s="1731"/>
      <c r="AR139" s="1731"/>
      <c r="AS139" s="296"/>
      <c r="AT139" s="296"/>
      <c r="AU139" s="296"/>
      <c r="AV139" s="296"/>
      <c r="AW139" s="296"/>
      <c r="AX139" s="1731"/>
      <c r="AY139" s="1731"/>
      <c r="AZ139" s="1731"/>
      <c r="BA139" s="1731"/>
      <c r="BB139" s="1731"/>
      <c r="BC139" s="1742"/>
      <c r="BD139" s="497"/>
      <c r="BE139" s="497"/>
      <c r="BF139" s="1195" t="s">
        <v>659</v>
      </c>
    </row>
    <row s="1619" customFormat="1" customHeight="1" ht="16.5">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61"/>
      <c r="V140" s="1461"/>
      <c r="W140" s="1461"/>
      <c r="X140" s="1461"/>
      <c r="Y140" s="1461"/>
      <c r="Z140" s="1461"/>
      <c r="AA140" s="497"/>
      <c r="AB140" s="844" t="str">
        <f>AB139&amp;".1"</f>
        <v>8.1.1</v>
      </c>
      <c r="AC140" s="680" t="s">
        <v>660</v>
      </c>
      <c r="AD140" s="410" t="s">
        <v>490</v>
      </c>
      <c r="AE140" s="1041">
        <f>_xlfn.IFERROR(AE139/AE136,0)</f>
        <v>0</v>
      </c>
      <c r="AF140" s="1041">
        <f>_xlfn.IFERROR(AF139/AF136,0)</f>
        <v>0</v>
      </c>
      <c r="AG140" s="1041">
        <f>_xlfn.IFERROR(AG139/AG136,0)</f>
        <v>0</v>
      </c>
      <c r="AH140" s="1041">
        <f>_xlfn.IFERROR(AH139/AH136,0)</f>
        <v>0</v>
      </c>
      <c r="AI140" s="1041">
        <f>_xlfn.IFERROR(AI139/AI136,0)</f>
        <v>0</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1742"/>
      <c r="BD140" s="497"/>
      <c r="BE140" s="497"/>
      <c r="BF140" s="1195" t="s">
        <v>661</v>
      </c>
    </row>
    <row s="1619" customFormat="1" customHeight="1" ht="16.5">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61"/>
      <c r="V141" s="1461"/>
      <c r="W141" s="1461"/>
      <c r="X141" s="1461"/>
      <c r="Y141" s="1461"/>
      <c r="Z141" s="1461"/>
      <c r="AA141" s="497"/>
      <c r="AB141" s="844" t="str">
        <f>AB138&amp;".2"</f>
        <v>8.2</v>
      </c>
      <c r="AC141" s="556" t="s">
        <v>597</v>
      </c>
      <c r="AD141" s="410" t="s">
        <v>591</v>
      </c>
      <c r="AE141" s="1731"/>
      <c r="AF141" s="1731"/>
      <c r="AG141" s="1731"/>
      <c r="AH141" s="1731"/>
      <c r="AI141" s="296"/>
      <c r="AJ141" s="296"/>
      <c r="AK141" s="296"/>
      <c r="AL141" s="296"/>
      <c r="AM141" s="296"/>
      <c r="AN141" s="1731"/>
      <c r="AO141" s="1731"/>
      <c r="AP141" s="1731"/>
      <c r="AQ141" s="1731"/>
      <c r="AR141" s="1731"/>
      <c r="AS141" s="296"/>
      <c r="AT141" s="296"/>
      <c r="AU141" s="296"/>
      <c r="AV141" s="296"/>
      <c r="AW141" s="296"/>
      <c r="AX141" s="1731"/>
      <c r="AY141" s="1731"/>
      <c r="AZ141" s="1731"/>
      <c r="BA141" s="1731"/>
      <c r="BB141" s="1731"/>
      <c r="BC141" s="1742"/>
      <c r="BD141" s="497"/>
      <c r="BE141" s="497"/>
      <c r="BF141" s="1195" t="s">
        <v>662</v>
      </c>
    </row>
    <row s="1619" customFormat="1" customHeight="1" ht="16.5">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61"/>
      <c r="V142" s="1461"/>
      <c r="W142" s="1461"/>
      <c r="X142" s="1461"/>
      <c r="Y142" s="1461"/>
      <c r="Z142" s="1461"/>
      <c r="AA142" s="497"/>
      <c r="AB142" s="844" t="str">
        <f>AB141&amp;".1"</f>
        <v>8.2.1</v>
      </c>
      <c r="AC142" s="680" t="s">
        <v>660</v>
      </c>
      <c r="AD142" s="167" t="s">
        <v>490</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43"/>
      <c r="BD142" s="497"/>
      <c r="BE142" s="497"/>
      <c r="BF142" s="1195" t="s">
        <v>663</v>
      </c>
    </row>
    <row s="1619" customFormat="1" customHeight="1" ht="16.5">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61"/>
      <c r="V143" s="1461"/>
      <c r="W143" s="1461"/>
      <c r="X143" s="1461"/>
      <c r="Y143" s="1461"/>
      <c r="Z143" s="1461"/>
      <c r="AA143" s="497"/>
      <c r="AB143" s="479" t="s">
        <v>664</v>
      </c>
      <c r="AC143" s="478" t="s">
        <v>665</v>
      </c>
      <c r="AD143" s="167" t="s">
        <v>591</v>
      </c>
      <c r="AE143" s="523">
        <f>AE135-AE138</f>
        <v>0</v>
      </c>
      <c r="AF143" s="523">
        <f>AF135-AF138</f>
        <v>0</v>
      </c>
      <c r="AG143" s="523">
        <f>AG135-AG138</f>
        <v>0</v>
      </c>
      <c r="AH143" s="523">
        <f>AH135-AH138</f>
        <v>0</v>
      </c>
      <c r="AI143" s="523">
        <f>AI135-AI138</f>
        <v>1370</v>
      </c>
      <c r="AJ143" s="523">
        <f>AJ135-AJ138</f>
        <v>1370</v>
      </c>
      <c r="AK143" s="523">
        <f>AK135-AK138</f>
        <v>1370</v>
      </c>
      <c r="AL143" s="523">
        <f>AL135-AL138</f>
        <v>1370</v>
      </c>
      <c r="AM143" s="523">
        <f>AM135-AM138</f>
        <v>1370</v>
      </c>
      <c r="AN143" s="523">
        <f>AN135-AN138</f>
        <v>1370</v>
      </c>
      <c r="AO143" s="523">
        <f>AO135-AO138</f>
        <v>1370</v>
      </c>
      <c r="AP143" s="523">
        <f>AP135-AP138</f>
        <v>1370</v>
      </c>
      <c r="AQ143" s="523">
        <f>AQ135-AQ138</f>
        <v>1370</v>
      </c>
      <c r="AR143" s="523">
        <f>AR135-AR138</f>
        <v>1370</v>
      </c>
      <c r="AS143" s="523">
        <f>AS135-AS138</f>
        <v>1370</v>
      </c>
      <c r="AT143" s="523">
        <f>AT135-AT138</f>
        <v>1370</v>
      </c>
      <c r="AU143" s="523">
        <f>AU135-AU138</f>
        <v>1370</v>
      </c>
      <c r="AV143" s="523">
        <f>AV135-AV138</f>
        <v>1370</v>
      </c>
      <c r="AW143" s="523">
        <f>AW135-AW138</f>
        <v>1370</v>
      </c>
      <c r="AX143" s="523">
        <f>AX135-AX138</f>
        <v>0</v>
      </c>
      <c r="AY143" s="523">
        <f>AY135-AY138</f>
        <v>0</v>
      </c>
      <c r="AZ143" s="523">
        <f>AZ135-AZ138</f>
        <v>0</v>
      </c>
      <c r="BA143" s="523">
        <f>BA135-BA138</f>
        <v>0</v>
      </c>
      <c r="BB143" s="523">
        <f>BB135-BB138</f>
        <v>0</v>
      </c>
      <c r="BC143" s="1730"/>
      <c r="BD143" s="497"/>
      <c r="BE143" s="497"/>
      <c r="BF143" s="1195" t="s">
        <v>666</v>
      </c>
    </row>
    <row s="1619" customFormat="1" customHeight="1" ht="16.5">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61"/>
      <c r="V144" s="1461"/>
      <c r="W144" s="1461"/>
      <c r="X144" s="1461"/>
      <c r="Y144" s="1461"/>
      <c r="Z144" s="1461"/>
      <c r="AA144" s="497"/>
      <c r="AB144" s="844" t="str">
        <f>AB143&amp;".1"</f>
        <v>9.1</v>
      </c>
      <c r="AC144" s="556" t="s">
        <v>595</v>
      </c>
      <c r="AD144" s="167" t="s">
        <v>591</v>
      </c>
      <c r="AE144" s="523">
        <f>AE136-AE139</f>
        <v>0</v>
      </c>
      <c r="AF144" s="523">
        <f>AF135-AF138</f>
        <v>0</v>
      </c>
      <c r="AG144" s="523">
        <f>AG135-AG138</f>
        <v>0</v>
      </c>
      <c r="AH144" s="523">
        <f>AH135-AH138</f>
        <v>0</v>
      </c>
      <c r="AI144" s="523">
        <f>AI135-AI138</f>
        <v>1370</v>
      </c>
      <c r="AJ144" s="523">
        <f>AJ135-AJ138</f>
        <v>1370</v>
      </c>
      <c r="AK144" s="523">
        <f>AK135-AK138</f>
        <v>1370</v>
      </c>
      <c r="AL144" s="523">
        <f>AL135-AL138</f>
        <v>1370</v>
      </c>
      <c r="AM144" s="523">
        <f>AM135-AM138</f>
        <v>1370</v>
      </c>
      <c r="AN144" s="523">
        <f>AN135-AN138</f>
        <v>1370</v>
      </c>
      <c r="AO144" s="523">
        <f>AO135-AO138</f>
        <v>1370</v>
      </c>
      <c r="AP144" s="523">
        <f>AP135-AP138</f>
        <v>1370</v>
      </c>
      <c r="AQ144" s="523">
        <f>AQ135-AQ138</f>
        <v>1370</v>
      </c>
      <c r="AR144" s="523">
        <f>AR135-AR138</f>
        <v>1370</v>
      </c>
      <c r="AS144" s="523">
        <f>AS135-AS138</f>
        <v>1370</v>
      </c>
      <c r="AT144" s="523">
        <f>AT135-AT138</f>
        <v>1370</v>
      </c>
      <c r="AU144" s="523">
        <f>AU135-AU138</f>
        <v>1370</v>
      </c>
      <c r="AV144" s="523">
        <f>AV135-AV138</f>
        <v>1370</v>
      </c>
      <c r="AW144" s="523">
        <f>AW135-AW138</f>
        <v>1370</v>
      </c>
      <c r="AX144" s="523">
        <f>AX135-AX138</f>
        <v>0</v>
      </c>
      <c r="AY144" s="523">
        <f>AY135-AY138</f>
        <v>0</v>
      </c>
      <c r="AZ144" s="523">
        <f>AZ135-AZ138</f>
        <v>0</v>
      </c>
      <c r="BA144" s="523">
        <f>BA135-BA138</f>
        <v>0</v>
      </c>
      <c r="BB144" s="523">
        <f>BB135-BB138</f>
        <v>0</v>
      </c>
      <c r="BC144" s="1730"/>
      <c r="BD144" s="497"/>
      <c r="BE144" s="497"/>
      <c r="BF144" s="1195" t="s">
        <v>667</v>
      </c>
    </row>
    <row s="1619" customFormat="1" customHeight="1" ht="16.5">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61"/>
      <c r="V145" s="1461"/>
      <c r="W145" s="1461"/>
      <c r="X145" s="1461"/>
      <c r="Y145" s="1461"/>
      <c r="Z145" s="1461"/>
      <c r="AA145" s="497"/>
      <c r="AB145" s="844" t="str">
        <f>AB144&amp;".1"</f>
        <v>9.1.1</v>
      </c>
      <c r="AC145" s="681" t="s">
        <v>636</v>
      </c>
      <c r="AD145" s="167" t="s">
        <v>591</v>
      </c>
      <c r="AE145" s="1737"/>
      <c r="AF145" s="1737"/>
      <c r="AG145" s="1737"/>
      <c r="AH145" s="1737"/>
      <c r="AI145" s="482">
        <v>333</v>
      </c>
      <c r="AJ145" s="482">
        <v>333</v>
      </c>
      <c r="AK145" s="482">
        <v>333</v>
      </c>
      <c r="AL145" s="482">
        <v>333</v>
      </c>
      <c r="AM145" s="482">
        <v>333</v>
      </c>
      <c r="AN145" s="1737">
        <v>333</v>
      </c>
      <c r="AO145" s="1737">
        <v>333</v>
      </c>
      <c r="AP145" s="1737">
        <v>333</v>
      </c>
      <c r="AQ145" s="1737">
        <v>333</v>
      </c>
      <c r="AR145" s="1737">
        <v>333</v>
      </c>
      <c r="AS145" s="482">
        <v>333</v>
      </c>
      <c r="AT145" s="482">
        <v>333</v>
      </c>
      <c r="AU145" s="482">
        <v>333</v>
      </c>
      <c r="AV145" s="482">
        <v>333</v>
      </c>
      <c r="AW145" s="482">
        <v>333</v>
      </c>
      <c r="AX145" s="1737"/>
      <c r="AY145" s="1737"/>
      <c r="AZ145" s="1737"/>
      <c r="BA145" s="1737"/>
      <c r="BB145" s="1737"/>
      <c r="BC145" s="1730"/>
      <c r="BD145" s="497"/>
      <c r="BE145" s="497"/>
      <c r="BF145" s="1195" t="s">
        <v>668</v>
      </c>
    </row>
    <row s="1619" customFormat="1" customHeight="1" ht="16.5">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61"/>
      <c r="V146" s="1461"/>
      <c r="W146" s="1461"/>
      <c r="X146" s="1461"/>
      <c r="Y146" s="1461"/>
      <c r="Z146" s="1461"/>
      <c r="AA146" s="497"/>
      <c r="AB146" s="844" t="str">
        <f>AB144&amp;".2"</f>
        <v>9.1.2</v>
      </c>
      <c r="AC146" s="682" t="s">
        <v>638</v>
      </c>
      <c r="AD146" s="167" t="s">
        <v>591</v>
      </c>
      <c r="AE146" s="1744">
        <f>AE147+AE148+AE149+AE150</f>
        <v>0</v>
      </c>
      <c r="AF146" s="1744">
        <f>AF147+AF148+AF149+AF150</f>
        <v>0</v>
      </c>
      <c r="AG146" s="1744">
        <f>AG147+AG148+AG149+AG150</f>
        <v>0</v>
      </c>
      <c r="AH146" s="1744">
        <f>AH147+AH148+AH149+AH150</f>
        <v>0</v>
      </c>
      <c r="AI146" s="1130">
        <f>AI147+AI148+AI149+AI150</f>
        <v>1037</v>
      </c>
      <c r="AJ146" s="1130">
        <f>AJ147+AJ148+AJ149+AJ150</f>
        <v>1037</v>
      </c>
      <c r="AK146" s="1130">
        <f>AK147+AK148+AK149+AK150</f>
        <v>1037</v>
      </c>
      <c r="AL146" s="1130">
        <f>AL147+AL148+AL149+AL150</f>
        <v>1037</v>
      </c>
      <c r="AM146" s="1130">
        <f>AM147+AM148+AM149+AM150</f>
        <v>1037</v>
      </c>
      <c r="AN146" s="1744">
        <f>AN147+AN148+AN149+AN150</f>
        <v>1037</v>
      </c>
      <c r="AO146" s="1744">
        <f>AO147+AO148+AO149+AO150</f>
        <v>1037</v>
      </c>
      <c r="AP146" s="1744">
        <f>AP147+AP148+AP149+AP150</f>
        <v>1037</v>
      </c>
      <c r="AQ146" s="1744">
        <f>AQ147+AQ148+AQ149+AQ150</f>
        <v>1037</v>
      </c>
      <c r="AR146" s="1744">
        <f>AR147+AR148+AR149+AR150</f>
        <v>1037</v>
      </c>
      <c r="AS146" s="1130">
        <f>AS147+AS148+AS149+AS150</f>
        <v>1037</v>
      </c>
      <c r="AT146" s="1130">
        <f>AT147+AT148+AT149+AT150</f>
        <v>1037</v>
      </c>
      <c r="AU146" s="1130">
        <f>AU147+AU148+AU149+AU150</f>
        <v>1037</v>
      </c>
      <c r="AV146" s="1130">
        <f>AV147+AV148+AV149+AV150</f>
        <v>1037</v>
      </c>
      <c r="AW146" s="1130">
        <f>AW147+AW148+AW149+AW150</f>
        <v>1037</v>
      </c>
      <c r="AX146" s="1744">
        <f>AX147+AX148+AX149+AX150</f>
        <v>0</v>
      </c>
      <c r="AY146" s="1744">
        <f>AY147+AY148+AY149+AY150</f>
        <v>0</v>
      </c>
      <c r="AZ146" s="1744">
        <f>AZ147+AZ148+AZ149+AZ150</f>
        <v>0</v>
      </c>
      <c r="BA146" s="1744">
        <f>BA147+BA148+BA149+BA150</f>
        <v>0</v>
      </c>
      <c r="BB146" s="1744">
        <f>BB147+BB148+BB149+BB150</f>
        <v>0</v>
      </c>
      <c r="BC146" s="1730"/>
      <c r="BD146" s="497"/>
      <c r="BE146" s="497"/>
      <c r="BF146" s="1195" t="s">
        <v>669</v>
      </c>
    </row>
    <row s="1619" customFormat="1" customHeight="1" ht="16.5">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61"/>
      <c r="V147" s="1461"/>
      <c r="W147" s="1461"/>
      <c r="X147" s="1461"/>
      <c r="Y147" s="1461"/>
      <c r="Z147" s="1461"/>
      <c r="AA147" s="497"/>
      <c r="AB147" s="844" t="str">
        <f>AB146&amp;".1"</f>
        <v>9.1.2.1</v>
      </c>
      <c r="AC147" s="683" t="s">
        <v>640</v>
      </c>
      <c r="AD147" s="410" t="s">
        <v>591</v>
      </c>
      <c r="AE147" s="1746"/>
      <c r="AF147" s="1746"/>
      <c r="AG147" s="1746"/>
      <c r="AH147" s="1746"/>
      <c r="AI147" s="560"/>
      <c r="AJ147" s="560"/>
      <c r="AK147" s="560"/>
      <c r="AL147" s="560"/>
      <c r="AM147" s="560"/>
      <c r="AN147" s="1746"/>
      <c r="AO147" s="1746"/>
      <c r="AP147" s="1746"/>
      <c r="AQ147" s="1746"/>
      <c r="AR147" s="1746"/>
      <c r="AS147" s="560"/>
      <c r="AT147" s="560"/>
      <c r="AU147" s="560"/>
      <c r="AV147" s="560"/>
      <c r="AW147" s="560"/>
      <c r="AX147" s="1746"/>
      <c r="AY147" s="1746"/>
      <c r="AZ147" s="1746"/>
      <c r="BA147" s="1746"/>
      <c r="BB147" s="1746"/>
      <c r="BC147" s="1730"/>
      <c r="BD147" s="497"/>
      <c r="BE147" s="497"/>
      <c r="BF147" s="1195" t="s">
        <v>670</v>
      </c>
    </row>
    <row s="1619" customFormat="1" customHeight="1" ht="16.5">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61"/>
      <c r="V148" s="1461"/>
      <c r="W148" s="1461"/>
      <c r="X148" s="1461"/>
      <c r="Y148" s="1461"/>
      <c r="Z148" s="1461"/>
      <c r="AA148" s="497"/>
      <c r="AB148" s="844" t="str">
        <f>AB146&amp;".2"</f>
        <v>9.1.2.2</v>
      </c>
      <c r="AC148" s="684" t="s">
        <v>642</v>
      </c>
      <c r="AD148" s="167" t="s">
        <v>591</v>
      </c>
      <c r="AE148" s="1737"/>
      <c r="AF148" s="1737"/>
      <c r="AG148" s="1737"/>
      <c r="AH148" s="1737"/>
      <c r="AI148" s="482"/>
      <c r="AJ148" s="482"/>
      <c r="AK148" s="482"/>
      <c r="AL148" s="482"/>
      <c r="AM148" s="482"/>
      <c r="AN148" s="1737"/>
      <c r="AO148" s="1737"/>
      <c r="AP148" s="1737"/>
      <c r="AQ148" s="1737"/>
      <c r="AR148" s="1737"/>
      <c r="AS148" s="482"/>
      <c r="AT148" s="482"/>
      <c r="AU148" s="482"/>
      <c r="AV148" s="482"/>
      <c r="AW148" s="482"/>
      <c r="AX148" s="1737"/>
      <c r="AY148" s="1737"/>
      <c r="AZ148" s="1737"/>
      <c r="BA148" s="1737"/>
      <c r="BB148" s="1737"/>
      <c r="BC148" s="1730"/>
      <c r="BD148" s="497"/>
      <c r="BE148" s="497"/>
      <c r="BF148" s="1195" t="s">
        <v>671</v>
      </c>
    </row>
    <row s="1619" customFormat="1" customHeight="1" ht="16.5">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61"/>
      <c r="V149" s="1461"/>
      <c r="W149" s="1461"/>
      <c r="X149" s="1461"/>
      <c r="Y149" s="1461"/>
      <c r="Z149" s="1461"/>
      <c r="AA149" s="497"/>
      <c r="AB149" s="844" t="str">
        <f>AB146&amp;".3"</f>
        <v>9.1.2.3</v>
      </c>
      <c r="AC149" s="684" t="s">
        <v>644</v>
      </c>
      <c r="AD149" s="167" t="s">
        <v>591</v>
      </c>
      <c r="AE149" s="1739"/>
      <c r="AF149" s="1739"/>
      <c r="AG149" s="1739"/>
      <c r="AH149" s="1739"/>
      <c r="AI149" s="563">
        <v>1037</v>
      </c>
      <c r="AJ149" s="563">
        <v>1037</v>
      </c>
      <c r="AK149" s="563">
        <v>1037</v>
      </c>
      <c r="AL149" s="563">
        <v>1037</v>
      </c>
      <c r="AM149" s="563">
        <v>1037</v>
      </c>
      <c r="AN149" s="1739">
        <v>1037</v>
      </c>
      <c r="AO149" s="1739">
        <v>1037</v>
      </c>
      <c r="AP149" s="1739">
        <v>1037</v>
      </c>
      <c r="AQ149" s="1739">
        <v>1037</v>
      </c>
      <c r="AR149" s="1739">
        <v>1037</v>
      </c>
      <c r="AS149" s="563">
        <v>1037</v>
      </c>
      <c r="AT149" s="563">
        <v>1037</v>
      </c>
      <c r="AU149" s="563">
        <v>1037</v>
      </c>
      <c r="AV149" s="563">
        <v>1037</v>
      </c>
      <c r="AW149" s="563">
        <v>1037</v>
      </c>
      <c r="AX149" s="1739"/>
      <c r="AY149" s="1739"/>
      <c r="AZ149" s="1739"/>
      <c r="BA149" s="1739"/>
      <c r="BB149" s="1739"/>
      <c r="BC149" s="1730"/>
      <c r="BD149" s="497"/>
      <c r="BE149" s="497"/>
      <c r="BF149" s="1195" t="s">
        <v>672</v>
      </c>
    </row>
    <row s="1619" customFormat="1" customHeight="1" ht="16.5">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61"/>
      <c r="V150" s="1461"/>
      <c r="W150" s="1461"/>
      <c r="X150" s="1461"/>
      <c r="Y150" s="1461"/>
      <c r="Z150" s="1461"/>
      <c r="AA150" s="497"/>
      <c r="AB150" s="844" t="str">
        <f>AB146&amp;".4"</f>
        <v>9.1.2.4</v>
      </c>
      <c r="AC150" s="684" t="s">
        <v>646</v>
      </c>
      <c r="AD150" s="410" t="s">
        <v>591</v>
      </c>
      <c r="AE150" s="1731"/>
      <c r="AF150" s="1735"/>
      <c r="AG150" s="1731"/>
      <c r="AH150" s="1731"/>
      <c r="AI150" s="296"/>
      <c r="AJ150" s="296"/>
      <c r="AK150" s="296"/>
      <c r="AL150" s="296"/>
      <c r="AM150" s="296"/>
      <c r="AN150" s="1731"/>
      <c r="AO150" s="1731"/>
      <c r="AP150" s="1731"/>
      <c r="AQ150" s="1731"/>
      <c r="AR150" s="1731"/>
      <c r="AS150" s="296"/>
      <c r="AT150" s="296"/>
      <c r="AU150" s="296"/>
      <c r="AV150" s="296"/>
      <c r="AW150" s="296"/>
      <c r="AX150" s="1731"/>
      <c r="AY150" s="1731"/>
      <c r="AZ150" s="1731"/>
      <c r="BA150" s="1731"/>
      <c r="BB150" s="1731"/>
      <c r="BC150" s="1730"/>
      <c r="BD150" s="497"/>
      <c r="BE150" s="497"/>
      <c r="BF150" s="1195" t="s">
        <v>673</v>
      </c>
    </row>
    <row s="1619" customFormat="1" customHeight="1" ht="16.5">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61"/>
      <c r="V151" s="1461"/>
      <c r="W151" s="1461"/>
      <c r="X151" s="1461"/>
      <c r="Y151" s="1461"/>
      <c r="Z151" s="1461"/>
      <c r="AA151" s="497"/>
      <c r="AB151" s="844" t="str">
        <f>AB143&amp;".2"</f>
        <v>9.2</v>
      </c>
      <c r="AC151" s="556" t="s">
        <v>597</v>
      </c>
      <c r="AD151" s="410" t="s">
        <v>591</v>
      </c>
      <c r="AE151" s="1731">
        <f>AE137-AE141</f>
        <v>0</v>
      </c>
      <c r="AF151" s="1731">
        <f>AF137-AF141</f>
        <v>0</v>
      </c>
      <c r="AG151" s="1731">
        <f>AG137-AG141</f>
        <v>0</v>
      </c>
      <c r="AH151" s="1731">
        <f>AH137-AH141</f>
        <v>0</v>
      </c>
      <c r="AI151" s="296">
        <f>AI137-AI141</f>
        <v>0</v>
      </c>
      <c r="AJ151" s="296">
        <f>AJ137-AJ141</f>
        <v>0</v>
      </c>
      <c r="AK151" s="296">
        <f>AK137-AK141</f>
        <v>0</v>
      </c>
      <c r="AL151" s="296">
        <f>AL137-AL141</f>
        <v>0</v>
      </c>
      <c r="AM151" s="296">
        <f>AM137-AM141</f>
        <v>0</v>
      </c>
      <c r="AN151" s="1731">
        <f>AN137-AN141</f>
        <v>0</v>
      </c>
      <c r="AO151" s="1731">
        <f>AO137-AO141</f>
        <v>0</v>
      </c>
      <c r="AP151" s="1731">
        <f>AP137-AP141</f>
        <v>0</v>
      </c>
      <c r="AQ151" s="1731">
        <f>AQ137-AQ141</f>
        <v>0</v>
      </c>
      <c r="AR151" s="1731">
        <f>AR137-AR141</f>
        <v>0</v>
      </c>
      <c r="AS151" s="296">
        <f>AS137-AS141</f>
        <v>0</v>
      </c>
      <c r="AT151" s="296">
        <f>AT137-AT141</f>
        <v>0</v>
      </c>
      <c r="AU151" s="296">
        <f>AU137-AU141</f>
        <v>0</v>
      </c>
      <c r="AV151" s="296">
        <f>AV137-AV141</f>
        <v>0</v>
      </c>
      <c r="AW151" s="296">
        <f>AW137-AW141</f>
        <v>0</v>
      </c>
      <c r="AX151" s="1731">
        <f>AX137-AX141</f>
        <v>0</v>
      </c>
      <c r="AY151" s="1731">
        <f>AY137-AY141</f>
        <v>0</v>
      </c>
      <c r="AZ151" s="1731">
        <f>AZ137-AZ141</f>
        <v>0</v>
      </c>
      <c r="BA151" s="1731">
        <f>BA137-BA141</f>
        <v>0</v>
      </c>
      <c r="BB151" s="1731">
        <f>BB137-BB141</f>
        <v>0</v>
      </c>
      <c r="BC151" s="1730"/>
      <c r="BD151" s="497"/>
      <c r="BE151" s="497"/>
      <c r="BF151" s="1195" t="s">
        <v>674</v>
      </c>
    </row>
    <row s="1619" customFormat="1" customHeight="1" ht="16.5">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61"/>
      <c r="V152" s="1461"/>
      <c r="W152" s="1461"/>
      <c r="X152" s="1461"/>
      <c r="Y152" s="1461"/>
      <c r="Z152" s="1461"/>
      <c r="AA152" s="497"/>
      <c r="AB152" s="484" t="s">
        <v>675</v>
      </c>
      <c r="AC152" s="681" t="s">
        <v>636</v>
      </c>
      <c r="AD152" s="410" t="s">
        <v>591</v>
      </c>
      <c r="AE152" s="1731"/>
      <c r="AF152" s="1731"/>
      <c r="AG152" s="1731"/>
      <c r="AH152" s="1731"/>
      <c r="AI152" s="296"/>
      <c r="AJ152" s="296"/>
      <c r="AK152" s="296"/>
      <c r="AL152" s="296"/>
      <c r="AM152" s="296"/>
      <c r="AN152" s="1731"/>
      <c r="AO152" s="1731"/>
      <c r="AP152" s="1731"/>
      <c r="AQ152" s="1731"/>
      <c r="AR152" s="1731"/>
      <c r="AS152" s="296"/>
      <c r="AT152" s="296"/>
      <c r="AU152" s="296"/>
      <c r="AV152" s="296"/>
      <c r="AW152" s="296"/>
      <c r="AX152" s="1731"/>
      <c r="AY152" s="1731"/>
      <c r="AZ152" s="1731"/>
      <c r="BA152" s="1731"/>
      <c r="BB152" s="1731"/>
      <c r="BC152" s="1730"/>
      <c r="BD152" s="497"/>
      <c r="BE152" s="497"/>
      <c r="BF152" s="1195" t="s">
        <v>676</v>
      </c>
    </row>
    <row s="1619" customFormat="1" customHeight="1" ht="16.5">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61"/>
      <c r="V153" s="1461"/>
      <c r="W153" s="1461"/>
      <c r="X153" s="1461"/>
      <c r="Y153" s="1461"/>
      <c r="Z153" s="1461"/>
      <c r="AA153" s="497"/>
      <c r="AB153" s="485" t="s">
        <v>677</v>
      </c>
      <c r="AC153" s="682" t="s">
        <v>638</v>
      </c>
      <c r="AD153" s="167" t="s">
        <v>591</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30"/>
      <c r="BD153" s="497"/>
      <c r="BE153" s="497"/>
      <c r="BF153" s="1195" t="s">
        <v>678</v>
      </c>
    </row>
    <row s="1619" customFormat="1" customHeight="1" ht="16.5">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61"/>
      <c r="V154" s="1461"/>
      <c r="W154" s="1461"/>
      <c r="X154" s="1461"/>
      <c r="Y154" s="1461"/>
      <c r="Z154" s="1461"/>
      <c r="AA154" s="497"/>
      <c r="AB154" s="484" t="s">
        <v>679</v>
      </c>
      <c r="AC154" s="683" t="s">
        <v>640</v>
      </c>
      <c r="AD154" s="410" t="s">
        <v>591</v>
      </c>
      <c r="AE154" s="1746"/>
      <c r="AF154" s="1746"/>
      <c r="AG154" s="1746"/>
      <c r="AH154" s="1746"/>
      <c r="AI154" s="560"/>
      <c r="AJ154" s="560"/>
      <c r="AK154" s="560"/>
      <c r="AL154" s="560"/>
      <c r="AM154" s="560"/>
      <c r="AN154" s="1746"/>
      <c r="AO154" s="1746"/>
      <c r="AP154" s="1746"/>
      <c r="AQ154" s="1746"/>
      <c r="AR154" s="1746"/>
      <c r="AS154" s="560"/>
      <c r="AT154" s="560"/>
      <c r="AU154" s="560"/>
      <c r="AV154" s="560"/>
      <c r="AW154" s="560"/>
      <c r="AX154" s="1746"/>
      <c r="AY154" s="1746"/>
      <c r="AZ154" s="1746"/>
      <c r="BA154" s="1746"/>
      <c r="BB154" s="1746"/>
      <c r="BC154" s="1730"/>
      <c r="BD154" s="497"/>
      <c r="BE154" s="497"/>
      <c r="BF154" s="1195" t="s">
        <v>680</v>
      </c>
    </row>
    <row s="1619" customFormat="1" customHeight="1" ht="16.5">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61"/>
      <c r="V155" s="1461"/>
      <c r="W155" s="1461"/>
      <c r="X155" s="1461"/>
      <c r="Y155" s="1461"/>
      <c r="Z155" s="1461"/>
      <c r="AA155" s="497"/>
      <c r="AB155" s="484" t="s">
        <v>681</v>
      </c>
      <c r="AC155" s="684" t="s">
        <v>642</v>
      </c>
      <c r="AD155" s="167" t="s">
        <v>591</v>
      </c>
      <c r="AE155" s="1739"/>
      <c r="AF155" s="1739"/>
      <c r="AG155" s="1739"/>
      <c r="AH155" s="1739"/>
      <c r="AI155" s="563"/>
      <c r="AJ155" s="563"/>
      <c r="AK155" s="563"/>
      <c r="AL155" s="563"/>
      <c r="AM155" s="563"/>
      <c r="AN155" s="1739"/>
      <c r="AO155" s="1739"/>
      <c r="AP155" s="1739"/>
      <c r="AQ155" s="1739"/>
      <c r="AR155" s="1739"/>
      <c r="AS155" s="563"/>
      <c r="AT155" s="563"/>
      <c r="AU155" s="563"/>
      <c r="AV155" s="563"/>
      <c r="AW155" s="563"/>
      <c r="AX155" s="1739"/>
      <c r="AY155" s="1739"/>
      <c r="AZ155" s="1739"/>
      <c r="BA155" s="1739"/>
      <c r="BB155" s="1739"/>
      <c r="BC155" s="1730"/>
      <c r="BD155" s="497"/>
      <c r="BE155" s="497"/>
      <c r="BF155" s="1195" t="s">
        <v>682</v>
      </c>
    </row>
    <row s="1619" customFormat="1" customHeight="1" ht="16.5">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61"/>
      <c r="V156" s="1461"/>
      <c r="W156" s="1461"/>
      <c r="X156" s="1461"/>
      <c r="Y156" s="1461"/>
      <c r="Z156" s="1461"/>
      <c r="AA156" s="497"/>
      <c r="AB156" s="855" t="s">
        <v>683</v>
      </c>
      <c r="AC156" s="684" t="s">
        <v>644</v>
      </c>
      <c r="AD156" s="410" t="s">
        <v>591</v>
      </c>
      <c r="AE156" s="1731"/>
      <c r="AF156" s="1731"/>
      <c r="AG156" s="1731"/>
      <c r="AH156" s="1731"/>
      <c r="AI156" s="296"/>
      <c r="AJ156" s="296"/>
      <c r="AK156" s="296"/>
      <c r="AL156" s="296"/>
      <c r="AM156" s="296"/>
      <c r="AN156" s="1731"/>
      <c r="AO156" s="1731"/>
      <c r="AP156" s="1731"/>
      <c r="AQ156" s="1731"/>
      <c r="AR156" s="1731"/>
      <c r="AS156" s="296"/>
      <c r="AT156" s="296"/>
      <c r="AU156" s="296"/>
      <c r="AV156" s="296"/>
      <c r="AW156" s="296"/>
      <c r="AX156" s="1731"/>
      <c r="AY156" s="1731"/>
      <c r="AZ156" s="1731"/>
      <c r="BA156" s="1731"/>
      <c r="BB156" s="1731"/>
      <c r="BC156" s="1730"/>
      <c r="BD156" s="497"/>
      <c r="BE156" s="497"/>
      <c r="BF156" s="1195" t="s">
        <v>684</v>
      </c>
    </row>
    <row s="1619" customFormat="1" customHeight="1" ht="16.5">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61"/>
      <c r="V157" s="1461"/>
      <c r="W157" s="1461"/>
      <c r="X157" s="1461"/>
      <c r="Y157" s="1461"/>
      <c r="Z157" s="1461"/>
      <c r="AA157" s="497"/>
      <c r="AB157" s="856" t="s">
        <v>685</v>
      </c>
      <c r="AC157" s="684" t="s">
        <v>646</v>
      </c>
      <c r="AD157" s="410" t="s">
        <v>591</v>
      </c>
      <c r="AE157" s="1731"/>
      <c r="AF157" s="1731"/>
      <c r="AG157" s="1731"/>
      <c r="AH157" s="1731"/>
      <c r="AI157" s="296"/>
      <c r="AJ157" s="296"/>
      <c r="AK157" s="296"/>
      <c r="AL157" s="296"/>
      <c r="AM157" s="296"/>
      <c r="AN157" s="1731"/>
      <c r="AO157" s="1731"/>
      <c r="AP157" s="1731"/>
      <c r="AQ157" s="1731"/>
      <c r="AR157" s="1731"/>
      <c r="AS157" s="296"/>
      <c r="AT157" s="296"/>
      <c r="AU157" s="296"/>
      <c r="AV157" s="296"/>
      <c r="AW157" s="296"/>
      <c r="AX157" s="1731"/>
      <c r="AY157" s="1731"/>
      <c r="AZ157" s="1731"/>
      <c r="BA157" s="1731"/>
      <c r="BB157" s="1731"/>
      <c r="BC157" s="1730"/>
      <c r="BD157" s="497"/>
      <c r="BE157" s="497"/>
      <c r="BF157" s="1195" t="s">
        <v>686</v>
      </c>
    </row>
    <row s="1619"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687</v>
      </c>
      <c r="P158" s="497"/>
      <c r="Q158" s="497"/>
      <c r="R158" s="497"/>
      <c r="S158" s="497"/>
      <c r="T158" s="805">
        <f>AND(T157,H96="двухставочный")</f>
        <v>0</v>
      </c>
      <c r="U158" s="1461"/>
      <c r="V158" s="1461"/>
      <c r="W158" s="1461"/>
      <c r="X158" s="1461"/>
      <c r="Y158" s="1461"/>
      <c r="Z158" s="1461"/>
      <c r="AA158" s="497"/>
      <c r="AB158" s="322" t="s">
        <v>688</v>
      </c>
      <c r="AC158" s="594" t="s">
        <v>689</v>
      </c>
      <c r="AD158" s="508" t="s">
        <v>690</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3"/>
      <c r="BD158" s="497"/>
      <c r="BE158" s="497"/>
      <c r="BF158" s="1195" t="s">
        <v>691</v>
      </c>
    </row>
    <row s="1619"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687</v>
      </c>
      <c r="P159" s="497"/>
      <c r="Q159" s="497"/>
      <c r="R159" s="497"/>
      <c r="S159" s="497"/>
      <c r="T159" s="805" cm="1" t="str">
        <f t="array" ref="T159:T159">T158</f>
        <v>false</v>
      </c>
      <c r="U159" s="1461"/>
      <c r="V159" s="1461"/>
      <c r="W159" s="1461"/>
      <c r="X159" s="1461"/>
      <c r="Y159" s="1461"/>
      <c r="Z159" s="1461"/>
      <c r="AA159" s="497"/>
      <c r="AB159" s="844" t="str">
        <f>AB158&amp;".1"</f>
        <v>10.1</v>
      </c>
      <c r="AC159" s="561" t="s">
        <v>640</v>
      </c>
      <c r="AD159" s="508" t="s">
        <v>690</v>
      </c>
      <c r="AE159" s="74"/>
      <c r="AF159" s="74"/>
      <c r="AG159" s="74"/>
      <c r="AH159" s="74"/>
      <c r="AI159" s="296"/>
      <c r="AJ159" s="296"/>
      <c r="AK159" s="296"/>
      <c r="AL159" s="296"/>
      <c r="AM159" s="296"/>
      <c r="AN159" s="74"/>
      <c r="AO159" s="74"/>
      <c r="AP159" s="74"/>
      <c r="AQ159" s="74"/>
      <c r="AR159" s="74"/>
      <c r="AS159" s="296"/>
      <c r="AT159" s="296"/>
      <c r="AU159" s="296"/>
      <c r="AV159" s="296"/>
      <c r="AW159" s="296"/>
      <c r="AX159" s="74"/>
      <c r="AY159" s="74"/>
      <c r="AZ159" s="74"/>
      <c r="BA159" s="74"/>
      <c r="BB159" s="83"/>
      <c r="BC159" s="73"/>
      <c r="BD159" s="497"/>
      <c r="BE159" s="497"/>
      <c r="BF159" s="1195" t="s">
        <v>692</v>
      </c>
    </row>
    <row s="1619"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687</v>
      </c>
      <c r="P160" s="497"/>
      <c r="Q160" s="497"/>
      <c r="R160" s="497"/>
      <c r="S160" s="497"/>
      <c r="T160" s="805" cm="1" t="str">
        <f t="array" ref="T160:T160">T159</f>
        <v>false</v>
      </c>
      <c r="U160" s="1461"/>
      <c r="V160" s="1461"/>
      <c r="W160" s="1461"/>
      <c r="X160" s="1461"/>
      <c r="Y160" s="1461"/>
      <c r="Z160" s="1461"/>
      <c r="AA160" s="497"/>
      <c r="AB160" s="844" t="str">
        <f>AB158&amp;".2"</f>
        <v>10.2</v>
      </c>
      <c r="AC160" s="415" t="s">
        <v>642</v>
      </c>
      <c r="AD160" s="508" t="s">
        <v>690</v>
      </c>
      <c r="AE160" s="74"/>
      <c r="AF160" s="74"/>
      <c r="AG160" s="74"/>
      <c r="AH160" s="74"/>
      <c r="AI160" s="296"/>
      <c r="AJ160" s="296"/>
      <c r="AK160" s="296"/>
      <c r="AL160" s="296"/>
      <c r="AM160" s="296"/>
      <c r="AN160" s="74"/>
      <c r="AO160" s="74"/>
      <c r="AP160" s="74"/>
      <c r="AQ160" s="74"/>
      <c r="AR160" s="74"/>
      <c r="AS160" s="296"/>
      <c r="AT160" s="296"/>
      <c r="AU160" s="296"/>
      <c r="AV160" s="296"/>
      <c r="AW160" s="296"/>
      <c r="AX160" s="74"/>
      <c r="AY160" s="74"/>
      <c r="AZ160" s="74"/>
      <c r="BA160" s="74"/>
      <c r="BB160" s="83"/>
      <c r="BC160" s="73"/>
      <c r="BD160" s="497"/>
      <c r="BE160" s="497"/>
      <c r="BF160" s="1195" t="s">
        <v>693</v>
      </c>
    </row>
    <row s="1619"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687</v>
      </c>
      <c r="P161" s="497"/>
      <c r="Q161" s="497"/>
      <c r="R161" s="497"/>
      <c r="S161" s="497"/>
      <c r="T161" s="805" cm="1" t="str">
        <f t="array" ref="T161:T161">T160</f>
        <v>false</v>
      </c>
      <c r="U161" s="1461"/>
      <c r="V161" s="1461"/>
      <c r="W161" s="1461"/>
      <c r="X161" s="1461"/>
      <c r="Y161" s="1461"/>
      <c r="Z161" s="1461"/>
      <c r="AA161" s="497"/>
      <c r="AB161" s="844" t="str">
        <f>AB158&amp;".3"</f>
        <v>10.3</v>
      </c>
      <c r="AC161" s="415" t="s">
        <v>644</v>
      </c>
      <c r="AD161" s="508" t="s">
        <v>690</v>
      </c>
      <c r="AE161" s="74"/>
      <c r="AF161" s="74"/>
      <c r="AG161" s="74"/>
      <c r="AH161" s="74"/>
      <c r="AI161" s="296"/>
      <c r="AJ161" s="296"/>
      <c r="AK161" s="296"/>
      <c r="AL161" s="296"/>
      <c r="AM161" s="296"/>
      <c r="AN161" s="74"/>
      <c r="AO161" s="74"/>
      <c r="AP161" s="74"/>
      <c r="AQ161" s="74"/>
      <c r="AR161" s="74"/>
      <c r="AS161" s="296"/>
      <c r="AT161" s="296"/>
      <c r="AU161" s="296"/>
      <c r="AV161" s="296"/>
      <c r="AW161" s="296"/>
      <c r="AX161" s="74"/>
      <c r="AY161" s="74"/>
      <c r="AZ161" s="74"/>
      <c r="BA161" s="74"/>
      <c r="BB161" s="83"/>
      <c r="BC161" s="73"/>
      <c r="BD161" s="497"/>
      <c r="BE161" s="497"/>
      <c r="BF161" s="1195" t="s">
        <v>694</v>
      </c>
    </row>
    <row s="1619"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687</v>
      </c>
      <c r="P162" s="497"/>
      <c r="Q162" s="497"/>
      <c r="R162" s="497"/>
      <c r="S162" s="497"/>
      <c r="T162" s="805" cm="1" t="str">
        <f t="array" ref="T162:T162">T161</f>
        <v>false</v>
      </c>
      <c r="U162" s="1461"/>
      <c r="V162" s="1461"/>
      <c r="W162" s="1461"/>
      <c r="X162" s="1461"/>
      <c r="Y162" s="1461"/>
      <c r="Z162" s="1461"/>
      <c r="AA162" s="497"/>
      <c r="AB162" s="844" t="str">
        <f>AB158&amp;".4"</f>
        <v>10.4</v>
      </c>
      <c r="AC162" s="415" t="s">
        <v>646</v>
      </c>
      <c r="AD162" s="596" t="s">
        <v>690</v>
      </c>
      <c r="AE162" s="75"/>
      <c r="AF162" s="75"/>
      <c r="AG162" s="75"/>
      <c r="AH162" s="75"/>
      <c r="AI162" s="592"/>
      <c r="AJ162" s="592"/>
      <c r="AK162" s="592"/>
      <c r="AL162" s="592"/>
      <c r="AM162" s="592"/>
      <c r="AN162" s="75"/>
      <c r="AO162" s="75"/>
      <c r="AP162" s="75"/>
      <c r="AQ162" s="75"/>
      <c r="AR162" s="75"/>
      <c r="AS162" s="592"/>
      <c r="AT162" s="592"/>
      <c r="AU162" s="592"/>
      <c r="AV162" s="592"/>
      <c r="AW162" s="592"/>
      <c r="AX162" s="75"/>
      <c r="AY162" s="75"/>
      <c r="AZ162" s="75"/>
      <c r="BA162" s="75"/>
      <c r="BB162" s="84"/>
      <c r="BC162" s="68"/>
      <c r="BD162" s="497"/>
      <c r="BE162" s="497"/>
      <c r="BF162" s="1195" t="s">
        <v>695</v>
      </c>
    </row>
    <row s="1619"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687</v>
      </c>
      <c r="P163" s="497"/>
      <c r="Q163" s="497"/>
      <c r="R163" s="497"/>
      <c r="S163" s="497"/>
      <c r="T163" s="805" cm="1" t="str">
        <f t="array" ref="T163:T163">T162</f>
        <v>false</v>
      </c>
      <c r="U163" s="1461"/>
      <c r="V163" s="1461"/>
      <c r="W163" s="1461"/>
      <c r="X163" s="1461"/>
      <c r="Y163" s="1461"/>
      <c r="Z163" s="1461"/>
      <c r="AA163" s="497"/>
      <c r="AB163" s="322" t="s">
        <v>696</v>
      </c>
      <c r="AC163" s="595" t="s">
        <v>697</v>
      </c>
      <c r="AD163" s="154"/>
      <c r="AE163" s="74"/>
      <c r="AF163" s="74"/>
      <c r="AG163" s="74"/>
      <c r="AH163" s="74"/>
      <c r="AI163" s="296"/>
      <c r="AJ163" s="296"/>
      <c r="AK163" s="296"/>
      <c r="AL163" s="296"/>
      <c r="AM163" s="296"/>
      <c r="AN163" s="74"/>
      <c r="AO163" s="74"/>
      <c r="AP163" s="74"/>
      <c r="AQ163" s="74"/>
      <c r="AR163" s="74"/>
      <c r="AS163" s="296"/>
      <c r="AT163" s="296"/>
      <c r="AU163" s="296"/>
      <c r="AV163" s="296"/>
      <c r="AW163" s="296"/>
      <c r="AX163" s="74"/>
      <c r="AY163" s="74"/>
      <c r="AZ163" s="74"/>
      <c r="BA163" s="74"/>
      <c r="BB163" s="74"/>
      <c r="BC163" s="79"/>
      <c r="BD163" s="497"/>
      <c r="BE163" s="497"/>
      <c r="BF163" s="1195" t="s">
        <v>698</v>
      </c>
    </row>
    <row s="1619" customFormat="1" customHeight="1" ht="10.5">
      <c r="A164" s="1183"/>
      <c r="B164" s="924"/>
      <c r="C164" s="1461"/>
      <c r="D164" s="1461"/>
      <c r="E164" s="794">
        <v>11.4</v>
      </c>
      <c r="F164" s="919" cm="1" t="str">
        <f t="array" ref="F164:F164">X164</f>
        <v>2</v>
      </c>
      <c r="G164" s="210" cm="1" t="str">
        <f t="array" ref="G164:G164">INDEX('Общие сведения'!$AL$169:$AL$218,MATCH($F164,'Общие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164" s="210" cm="1" t="str">
        <f t="array" ref="H164:H164">INDEX('Общие сведения'!$AK$169:$AK$218,MATCH($F164,'Общие сведения'!$Z$169:$Z$218,0))</f>
        <v>одноставочный</v>
      </c>
      <c r="I164" s="497"/>
      <c r="J164" s="497"/>
      <c r="K164" s="497"/>
      <c r="L164" s="497"/>
      <c r="M164" s="497"/>
      <c r="N164" s="497"/>
      <c r="O164" s="497"/>
      <c r="P164" s="497"/>
      <c r="Q164" s="497"/>
      <c r="R164" s="497"/>
      <c r="S164" s="497"/>
      <c r="T164" s="805">
        <f>AND(X164&gt;0,G164&lt;&gt;"передача тепловой энергии")</f>
        <v>1</v>
      </c>
      <c r="U164" s="1461"/>
      <c r="V164" s="172" cm="1" t="str">
        <f t="array" ref="V164:V164">'Сценарии (МСА)'!$AB$42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164" s="1461"/>
      <c r="X164" s="172" t="s">
        <v>343</v>
      </c>
      <c r="Y164" s="1461"/>
      <c r="Z164" s="1461"/>
      <c r="AA164" s="497"/>
      <c r="AB164" s="463" cm="1" t="str">
        <f t="array" ref="AB164:AB164">IF(ISBLANK('Сценарии (МСА)'!$AB$42),"",'Сценарии (МСА)'!$AB$42)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164" s="260"/>
      <c r="AD164" s="260"/>
      <c r="AE164" s="260"/>
      <c r="AF164" s="260"/>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497"/>
      <c r="BE164" s="497"/>
      <c r="BF164" s="1145"/>
    </row>
    <row s="1619" customFormat="1" customHeight="1" ht="16.5">
      <c r="A165" s="1183"/>
      <c r="B165" s="924"/>
      <c r="C165" s="1461"/>
      <c r="D165" s="1461"/>
      <c r="E165" s="794">
        <v>17.1</v>
      </c>
      <c r="F165" s="919" cm="1" t="str">
        <f t="array" ref="F165:F165">OFFSET(G165,-1,-1)</f>
        <v>2</v>
      </c>
      <c r="G165" s="497"/>
      <c r="H165" s="497"/>
      <c r="I165" s="497"/>
      <c r="J165" s="497"/>
      <c r="K165" s="497"/>
      <c r="L165" s="497"/>
      <c r="M165" s="497"/>
      <c r="N165" s="497"/>
      <c r="O165" s="497"/>
      <c r="P165" s="497"/>
      <c r="Q165" s="497"/>
      <c r="R165" s="497"/>
      <c r="S165" s="497"/>
      <c r="T165" s="805" cm="1" t="str">
        <f t="array" ref="T165:T165">T164</f>
        <v>true</v>
      </c>
      <c r="U165" s="1461"/>
      <c r="V165" s="1461"/>
      <c r="W165" s="1461"/>
      <c r="X165" s="1461"/>
      <c r="Y165" s="1461"/>
      <c r="Z165" s="1461"/>
      <c r="AA165" s="497"/>
      <c r="AB165" s="322" t="s">
        <v>335</v>
      </c>
      <c r="AC165" s="160" t="s">
        <v>590</v>
      </c>
      <c r="AD165" s="166" t="s">
        <v>591</v>
      </c>
      <c r="AE165" s="364">
        <f>AE166+AE169+AE172</f>
        <v>0</v>
      </c>
      <c r="AF165" s="364">
        <f>AF166+AF169+AF172</f>
        <v>0</v>
      </c>
      <c r="AG165" s="364">
        <f>AG166+AG169+AG172</f>
        <v>0</v>
      </c>
      <c r="AH165" s="364">
        <f>AH166+AH169+AH172</f>
        <v>0</v>
      </c>
      <c r="AI165" s="364">
        <f>AI166+AI169+AI172</f>
        <v>1384</v>
      </c>
      <c r="AJ165" s="364">
        <f>AJ166+AJ169+AJ172</f>
        <v>1384</v>
      </c>
      <c r="AK165" s="364">
        <f>AK166+AK169+AK172</f>
        <v>1384</v>
      </c>
      <c r="AL165" s="364">
        <f>AL166+AL169+AL172</f>
        <v>1384</v>
      </c>
      <c r="AM165" s="364">
        <f>AM166+AM169+AM172</f>
        <v>1384</v>
      </c>
      <c r="AN165" s="364">
        <f>AN166+AN169+AN172</f>
        <v>1384</v>
      </c>
      <c r="AO165" s="364">
        <f>AO166+AO169+AO172</f>
        <v>1384</v>
      </c>
      <c r="AP165" s="364">
        <f>AP166+AP169+AP172</f>
        <v>1384</v>
      </c>
      <c r="AQ165" s="364">
        <f>AQ166+AQ169+AQ172</f>
        <v>1384</v>
      </c>
      <c r="AR165" s="364">
        <f>AR166+AR169+AR172</f>
        <v>1384</v>
      </c>
      <c r="AS165" s="364">
        <f>AS166+AS169+AS172</f>
        <v>1384</v>
      </c>
      <c r="AT165" s="364">
        <f>AT166+AT169+AT172</f>
        <v>1384</v>
      </c>
      <c r="AU165" s="364">
        <f>AU166+AU169+AU172</f>
        <v>1384</v>
      </c>
      <c r="AV165" s="364">
        <f>AV166+AV169+AV172</f>
        <v>1384</v>
      </c>
      <c r="AW165" s="364">
        <f>AW166+AW169+AW172</f>
        <v>1384</v>
      </c>
      <c r="AX165" s="364">
        <f>AX166+AX169+AX172</f>
        <v>0</v>
      </c>
      <c r="AY165" s="364">
        <f>AY166+AY169+AY172</f>
        <v>0</v>
      </c>
      <c r="AZ165" s="364">
        <f>AZ166+AZ169+AZ172</f>
        <v>0</v>
      </c>
      <c r="BA165" s="364">
        <f>BA166+BA169+BA172</f>
        <v>0</v>
      </c>
      <c r="BB165" s="364">
        <f>BB166+BB169+BB172</f>
        <v>0</v>
      </c>
      <c r="BC165" s="1730"/>
      <c r="BD165" s="497"/>
      <c r="BE165" s="497"/>
      <c r="BF165" s="1195" t="s">
        <v>592</v>
      </c>
    </row>
    <row s="1619" customFormat="1" customHeight="1" ht="16.5">
      <c r="A166" s="1183"/>
      <c r="B166" s="924"/>
      <c r="C166" s="1461"/>
      <c r="D166" s="1461"/>
      <c r="E166" s="794">
        <v>17.1</v>
      </c>
      <c r="F166" s="919" cm="1" t="str">
        <f t="array" ref="F166:F166">OFFSET(G166,-1,-1)</f>
        <v>2</v>
      </c>
      <c r="G166" s="497"/>
      <c r="H166" s="497"/>
      <c r="I166" s="497"/>
      <c r="J166" s="497"/>
      <c r="K166" s="497"/>
      <c r="L166" s="497"/>
      <c r="M166" s="497"/>
      <c r="N166" s="497"/>
      <c r="O166" s="497"/>
      <c r="P166" s="497"/>
      <c r="Q166" s="497"/>
      <c r="R166" s="497"/>
      <c r="S166" s="497"/>
      <c r="T166" s="805" cm="1" t="str">
        <f t="array" ref="T166:T166">T165</f>
        <v>true</v>
      </c>
      <c r="U166" s="1461"/>
      <c r="V166" s="1461"/>
      <c r="W166" s="1461"/>
      <c r="X166" s="1461"/>
      <c r="Y166" s="1461"/>
      <c r="Z166" s="1461"/>
      <c r="AA166" s="497"/>
      <c r="AB166" s="154" t="str">
        <f>AB165&amp;".1"</f>
        <v>1.1</v>
      </c>
      <c r="AC166" s="161" t="s">
        <v>593</v>
      </c>
      <c r="AD166" s="166" t="s">
        <v>591</v>
      </c>
      <c r="AE166" s="364">
        <f>AE167+AE168</f>
        <v>0</v>
      </c>
      <c r="AF166" s="364">
        <f>AF167+AF168</f>
        <v>0</v>
      </c>
      <c r="AG166" s="364">
        <f>AG167+AG168</f>
        <v>0</v>
      </c>
      <c r="AH166" s="364">
        <f>AH167+AH168</f>
        <v>0</v>
      </c>
      <c r="AI166" s="364">
        <f>AI167+AI168</f>
        <v>0</v>
      </c>
      <c r="AJ166" s="364">
        <f>AJ167+AJ168</f>
        <v>0</v>
      </c>
      <c r="AK166" s="364">
        <f>AK167+AK168</f>
        <v>0</v>
      </c>
      <c r="AL166" s="364">
        <f>AL167+AL168</f>
        <v>0</v>
      </c>
      <c r="AM166" s="364">
        <f>AM167+AM168</f>
        <v>0</v>
      </c>
      <c r="AN166" s="364">
        <f>AN167+AN168</f>
        <v>0</v>
      </c>
      <c r="AO166" s="364">
        <f>AO167+AO168</f>
        <v>0</v>
      </c>
      <c r="AP166" s="364">
        <f>AP167+AP168</f>
        <v>0</v>
      </c>
      <c r="AQ166" s="364">
        <f>AQ167+AQ168</f>
        <v>0</v>
      </c>
      <c r="AR166" s="364">
        <f>AR167+AR168</f>
        <v>0</v>
      </c>
      <c r="AS166" s="364">
        <f>AS167+AS168</f>
        <v>0</v>
      </c>
      <c r="AT166" s="364">
        <f>AT167+AT168</f>
        <v>0</v>
      </c>
      <c r="AU166" s="364">
        <f>AU167+AU168</f>
        <v>0</v>
      </c>
      <c r="AV166" s="364">
        <f>AV167+AV168</f>
        <v>0</v>
      </c>
      <c r="AW166" s="364">
        <f>AW167+AW168</f>
        <v>0</v>
      </c>
      <c r="AX166" s="364">
        <f>AX167+AX168</f>
        <v>0</v>
      </c>
      <c r="AY166" s="364">
        <f>AY167+AY168</f>
        <v>0</v>
      </c>
      <c r="AZ166" s="364">
        <f>AZ167+AZ168</f>
        <v>0</v>
      </c>
      <c r="BA166" s="364">
        <f>BA167+BA168</f>
        <v>0</v>
      </c>
      <c r="BB166" s="364">
        <f>BB167+BB168</f>
        <v>0</v>
      </c>
      <c r="BC166" s="1730"/>
      <c r="BD166" s="497"/>
      <c r="BE166" s="497"/>
      <c r="BF166" s="1195" t="s">
        <v>594</v>
      </c>
    </row>
    <row s="1619" customFormat="1" customHeight="1" ht="16.5">
      <c r="A167" s="1183"/>
      <c r="B167" s="924"/>
      <c r="C167" s="1461"/>
      <c r="D167" s="1461"/>
      <c r="E167" s="794">
        <v>17.1</v>
      </c>
      <c r="F167" s="919" cm="1" t="str">
        <f t="array" ref="F167:F167">OFFSET(G167,-1,-1)</f>
        <v>2</v>
      </c>
      <c r="G167" s="497"/>
      <c r="H167" s="497"/>
      <c r="I167" s="497"/>
      <c r="J167" s="497"/>
      <c r="K167" s="497"/>
      <c r="L167" s="497"/>
      <c r="M167" s="497"/>
      <c r="N167" s="497"/>
      <c r="O167" s="497"/>
      <c r="P167" s="497"/>
      <c r="Q167" s="497"/>
      <c r="R167" s="497"/>
      <c r="S167" s="497"/>
      <c r="T167" s="805" cm="1" t="str">
        <f t="array" ref="T167:T167">T166</f>
        <v>true</v>
      </c>
      <c r="U167" s="1461"/>
      <c r="V167" s="1461"/>
      <c r="W167" s="1461"/>
      <c r="X167" s="1461"/>
      <c r="Y167" s="1461"/>
      <c r="Z167" s="1461"/>
      <c r="AA167" s="497"/>
      <c r="AB167" s="154" t="str">
        <f>AB166&amp;".1"</f>
        <v>1.1.1</v>
      </c>
      <c r="AC167" s="559" t="s">
        <v>595</v>
      </c>
      <c r="AD167" s="166" t="s">
        <v>591</v>
      </c>
      <c r="AE167" s="1731"/>
      <c r="AF167" s="1731"/>
      <c r="AG167" s="1731"/>
      <c r="AH167" s="1731"/>
      <c r="AI167" s="296"/>
      <c r="AJ167" s="296"/>
      <c r="AK167" s="296"/>
      <c r="AL167" s="296"/>
      <c r="AM167" s="296"/>
      <c r="AN167" s="1731"/>
      <c r="AO167" s="1731"/>
      <c r="AP167" s="1731"/>
      <c r="AQ167" s="1731"/>
      <c r="AR167" s="1731"/>
      <c r="AS167" s="296"/>
      <c r="AT167" s="296"/>
      <c r="AU167" s="296"/>
      <c r="AV167" s="296"/>
      <c r="AW167" s="296"/>
      <c r="AX167" s="1731"/>
      <c r="AY167" s="1731"/>
      <c r="AZ167" s="1731"/>
      <c r="BA167" s="1731"/>
      <c r="BB167" s="1731"/>
      <c r="BC167" s="1730"/>
      <c r="BD167" s="497"/>
      <c r="BE167" s="497"/>
      <c r="BF167" s="1195" t="s">
        <v>596</v>
      </c>
    </row>
    <row s="1619" customFormat="1" customHeight="1" ht="16.5">
      <c r="A168" s="1183"/>
      <c r="B168" s="924"/>
      <c r="C168" s="1461"/>
      <c r="D168" s="1461"/>
      <c r="E168" s="794">
        <v>17.1</v>
      </c>
      <c r="F168" s="919" cm="1" t="str">
        <f t="array" ref="F168:F168">OFFSET(G168,-1,-1)</f>
        <v>2</v>
      </c>
      <c r="G168" s="497"/>
      <c r="H168" s="497"/>
      <c r="I168" s="497"/>
      <c r="J168" s="497"/>
      <c r="K168" s="497"/>
      <c r="L168" s="497"/>
      <c r="M168" s="497"/>
      <c r="N168" s="497"/>
      <c r="O168" s="497"/>
      <c r="P168" s="497"/>
      <c r="Q168" s="497"/>
      <c r="R168" s="497"/>
      <c r="S168" s="497"/>
      <c r="T168" s="805" cm="1" t="str">
        <f t="array" ref="T168:T168">T167</f>
        <v>true</v>
      </c>
      <c r="U168" s="1461"/>
      <c r="V168" s="1461"/>
      <c r="W168" s="1461"/>
      <c r="X168" s="1461"/>
      <c r="Y168" s="1461"/>
      <c r="Z168" s="1461"/>
      <c r="AA168" s="497"/>
      <c r="AB168" s="154" t="str">
        <f>AB166&amp;".2"</f>
        <v>1.1.2</v>
      </c>
      <c r="AC168" s="559" t="s">
        <v>597</v>
      </c>
      <c r="AD168" s="166" t="s">
        <v>591</v>
      </c>
      <c r="AE168" s="1731"/>
      <c r="AF168" s="1731"/>
      <c r="AG168" s="1731"/>
      <c r="AH168" s="1731"/>
      <c r="AI168" s="296"/>
      <c r="AJ168" s="296"/>
      <c r="AK168" s="296"/>
      <c r="AL168" s="296"/>
      <c r="AM168" s="296"/>
      <c r="AN168" s="1731"/>
      <c r="AO168" s="1731"/>
      <c r="AP168" s="1731"/>
      <c r="AQ168" s="1731"/>
      <c r="AR168" s="1731"/>
      <c r="AS168" s="296"/>
      <c r="AT168" s="296"/>
      <c r="AU168" s="296"/>
      <c r="AV168" s="296"/>
      <c r="AW168" s="296"/>
      <c r="AX168" s="1731"/>
      <c r="AY168" s="1731"/>
      <c r="AZ168" s="1731"/>
      <c r="BA168" s="1731"/>
      <c r="BB168" s="1731"/>
      <c r="BC168" s="1730"/>
      <c r="BD168" s="497"/>
      <c r="BE168" s="497"/>
      <c r="BF168" s="1195" t="s">
        <v>598</v>
      </c>
    </row>
    <row s="1619" customFormat="1" customHeight="1" ht="16.5">
      <c r="A169" s="1183"/>
      <c r="B169" s="924"/>
      <c r="C169" s="1461"/>
      <c r="D169" s="1461"/>
      <c r="E169" s="794">
        <v>17.1</v>
      </c>
      <c r="F169" s="919" cm="1" t="str">
        <f t="array" ref="F169:F169">OFFSET(G169,-1,-1)</f>
        <v>2</v>
      </c>
      <c r="G169" s="497"/>
      <c r="H169" s="497"/>
      <c r="I169" s="497"/>
      <c r="J169" s="497"/>
      <c r="K169" s="497"/>
      <c r="L169" s="497"/>
      <c r="M169" s="497"/>
      <c r="N169" s="497"/>
      <c r="O169" s="497"/>
      <c r="P169" s="497"/>
      <c r="Q169" s="497"/>
      <c r="R169" s="497"/>
      <c r="S169" s="497"/>
      <c r="T169" s="805" cm="1" t="str">
        <f t="array" ref="T169:T169">T168</f>
        <v>true</v>
      </c>
      <c r="U169" s="1461"/>
      <c r="V169" s="1461"/>
      <c r="W169" s="1461"/>
      <c r="X169" s="1461"/>
      <c r="Y169" s="1461"/>
      <c r="Z169" s="1461"/>
      <c r="AA169" s="497"/>
      <c r="AB169" s="154" t="str">
        <f>AB165&amp;".2"</f>
        <v>1.2</v>
      </c>
      <c r="AC169" s="161" t="s">
        <v>599</v>
      </c>
      <c r="AD169" s="166" t="s">
        <v>591</v>
      </c>
      <c r="AE169" s="364">
        <f>AE170+AE171</f>
        <v>0</v>
      </c>
      <c r="AF169" s="364">
        <f>AF170+AF171</f>
        <v>0</v>
      </c>
      <c r="AG169" s="364">
        <f>AG170+AG171</f>
        <v>0</v>
      </c>
      <c r="AH169" s="364">
        <f>AH170+AH171</f>
        <v>0</v>
      </c>
      <c r="AI169" s="364">
        <f>AI170+AI171</f>
        <v>1384</v>
      </c>
      <c r="AJ169" s="364">
        <f>AJ170+AJ171</f>
        <v>1384</v>
      </c>
      <c r="AK169" s="364">
        <f>AK170+AK171</f>
        <v>1384</v>
      </c>
      <c r="AL169" s="364">
        <f>AL170+AL171</f>
        <v>1384</v>
      </c>
      <c r="AM169" s="364">
        <f>AM170+AM171</f>
        <v>1384</v>
      </c>
      <c r="AN169" s="364">
        <f>AN170+AN171</f>
        <v>1384</v>
      </c>
      <c r="AO169" s="364">
        <f>AO170+AO171</f>
        <v>1384</v>
      </c>
      <c r="AP169" s="364">
        <f>AP170+AP171</f>
        <v>1384</v>
      </c>
      <c r="AQ169" s="364">
        <f>AQ170+AQ171</f>
        <v>1384</v>
      </c>
      <c r="AR169" s="364">
        <f>AR170+AR171</f>
        <v>1384</v>
      </c>
      <c r="AS169" s="364">
        <f>AS170+AS171</f>
        <v>1384</v>
      </c>
      <c r="AT169" s="364">
        <f>AT170+AT171</f>
        <v>1384</v>
      </c>
      <c r="AU169" s="364">
        <f>AU170+AU171</f>
        <v>1384</v>
      </c>
      <c r="AV169" s="364">
        <f>AV170+AV171</f>
        <v>1384</v>
      </c>
      <c r="AW169" s="364">
        <f>AW170+AW171</f>
        <v>1384</v>
      </c>
      <c r="AX169" s="364">
        <f>AX170+AX171</f>
        <v>0</v>
      </c>
      <c r="AY169" s="364">
        <f>AY170+AY171</f>
        <v>0</v>
      </c>
      <c r="AZ169" s="364">
        <f>AZ170+AZ171</f>
        <v>0</v>
      </c>
      <c r="BA169" s="364">
        <f>BA170+BA171</f>
        <v>0</v>
      </c>
      <c r="BB169" s="364">
        <f>BB170+BB171</f>
        <v>0</v>
      </c>
      <c r="BC169" s="1730"/>
      <c r="BD169" s="497"/>
      <c r="BE169" s="497"/>
      <c r="BF169" s="1195" t="s">
        <v>600</v>
      </c>
    </row>
    <row s="1619" customFormat="1" customHeight="1" ht="16.5">
      <c r="A170" s="1183"/>
      <c r="B170" s="924"/>
      <c r="C170" s="1461"/>
      <c r="D170" s="1461"/>
      <c r="E170" s="794">
        <v>17.1</v>
      </c>
      <c r="F170" s="919" cm="1" t="str">
        <f t="array" ref="F170:F170">OFFSET(G170,-1,-1)</f>
        <v>2</v>
      </c>
      <c r="G170" s="497"/>
      <c r="H170" s="497"/>
      <c r="I170" s="497"/>
      <c r="J170" s="497"/>
      <c r="K170" s="497"/>
      <c r="L170" s="497"/>
      <c r="M170" s="497"/>
      <c r="N170" s="497"/>
      <c r="O170" s="497"/>
      <c r="P170" s="497"/>
      <c r="Q170" s="497"/>
      <c r="R170" s="497"/>
      <c r="S170" s="497"/>
      <c r="T170" s="805" cm="1" t="str">
        <f t="array" ref="T170:T170">T169</f>
        <v>true</v>
      </c>
      <c r="U170" s="1461"/>
      <c r="V170" s="1461"/>
      <c r="W170" s="1461"/>
      <c r="X170" s="1461"/>
      <c r="Y170" s="1461"/>
      <c r="Z170" s="1461"/>
      <c r="AA170" s="497"/>
      <c r="AB170" s="154" t="str">
        <f>AB169&amp;".1"</f>
        <v>1.2.1</v>
      </c>
      <c r="AC170" s="559" t="s">
        <v>595</v>
      </c>
      <c r="AD170" s="166" t="s">
        <v>591</v>
      </c>
      <c r="AE170" s="1731"/>
      <c r="AF170" s="1731"/>
      <c r="AG170" s="1731"/>
      <c r="AH170" s="1731"/>
      <c r="AI170" s="296">
        <v>1384</v>
      </c>
      <c r="AJ170" s="296">
        <v>1384</v>
      </c>
      <c r="AK170" s="296">
        <v>1384</v>
      </c>
      <c r="AL170" s="296">
        <v>1384</v>
      </c>
      <c r="AM170" s="296">
        <v>1384</v>
      </c>
      <c r="AN170" s="1731">
        <v>1384</v>
      </c>
      <c r="AO170" s="1731">
        <v>1384</v>
      </c>
      <c r="AP170" s="1731">
        <v>1384</v>
      </c>
      <c r="AQ170" s="1731">
        <v>1384</v>
      </c>
      <c r="AR170" s="1731">
        <v>1384</v>
      </c>
      <c r="AS170" s="296">
        <v>1384</v>
      </c>
      <c r="AT170" s="296">
        <v>1384</v>
      </c>
      <c r="AU170" s="296">
        <v>1384</v>
      </c>
      <c r="AV170" s="296">
        <v>1384</v>
      </c>
      <c r="AW170" s="296">
        <v>1384</v>
      </c>
      <c r="AX170" s="1731"/>
      <c r="AY170" s="1731"/>
      <c r="AZ170" s="1731"/>
      <c r="BA170" s="1731"/>
      <c r="BB170" s="1731"/>
      <c r="BC170" s="1730"/>
      <c r="BD170" s="497"/>
      <c r="BE170" s="497"/>
      <c r="BF170" s="1195" t="s">
        <v>601</v>
      </c>
    </row>
    <row s="1619" customFormat="1" customHeight="1" ht="16.5">
      <c r="A171" s="1183"/>
      <c r="B171" s="924"/>
      <c r="C171" s="1461"/>
      <c r="D171" s="1461"/>
      <c r="E171" s="794">
        <v>17.1</v>
      </c>
      <c r="F171" s="919" cm="1" t="str">
        <f t="array" ref="F171:F171">OFFSET(G171,-1,-1)</f>
        <v>2</v>
      </c>
      <c r="G171" s="497"/>
      <c r="H171" s="497"/>
      <c r="I171" s="497"/>
      <c r="J171" s="497"/>
      <c r="K171" s="497"/>
      <c r="L171" s="497"/>
      <c r="M171" s="497"/>
      <c r="N171" s="497"/>
      <c r="O171" s="497"/>
      <c r="P171" s="497"/>
      <c r="Q171" s="497"/>
      <c r="R171" s="497"/>
      <c r="S171" s="497"/>
      <c r="T171" s="805" cm="1" t="str">
        <f t="array" ref="T171:T171">T170</f>
        <v>true</v>
      </c>
      <c r="U171" s="1461"/>
      <c r="V171" s="1461"/>
      <c r="W171" s="1461"/>
      <c r="X171" s="1461"/>
      <c r="Y171" s="1461"/>
      <c r="Z171" s="1461"/>
      <c r="AA171" s="497"/>
      <c r="AB171" s="154" t="str">
        <f>AB169&amp;".2"</f>
        <v>1.2.2</v>
      </c>
      <c r="AC171" s="559" t="s">
        <v>597</v>
      </c>
      <c r="AD171" s="166" t="s">
        <v>591</v>
      </c>
      <c r="AE171" s="1731"/>
      <c r="AF171" s="1731"/>
      <c r="AG171" s="1731"/>
      <c r="AH171" s="1731"/>
      <c r="AI171" s="296"/>
      <c r="AJ171" s="296"/>
      <c r="AK171" s="296"/>
      <c r="AL171" s="296"/>
      <c r="AM171" s="296"/>
      <c r="AN171" s="1731"/>
      <c r="AO171" s="1731"/>
      <c r="AP171" s="1731"/>
      <c r="AQ171" s="1731"/>
      <c r="AR171" s="1731"/>
      <c r="AS171" s="296"/>
      <c r="AT171" s="296"/>
      <c r="AU171" s="296"/>
      <c r="AV171" s="296"/>
      <c r="AW171" s="296"/>
      <c r="AX171" s="1731"/>
      <c r="AY171" s="1731"/>
      <c r="AZ171" s="1731"/>
      <c r="BA171" s="1731"/>
      <c r="BB171" s="1731"/>
      <c r="BC171" s="1730"/>
      <c r="BD171" s="497"/>
      <c r="BE171" s="497"/>
      <c r="BF171" s="1195" t="s">
        <v>602</v>
      </c>
    </row>
    <row s="1619" customFormat="1" customHeight="1" ht="16.5">
      <c r="A172" s="1183"/>
      <c r="B172" s="924"/>
      <c r="C172" s="1461"/>
      <c r="D172" s="1461"/>
      <c r="E172" s="794">
        <v>17.1</v>
      </c>
      <c r="F172" s="919" cm="1" t="str">
        <f t="array" ref="F172:F172">OFFSET(G172,-1,-1)</f>
        <v>2</v>
      </c>
      <c r="G172" s="497"/>
      <c r="H172" s="497"/>
      <c r="I172" s="497"/>
      <c r="J172" s="497"/>
      <c r="K172" s="497"/>
      <c r="L172" s="497"/>
      <c r="M172" s="497"/>
      <c r="N172" s="497"/>
      <c r="O172" s="497"/>
      <c r="P172" s="497"/>
      <c r="Q172" s="497"/>
      <c r="R172" s="497"/>
      <c r="S172" s="497"/>
      <c r="T172" s="805" cm="1" t="str">
        <f t="array" ref="T172:T172">T171</f>
        <v>true</v>
      </c>
      <c r="U172" s="1461"/>
      <c r="V172" s="1461"/>
      <c r="W172" s="1461"/>
      <c r="X172" s="1461"/>
      <c r="Y172" s="1461"/>
      <c r="Z172" s="1461"/>
      <c r="AA172" s="497"/>
      <c r="AB172" s="154" t="str">
        <f>AB165&amp;".3"</f>
        <v>1.3</v>
      </c>
      <c r="AC172" s="161" t="s">
        <v>603</v>
      </c>
      <c r="AD172" s="166" t="s">
        <v>591</v>
      </c>
      <c r="AE172" s="1731"/>
      <c r="AF172" s="1731"/>
      <c r="AG172" s="1731"/>
      <c r="AH172" s="1731"/>
      <c r="AI172" s="296"/>
      <c r="AJ172" s="296"/>
      <c r="AK172" s="296"/>
      <c r="AL172" s="296"/>
      <c r="AM172" s="296"/>
      <c r="AN172" s="1731"/>
      <c r="AO172" s="1731"/>
      <c r="AP172" s="1731"/>
      <c r="AQ172" s="1731"/>
      <c r="AR172" s="1731"/>
      <c r="AS172" s="296"/>
      <c r="AT172" s="296"/>
      <c r="AU172" s="296"/>
      <c r="AV172" s="296"/>
      <c r="AW172" s="296"/>
      <c r="AX172" s="1731"/>
      <c r="AY172" s="1731"/>
      <c r="AZ172" s="1731"/>
      <c r="BA172" s="1731"/>
      <c r="BB172" s="1731"/>
      <c r="BC172" s="1730"/>
      <c r="BD172" s="497"/>
      <c r="BE172" s="497"/>
      <c r="BF172" s="1195" t="s">
        <v>604</v>
      </c>
    </row>
    <row s="1619" customFormat="1" customHeight="1" ht="16.5">
      <c r="A173" s="1183"/>
      <c r="B173" s="924"/>
      <c r="C173" s="1461"/>
      <c r="D173" s="1461"/>
      <c r="E173" s="794">
        <v>17.1</v>
      </c>
      <c r="F173" s="919" cm="1" t="str">
        <f t="array" ref="F173:F173">OFFSET(G173,-1,-1)</f>
        <v>2</v>
      </c>
      <c r="G173" s="497"/>
      <c r="H173" s="497"/>
      <c r="I173" s="497"/>
      <c r="J173" s="497"/>
      <c r="K173" s="497"/>
      <c r="L173" s="497"/>
      <c r="M173" s="497"/>
      <c r="N173" s="497"/>
      <c r="O173" s="497"/>
      <c r="P173" s="497"/>
      <c r="Q173" s="497"/>
      <c r="R173" s="497"/>
      <c r="S173" s="497"/>
      <c r="T173" s="805" cm="1" t="str">
        <f t="array" ref="T173:T173">T172</f>
        <v>true</v>
      </c>
      <c r="U173" s="1461"/>
      <c r="V173" s="1461"/>
      <c r="W173" s="1461"/>
      <c r="X173" s="1461"/>
      <c r="Y173" s="1461"/>
      <c r="Z173" s="1461"/>
      <c r="AA173" s="497"/>
      <c r="AB173" s="170" t="s">
        <v>343</v>
      </c>
      <c r="AC173" s="845" t="s">
        <v>605</v>
      </c>
      <c r="AD173" s="166" t="s">
        <v>591</v>
      </c>
      <c r="AE173" s="364">
        <f>AE174+AE177+AE180</f>
        <v>0</v>
      </c>
      <c r="AF173" s="364">
        <f>AF174+AF177+AF180</f>
        <v>0</v>
      </c>
      <c r="AG173" s="364">
        <f>AG174+AG177+AG180</f>
        <v>0</v>
      </c>
      <c r="AH173" s="364">
        <f>AH174+AH177+AH180</f>
        <v>0</v>
      </c>
      <c r="AI173" s="364">
        <f>AI174+AI177+AI180</f>
        <v>14</v>
      </c>
      <c r="AJ173" s="364">
        <f>AJ174+AJ177+AJ180</f>
        <v>14</v>
      </c>
      <c r="AK173" s="364">
        <f>AK174+AK177+AK180</f>
        <v>14</v>
      </c>
      <c r="AL173" s="364">
        <f>AL174+AL177+AL180</f>
        <v>14</v>
      </c>
      <c r="AM173" s="364">
        <f>AM174+AM177+AM180</f>
        <v>14</v>
      </c>
      <c r="AN173" s="364">
        <f>AN174+AN177+AN180</f>
        <v>14</v>
      </c>
      <c r="AO173" s="364">
        <f>AO174+AO177+AO180</f>
        <v>14</v>
      </c>
      <c r="AP173" s="364">
        <f>AP174+AP177+AP180</f>
        <v>14</v>
      </c>
      <c r="AQ173" s="364">
        <f>AQ174+AQ177+AQ180</f>
        <v>14</v>
      </c>
      <c r="AR173" s="364">
        <f>AR174+AR177+AR180</f>
        <v>14</v>
      </c>
      <c r="AS173" s="364">
        <f>AS174+AS177+AS180</f>
        <v>14</v>
      </c>
      <c r="AT173" s="364">
        <f>AT174+AT177+AT180</f>
        <v>14</v>
      </c>
      <c r="AU173" s="364">
        <f>AU174+AU177+AU180</f>
        <v>14</v>
      </c>
      <c r="AV173" s="364">
        <f>AV174+AV177+AV180</f>
        <v>14</v>
      </c>
      <c r="AW173" s="364">
        <f>AW174+AW177+AW180</f>
        <v>14</v>
      </c>
      <c r="AX173" s="364">
        <f>AX174+AX177+AX180</f>
        <v>0</v>
      </c>
      <c r="AY173" s="364">
        <f>AY174+AY177+AY180</f>
        <v>0</v>
      </c>
      <c r="AZ173" s="364">
        <f>AZ174+AZ177+AZ180</f>
        <v>0</v>
      </c>
      <c r="BA173" s="364">
        <f>BA174+BA177+BA180</f>
        <v>0</v>
      </c>
      <c r="BB173" s="364">
        <f>BB174+BB177+BB180</f>
        <v>0</v>
      </c>
      <c r="BC173" s="1730"/>
      <c r="BD173" s="497"/>
      <c r="BE173" s="497"/>
      <c r="BF173" s="1195" t="s">
        <v>606</v>
      </c>
    </row>
    <row s="1619" customFormat="1" customHeight="1" ht="16.5">
      <c r="A174" s="1183"/>
      <c r="B174" s="924"/>
      <c r="C174" s="1461"/>
      <c r="D174" s="1461"/>
      <c r="E174" s="794">
        <v>17.1</v>
      </c>
      <c r="F174" s="919" cm="1" t="str">
        <f t="array" ref="F174:F174">OFFSET(G174,-1,-1)</f>
        <v>2</v>
      </c>
      <c r="G174" s="497"/>
      <c r="H174" s="497"/>
      <c r="I174" s="497"/>
      <c r="J174" s="497"/>
      <c r="K174" s="497"/>
      <c r="L174" s="497"/>
      <c r="M174" s="497"/>
      <c r="N174" s="497"/>
      <c r="O174" s="497"/>
      <c r="P174" s="497"/>
      <c r="Q174" s="497"/>
      <c r="R174" s="497"/>
      <c r="S174" s="497"/>
      <c r="T174" s="805" cm="1" t="str">
        <f t="array" ref="T174:T174">T173</f>
        <v>true</v>
      </c>
      <c r="U174" s="1461"/>
      <c r="V174" s="1461"/>
      <c r="W174" s="1461"/>
      <c r="X174" s="1461"/>
      <c r="Y174" s="1461"/>
      <c r="Z174" s="1461"/>
      <c r="AA174" s="497"/>
      <c r="AB174" s="154" t="str">
        <f>AB173&amp;".1"</f>
        <v>2.1</v>
      </c>
      <c r="AC174" s="161" t="s">
        <v>593</v>
      </c>
      <c r="AD174" s="166" t="s">
        <v>591</v>
      </c>
      <c r="AE174" s="364">
        <f>AE175+AE176</f>
        <v>0</v>
      </c>
      <c r="AF174" s="364">
        <f>AF175+AF176</f>
        <v>0</v>
      </c>
      <c r="AG174" s="364">
        <f>AG175+AG176</f>
        <v>0</v>
      </c>
      <c r="AH174" s="364">
        <f>AH175+AH176</f>
        <v>0</v>
      </c>
      <c r="AI174" s="364">
        <f>AI175+AI176</f>
        <v>0</v>
      </c>
      <c r="AJ174" s="364">
        <f>AJ175+AJ176</f>
        <v>0</v>
      </c>
      <c r="AK174" s="364">
        <f>AK175+AK176</f>
        <v>0</v>
      </c>
      <c r="AL174" s="364">
        <f>AL175+AL176</f>
        <v>0</v>
      </c>
      <c r="AM174" s="364">
        <f>AM175+AM176</f>
        <v>0</v>
      </c>
      <c r="AN174" s="364">
        <f>AN175+AN176</f>
        <v>0</v>
      </c>
      <c r="AO174" s="364">
        <f>AO175+AO176</f>
        <v>0</v>
      </c>
      <c r="AP174" s="364">
        <f>AP175+AP176</f>
        <v>0</v>
      </c>
      <c r="AQ174" s="364">
        <f>AQ175+AQ176</f>
        <v>0</v>
      </c>
      <c r="AR174" s="364">
        <f>AR175+AR176</f>
        <v>0</v>
      </c>
      <c r="AS174" s="364">
        <f>AS175+AS176</f>
        <v>0</v>
      </c>
      <c r="AT174" s="364">
        <f>AT175+AT176</f>
        <v>0</v>
      </c>
      <c r="AU174" s="364">
        <f>AU175+AU176</f>
        <v>0</v>
      </c>
      <c r="AV174" s="364">
        <f>AV175+AV176</f>
        <v>0</v>
      </c>
      <c r="AW174" s="364">
        <f>AW175+AW176</f>
        <v>0</v>
      </c>
      <c r="AX174" s="364">
        <f>AX175+AX176</f>
        <v>0</v>
      </c>
      <c r="AY174" s="364">
        <f>AY175+AY176</f>
        <v>0</v>
      </c>
      <c r="AZ174" s="364">
        <f>AZ175+AZ176</f>
        <v>0</v>
      </c>
      <c r="BA174" s="364">
        <f>BA175+BA176</f>
        <v>0</v>
      </c>
      <c r="BB174" s="364">
        <f>BB175+BB176</f>
        <v>0</v>
      </c>
      <c r="BC174" s="1730"/>
      <c r="BD174" s="497"/>
      <c r="BE174" s="497"/>
      <c r="BF174" s="1195" t="s">
        <v>607</v>
      </c>
    </row>
    <row s="1619" customFormat="1" customHeight="1" ht="16.5">
      <c r="A175" s="1183"/>
      <c r="B175" s="924"/>
      <c r="C175" s="1461"/>
      <c r="D175" s="1461"/>
      <c r="E175" s="794">
        <v>17.1</v>
      </c>
      <c r="F175" s="919" cm="1" t="str">
        <f t="array" ref="F175:F175">OFFSET(G175,-1,-1)</f>
        <v>2</v>
      </c>
      <c r="G175" s="497"/>
      <c r="H175" s="497"/>
      <c r="I175" s="497"/>
      <c r="J175" s="497"/>
      <c r="K175" s="497"/>
      <c r="L175" s="497"/>
      <c r="M175" s="497"/>
      <c r="N175" s="497"/>
      <c r="O175" s="497"/>
      <c r="P175" s="497"/>
      <c r="Q175" s="497"/>
      <c r="R175" s="497"/>
      <c r="S175" s="497"/>
      <c r="T175" s="805" cm="1" t="str">
        <f t="array" ref="T175:T175">T174</f>
        <v>true</v>
      </c>
      <c r="U175" s="1461"/>
      <c r="V175" s="1461"/>
      <c r="W175" s="1461"/>
      <c r="X175" s="1461"/>
      <c r="Y175" s="1461"/>
      <c r="Z175" s="1461"/>
      <c r="AA175" s="497"/>
      <c r="AB175" s="154" t="str">
        <f>AB174&amp;".1"</f>
        <v>2.1.1</v>
      </c>
      <c r="AC175" s="559" t="s">
        <v>595</v>
      </c>
      <c r="AD175" s="166" t="s">
        <v>591</v>
      </c>
      <c r="AE175" s="1731"/>
      <c r="AF175" s="1731"/>
      <c r="AG175" s="1731"/>
      <c r="AH175" s="1731"/>
      <c r="AI175" s="296"/>
      <c r="AJ175" s="296"/>
      <c r="AK175" s="296"/>
      <c r="AL175" s="296"/>
      <c r="AM175" s="296"/>
      <c r="AN175" s="1731"/>
      <c r="AO175" s="1731"/>
      <c r="AP175" s="1731"/>
      <c r="AQ175" s="1731"/>
      <c r="AR175" s="1731"/>
      <c r="AS175" s="296"/>
      <c r="AT175" s="296"/>
      <c r="AU175" s="296"/>
      <c r="AV175" s="296"/>
      <c r="AW175" s="296"/>
      <c r="AX175" s="1731"/>
      <c r="AY175" s="1731"/>
      <c r="AZ175" s="1731"/>
      <c r="BA175" s="1731"/>
      <c r="BB175" s="1731"/>
      <c r="BC175" s="1730"/>
      <c r="BD175" s="497"/>
      <c r="BE175" s="497"/>
      <c r="BF175" s="1195" t="s">
        <v>608</v>
      </c>
    </row>
    <row s="1619" customFormat="1" customHeight="1" ht="16.5">
      <c r="A176" s="1183"/>
      <c r="B176" s="924"/>
      <c r="C176" s="1461"/>
      <c r="D176" s="1461"/>
      <c r="E176" s="794">
        <v>17.1</v>
      </c>
      <c r="F176" s="919" cm="1" t="str">
        <f t="array" ref="F176:F176">OFFSET(G176,-1,-1)</f>
        <v>2</v>
      </c>
      <c r="G176" s="497"/>
      <c r="H176" s="497"/>
      <c r="I176" s="497"/>
      <c r="J176" s="497"/>
      <c r="K176" s="497"/>
      <c r="L176" s="497"/>
      <c r="M176" s="497"/>
      <c r="N176" s="497"/>
      <c r="O176" s="497"/>
      <c r="P176" s="497"/>
      <c r="Q176" s="497"/>
      <c r="R176" s="497"/>
      <c r="S176" s="497"/>
      <c r="T176" s="805" cm="1" t="str">
        <f t="array" ref="T176:T176">T175</f>
        <v>true</v>
      </c>
      <c r="U176" s="1461"/>
      <c r="V176" s="1461"/>
      <c r="W176" s="1461"/>
      <c r="X176" s="1461"/>
      <c r="Y176" s="1461"/>
      <c r="Z176" s="1461"/>
      <c r="AA176" s="497"/>
      <c r="AB176" s="154" t="str">
        <f>AB174&amp;".2"</f>
        <v>2.1.2</v>
      </c>
      <c r="AC176" s="559" t="s">
        <v>597</v>
      </c>
      <c r="AD176" s="166" t="s">
        <v>591</v>
      </c>
      <c r="AE176" s="1731"/>
      <c r="AF176" s="1731"/>
      <c r="AG176" s="1731"/>
      <c r="AH176" s="1731"/>
      <c r="AI176" s="296"/>
      <c r="AJ176" s="296"/>
      <c r="AK176" s="296"/>
      <c r="AL176" s="296"/>
      <c r="AM176" s="296"/>
      <c r="AN176" s="1731"/>
      <c r="AO176" s="1731"/>
      <c r="AP176" s="1731"/>
      <c r="AQ176" s="1731"/>
      <c r="AR176" s="1731"/>
      <c r="AS176" s="296"/>
      <c r="AT176" s="296"/>
      <c r="AU176" s="296"/>
      <c r="AV176" s="296"/>
      <c r="AW176" s="296"/>
      <c r="AX176" s="1731"/>
      <c r="AY176" s="1731"/>
      <c r="AZ176" s="1731"/>
      <c r="BA176" s="1731"/>
      <c r="BB176" s="1731"/>
      <c r="BC176" s="1730"/>
      <c r="BD176" s="497"/>
      <c r="BE176" s="497"/>
      <c r="BF176" s="1195" t="s">
        <v>609</v>
      </c>
    </row>
    <row s="1619" customFormat="1" customHeight="1" ht="16.5">
      <c r="A177" s="1183"/>
      <c r="B177" s="924"/>
      <c r="C177" s="1461"/>
      <c r="D177" s="1461"/>
      <c r="E177" s="794">
        <v>17.1</v>
      </c>
      <c r="F177" s="919" cm="1" t="str">
        <f t="array" ref="F177:F177">OFFSET(G177,-1,-1)</f>
        <v>2</v>
      </c>
      <c r="G177" s="497"/>
      <c r="H177" s="497"/>
      <c r="I177" s="497"/>
      <c r="J177" s="497"/>
      <c r="K177" s="497"/>
      <c r="L177" s="497"/>
      <c r="M177" s="497"/>
      <c r="N177" s="497"/>
      <c r="O177" s="497"/>
      <c r="P177" s="497"/>
      <c r="Q177" s="497"/>
      <c r="R177" s="497"/>
      <c r="S177" s="497"/>
      <c r="T177" s="805" cm="1" t="str">
        <f t="array" ref="T177:T177">T176</f>
        <v>true</v>
      </c>
      <c r="U177" s="1461"/>
      <c r="V177" s="1461"/>
      <c r="W177" s="1461"/>
      <c r="X177" s="1461"/>
      <c r="Y177" s="1461"/>
      <c r="Z177" s="1461"/>
      <c r="AA177" s="497"/>
      <c r="AB177" s="154" t="str">
        <f>AB174&amp;".2"</f>
        <v>2.1.2</v>
      </c>
      <c r="AC177" s="161" t="s">
        <v>599</v>
      </c>
      <c r="AD177" s="166" t="s">
        <v>591</v>
      </c>
      <c r="AE177" s="364">
        <f>AE178+AE179</f>
        <v>0</v>
      </c>
      <c r="AF177" s="364">
        <f>AF178+AF179</f>
        <v>0</v>
      </c>
      <c r="AG177" s="364">
        <f>AG178+AG179</f>
        <v>0</v>
      </c>
      <c r="AH177" s="364">
        <f>AH178+AH179</f>
        <v>0</v>
      </c>
      <c r="AI177" s="364">
        <f>AI178+AI179</f>
        <v>14</v>
      </c>
      <c r="AJ177" s="364">
        <f>AJ178+AJ179</f>
        <v>14</v>
      </c>
      <c r="AK177" s="364">
        <f>AK178+AK179</f>
        <v>14</v>
      </c>
      <c r="AL177" s="364">
        <f>AL178+AL179</f>
        <v>14</v>
      </c>
      <c r="AM177" s="364">
        <f>AM178+AM179</f>
        <v>14</v>
      </c>
      <c r="AN177" s="364">
        <f>AN178+AN179</f>
        <v>14</v>
      </c>
      <c r="AO177" s="364">
        <f>AO178+AO179</f>
        <v>14</v>
      </c>
      <c r="AP177" s="364">
        <f>AP178+AP179</f>
        <v>14</v>
      </c>
      <c r="AQ177" s="364">
        <f>AQ178+AQ179</f>
        <v>14</v>
      </c>
      <c r="AR177" s="364">
        <f>AR178+AR179</f>
        <v>14</v>
      </c>
      <c r="AS177" s="364">
        <f>AS178+AS179</f>
        <v>14</v>
      </c>
      <c r="AT177" s="364">
        <f>AT178+AT179</f>
        <v>14</v>
      </c>
      <c r="AU177" s="364">
        <f>AU178+AU179</f>
        <v>14</v>
      </c>
      <c r="AV177" s="364">
        <f>AV178+AV179</f>
        <v>14</v>
      </c>
      <c r="AW177" s="364">
        <f>AW178+AW179</f>
        <v>14</v>
      </c>
      <c r="AX177" s="364">
        <f>AX178+AX179</f>
        <v>0</v>
      </c>
      <c r="AY177" s="364">
        <f>AY178+AY179</f>
        <v>0</v>
      </c>
      <c r="AZ177" s="364">
        <f>AZ178+AZ179</f>
        <v>0</v>
      </c>
      <c r="BA177" s="364">
        <f>BA178+BA179</f>
        <v>0</v>
      </c>
      <c r="BB177" s="364">
        <f>BB178+BB179</f>
        <v>0</v>
      </c>
      <c r="BC177" s="1730"/>
      <c r="BD177" s="497"/>
      <c r="BE177" s="497"/>
      <c r="BF177" s="1195" t="s">
        <v>610</v>
      </c>
    </row>
    <row s="1619" customFormat="1" customHeight="1" ht="16.5">
      <c r="A178" s="1183"/>
      <c r="B178" s="924"/>
      <c r="C178" s="1461"/>
      <c r="D178" s="1461"/>
      <c r="E178" s="794">
        <v>17.1</v>
      </c>
      <c r="F178" s="919" cm="1" t="str">
        <f t="array" ref="F178:F178">OFFSET(G178,-1,-1)</f>
        <v>2</v>
      </c>
      <c r="G178" s="497"/>
      <c r="H178" s="497"/>
      <c r="I178" s="497"/>
      <c r="J178" s="497"/>
      <c r="K178" s="497"/>
      <c r="L178" s="497"/>
      <c r="M178" s="497"/>
      <c r="N178" s="497"/>
      <c r="O178" s="497"/>
      <c r="P178" s="497"/>
      <c r="Q178" s="497"/>
      <c r="R178" s="497"/>
      <c r="S178" s="497"/>
      <c r="T178" s="805" cm="1" t="str">
        <f t="array" ref="T178:T178">T177</f>
        <v>true</v>
      </c>
      <c r="U178" s="1461"/>
      <c r="V178" s="1461"/>
      <c r="W178" s="1461"/>
      <c r="X178" s="1461"/>
      <c r="Y178" s="1461"/>
      <c r="Z178" s="1461"/>
      <c r="AA178" s="497"/>
      <c r="AB178" s="154" t="str">
        <f>AB177&amp;".1"</f>
        <v>2.1.2.1</v>
      </c>
      <c r="AC178" s="559" t="s">
        <v>595</v>
      </c>
      <c r="AD178" s="166" t="s">
        <v>591</v>
      </c>
      <c r="AE178" s="1731"/>
      <c r="AF178" s="1731"/>
      <c r="AG178" s="1731"/>
      <c r="AH178" s="1731"/>
      <c r="AI178" s="296">
        <v>14</v>
      </c>
      <c r="AJ178" s="296">
        <v>14</v>
      </c>
      <c r="AK178" s="296">
        <v>14</v>
      </c>
      <c r="AL178" s="296">
        <v>14</v>
      </c>
      <c r="AM178" s="296">
        <v>14</v>
      </c>
      <c r="AN178" s="1731">
        <v>14</v>
      </c>
      <c r="AO178" s="1731">
        <v>14</v>
      </c>
      <c r="AP178" s="1731">
        <v>14</v>
      </c>
      <c r="AQ178" s="1731">
        <v>14</v>
      </c>
      <c r="AR178" s="1731">
        <v>14</v>
      </c>
      <c r="AS178" s="296">
        <v>14</v>
      </c>
      <c r="AT178" s="296">
        <v>14</v>
      </c>
      <c r="AU178" s="296">
        <v>14</v>
      </c>
      <c r="AV178" s="296">
        <v>14</v>
      </c>
      <c r="AW178" s="296">
        <v>14</v>
      </c>
      <c r="AX178" s="1731"/>
      <c r="AY178" s="1731"/>
      <c r="AZ178" s="1731"/>
      <c r="BA178" s="1731"/>
      <c r="BB178" s="1731"/>
      <c r="BC178" s="1730"/>
      <c r="BD178" s="497"/>
      <c r="BE178" s="497"/>
      <c r="BF178" s="1195" t="s">
        <v>611</v>
      </c>
    </row>
    <row s="1619" customFormat="1" customHeight="1" ht="16.5">
      <c r="A179" s="1183"/>
      <c r="B179" s="924"/>
      <c r="C179" s="1461"/>
      <c r="D179" s="1461"/>
      <c r="E179" s="794">
        <v>17.1</v>
      </c>
      <c r="F179" s="919" cm="1" t="str">
        <f t="array" ref="F179:F179">OFFSET(G179,-1,-1)</f>
        <v>2</v>
      </c>
      <c r="G179" s="497"/>
      <c r="H179" s="497"/>
      <c r="I179" s="497"/>
      <c r="J179" s="497"/>
      <c r="K179" s="497"/>
      <c r="L179" s="497"/>
      <c r="M179" s="497"/>
      <c r="N179" s="497"/>
      <c r="O179" s="497"/>
      <c r="P179" s="497"/>
      <c r="Q179" s="497"/>
      <c r="R179" s="497"/>
      <c r="S179" s="497"/>
      <c r="T179" s="805" cm="1" t="str">
        <f t="array" ref="T179:T179">T178</f>
        <v>true</v>
      </c>
      <c r="U179" s="1461"/>
      <c r="V179" s="1461"/>
      <c r="W179" s="1461"/>
      <c r="X179" s="1461"/>
      <c r="Y179" s="1461"/>
      <c r="Z179" s="1461"/>
      <c r="AA179" s="497"/>
      <c r="AB179" s="154" t="str">
        <f>AB177&amp;".2"</f>
        <v>2.1.2.2</v>
      </c>
      <c r="AC179" s="559" t="s">
        <v>597</v>
      </c>
      <c r="AD179" s="848" t="s">
        <v>591</v>
      </c>
      <c r="AE179" s="1733"/>
      <c r="AF179" s="1731"/>
      <c r="AG179" s="1733"/>
      <c r="AH179" s="1731"/>
      <c r="AI179" s="592"/>
      <c r="AJ179" s="296"/>
      <c r="AK179" s="592"/>
      <c r="AL179" s="296"/>
      <c r="AM179" s="592"/>
      <c r="AN179" s="1731"/>
      <c r="AO179" s="1733"/>
      <c r="AP179" s="1731"/>
      <c r="AQ179" s="1733"/>
      <c r="AR179" s="1731"/>
      <c r="AS179" s="592"/>
      <c r="AT179" s="296"/>
      <c r="AU179" s="592"/>
      <c r="AV179" s="296"/>
      <c r="AW179" s="592"/>
      <c r="AX179" s="1731"/>
      <c r="AY179" s="1733"/>
      <c r="AZ179" s="1731"/>
      <c r="BA179" s="1733"/>
      <c r="BB179" s="1731"/>
      <c r="BC179" s="1730"/>
      <c r="BD179" s="497"/>
      <c r="BE179" s="497"/>
      <c r="BF179" s="1195" t="s">
        <v>612</v>
      </c>
    </row>
    <row s="1619" customFormat="1" customHeight="1" ht="16.5">
      <c r="A180" s="1183"/>
      <c r="B180" s="924"/>
      <c r="C180" s="1461"/>
      <c r="D180" s="1461"/>
      <c r="E180" s="794">
        <v>17.1</v>
      </c>
      <c r="F180" s="919" cm="1" t="str">
        <f t="array" ref="F180:F180">OFFSET(G180,-1,-1)</f>
        <v>2</v>
      </c>
      <c r="G180" s="497"/>
      <c r="H180" s="497"/>
      <c r="I180" s="497"/>
      <c r="J180" s="497"/>
      <c r="K180" s="497"/>
      <c r="L180" s="497"/>
      <c r="M180" s="497"/>
      <c r="N180" s="497"/>
      <c r="O180" s="497"/>
      <c r="P180" s="497"/>
      <c r="Q180" s="497"/>
      <c r="R180" s="497"/>
      <c r="S180" s="497"/>
      <c r="T180" s="805" cm="1" t="str">
        <f t="array" ref="T180:T180">T179</f>
        <v>true</v>
      </c>
      <c r="U180" s="1461"/>
      <c r="V180" s="1461"/>
      <c r="W180" s="1461"/>
      <c r="X180" s="1461"/>
      <c r="Y180" s="1461"/>
      <c r="Z180" s="1461"/>
      <c r="AA180" s="497"/>
      <c r="AB180" s="154" t="str">
        <f>AB173&amp;".3"</f>
        <v>2.3</v>
      </c>
      <c r="AC180" s="721" t="s">
        <v>603</v>
      </c>
      <c r="AD180" s="166" t="s">
        <v>591</v>
      </c>
      <c r="AE180" s="1731"/>
      <c r="AF180" s="1735"/>
      <c r="AG180" s="1731"/>
      <c r="AH180" s="1735"/>
      <c r="AI180" s="296"/>
      <c r="AJ180" s="851"/>
      <c r="AK180" s="296"/>
      <c r="AL180" s="851"/>
      <c r="AM180" s="296"/>
      <c r="AN180" s="1735"/>
      <c r="AO180" s="1731"/>
      <c r="AP180" s="1735"/>
      <c r="AQ180" s="1731"/>
      <c r="AR180" s="1735"/>
      <c r="AS180" s="296"/>
      <c r="AT180" s="851"/>
      <c r="AU180" s="296"/>
      <c r="AV180" s="851"/>
      <c r="AW180" s="296"/>
      <c r="AX180" s="1735"/>
      <c r="AY180" s="1731"/>
      <c r="AZ180" s="1735"/>
      <c r="BA180" s="1731"/>
      <c r="BB180" s="1735"/>
      <c r="BC180" s="1730"/>
      <c r="BD180" s="497"/>
      <c r="BE180" s="497"/>
      <c r="BF180" s="1195" t="s">
        <v>613</v>
      </c>
    </row>
    <row s="1619" customFormat="1" customHeight="1" ht="29.25">
      <c r="A181" s="1183"/>
      <c r="B181" s="924"/>
      <c r="C181" s="1461"/>
      <c r="D181" s="1461"/>
      <c r="E181" s="794">
        <v>30</v>
      </c>
      <c r="F181" s="919" cm="1" t="str">
        <f t="array" ref="F181:F181">OFFSET(G181,-1,-1)</f>
        <v>2</v>
      </c>
      <c r="G181" s="497"/>
      <c r="H181" s="497"/>
      <c r="I181" s="497"/>
      <c r="J181" s="497"/>
      <c r="K181" s="497"/>
      <c r="L181" s="497"/>
      <c r="M181" s="497"/>
      <c r="N181" s="497"/>
      <c r="O181" s="497"/>
      <c r="P181" s="497"/>
      <c r="Q181" s="497"/>
      <c r="R181" s="497"/>
      <c r="S181" s="497"/>
      <c r="T181" s="805" cm="1" t="str">
        <f t="array" ref="T181:T181">T180</f>
        <v>true</v>
      </c>
      <c r="U181" s="1461"/>
      <c r="V181" s="1461"/>
      <c r="W181" s="1461"/>
      <c r="X181" s="1461"/>
      <c r="Y181" s="1461"/>
      <c r="Z181" s="1461"/>
      <c r="AA181" s="497"/>
      <c r="AB181" s="322" t="s">
        <v>614</v>
      </c>
      <c r="AC181" s="160" t="s">
        <v>615</v>
      </c>
      <c r="AD181" s="166" t="s">
        <v>591</v>
      </c>
      <c r="AE181" s="364">
        <f>AE182+AE185+AE188</f>
        <v>0</v>
      </c>
      <c r="AF181" s="852">
        <f>AF182+AF185+AF188</f>
        <v>0</v>
      </c>
      <c r="AG181" s="364">
        <f>AG182+AG185+AG188</f>
        <v>0</v>
      </c>
      <c r="AH181" s="364">
        <f>AH182+AH185+AH188</f>
        <v>0</v>
      </c>
      <c r="AI181" s="364">
        <f>AI182+AI185+AI188</f>
        <v>1370</v>
      </c>
      <c r="AJ181" s="364">
        <f>AJ182+AJ185+AJ188</f>
        <v>1370</v>
      </c>
      <c r="AK181" s="364">
        <f>AK182+AK185+AK188</f>
        <v>1370</v>
      </c>
      <c r="AL181" s="364">
        <f>AL182+AL185+AL188</f>
        <v>1370</v>
      </c>
      <c r="AM181" s="364">
        <f>AM182+AM185+AM188</f>
        <v>1370</v>
      </c>
      <c r="AN181" s="364">
        <f>AN182+AN185+AN188</f>
        <v>1370</v>
      </c>
      <c r="AO181" s="364">
        <f>AO182+AO185+AO188</f>
        <v>1370</v>
      </c>
      <c r="AP181" s="364">
        <f>AP182+AP185+AP188</f>
        <v>1370</v>
      </c>
      <c r="AQ181" s="364">
        <f>AQ182+AQ185+AQ188</f>
        <v>1370</v>
      </c>
      <c r="AR181" s="364">
        <f>AR182+AR185+AR188</f>
        <v>1370</v>
      </c>
      <c r="AS181" s="364">
        <f>AS182+AS185+AS188</f>
        <v>1370</v>
      </c>
      <c r="AT181" s="364">
        <f>AT182+AT185+AT188</f>
        <v>1370</v>
      </c>
      <c r="AU181" s="364">
        <f>AU182+AU185+AU188</f>
        <v>1370</v>
      </c>
      <c r="AV181" s="364">
        <f>AV182+AV185+AV188</f>
        <v>1370</v>
      </c>
      <c r="AW181" s="364">
        <f>AW182+AW185+AW188</f>
        <v>1370</v>
      </c>
      <c r="AX181" s="364">
        <f>AX182+AX185+AX188</f>
        <v>0</v>
      </c>
      <c r="AY181" s="364">
        <f>AY182+AY185+AY188</f>
        <v>0</v>
      </c>
      <c r="AZ181" s="364">
        <f>AZ182+AZ185+AZ188</f>
        <v>0</v>
      </c>
      <c r="BA181" s="364">
        <f>BA182+BA185+BA188</f>
        <v>0</v>
      </c>
      <c r="BB181" s="364">
        <f>BB182+BB185+BB188</f>
        <v>0</v>
      </c>
      <c r="BC181" s="1730"/>
      <c r="BD181" s="497"/>
      <c r="BE181" s="497"/>
      <c r="BF181" s="1195" t="s">
        <v>616</v>
      </c>
    </row>
    <row s="1619" customFormat="1" customHeight="1" ht="16.5">
      <c r="A182" s="1183"/>
      <c r="B182" s="924"/>
      <c r="C182" s="1461"/>
      <c r="D182" s="1461"/>
      <c r="E182" s="794">
        <v>17.1</v>
      </c>
      <c r="F182" s="919" cm="1" t="str">
        <f t="array" ref="F182:F182">OFFSET(G182,-1,-1)</f>
        <v>2</v>
      </c>
      <c r="G182" s="497"/>
      <c r="H182" s="497"/>
      <c r="I182" s="497"/>
      <c r="J182" s="497"/>
      <c r="K182" s="497"/>
      <c r="L182" s="497"/>
      <c r="M182" s="497"/>
      <c r="N182" s="497"/>
      <c r="O182" s="497"/>
      <c r="P182" s="497"/>
      <c r="Q182" s="497"/>
      <c r="R182" s="497"/>
      <c r="S182" s="497"/>
      <c r="T182" s="805" cm="1" t="str">
        <f t="array" ref="T182:T182">T181</f>
        <v>true</v>
      </c>
      <c r="U182" s="1461"/>
      <c r="V182" s="1461"/>
      <c r="W182" s="1461"/>
      <c r="X182" s="1461"/>
      <c r="Y182" s="1461"/>
      <c r="Z182" s="1461"/>
      <c r="AA182" s="497"/>
      <c r="AB182" s="844" t="str">
        <f>AB181&amp;".1"</f>
        <v>3.1</v>
      </c>
      <c r="AC182" s="721" t="s">
        <v>593</v>
      </c>
      <c r="AD182" s="166" t="s">
        <v>591</v>
      </c>
      <c r="AE182" s="364">
        <f>AE183+AE184</f>
        <v>0</v>
      </c>
      <c r="AF182" s="554">
        <f>AF183+AF184</f>
        <v>0</v>
      </c>
      <c r="AG182" s="554">
        <f>AG183+AG184</f>
        <v>0</v>
      </c>
      <c r="AH182" s="554">
        <f>AH183+AH184</f>
        <v>0</v>
      </c>
      <c r="AI182" s="554">
        <f>AI183+AI184</f>
        <v>0</v>
      </c>
      <c r="AJ182" s="554">
        <f>AJ183+AJ184</f>
        <v>0</v>
      </c>
      <c r="AK182" s="554">
        <f>AK183+AK184</f>
        <v>0</v>
      </c>
      <c r="AL182" s="554">
        <f>AL183+AL184</f>
        <v>0</v>
      </c>
      <c r="AM182" s="554">
        <f>AM183+AM184</f>
        <v>0</v>
      </c>
      <c r="AN182" s="554">
        <f>AN183+AN184</f>
        <v>0</v>
      </c>
      <c r="AO182" s="554">
        <f>AO183+AO184</f>
        <v>0</v>
      </c>
      <c r="AP182" s="554">
        <f>AP183+AP184</f>
        <v>0</v>
      </c>
      <c r="AQ182" s="554">
        <f>AQ183+AQ184</f>
        <v>0</v>
      </c>
      <c r="AR182" s="554">
        <f>AR183+AR184</f>
        <v>0</v>
      </c>
      <c r="AS182" s="554">
        <f>AS183+AS184</f>
        <v>0</v>
      </c>
      <c r="AT182" s="554">
        <f>AT183+AT184</f>
        <v>0</v>
      </c>
      <c r="AU182" s="554">
        <f>AU183+AU184</f>
        <v>0</v>
      </c>
      <c r="AV182" s="554">
        <f>AV183+AV184</f>
        <v>0</v>
      </c>
      <c r="AW182" s="554">
        <f>AW183+AW184</f>
        <v>0</v>
      </c>
      <c r="AX182" s="554">
        <f>AX183+AX184</f>
        <v>0</v>
      </c>
      <c r="AY182" s="554">
        <f>AY183+AY184</f>
        <v>0</v>
      </c>
      <c r="AZ182" s="554">
        <f>AZ183+AZ184</f>
        <v>0</v>
      </c>
      <c r="BA182" s="554">
        <f>BA183+BA184</f>
        <v>0</v>
      </c>
      <c r="BB182" s="554">
        <f>BB183+BB184</f>
        <v>0</v>
      </c>
      <c r="BC182" s="1730"/>
      <c r="BD182" s="497"/>
      <c r="BE182" s="497"/>
      <c r="BF182" s="1195" t="s">
        <v>617</v>
      </c>
    </row>
    <row s="1619" customFormat="1" customHeight="1" ht="16.5">
      <c r="A183" s="1183"/>
      <c r="B183" s="924"/>
      <c r="C183" s="1461"/>
      <c r="D183" s="1461"/>
      <c r="E183" s="794">
        <v>17.1</v>
      </c>
      <c r="F183" s="919" cm="1" t="str">
        <f t="array" ref="F183:F183">OFFSET(G183,-1,-1)</f>
        <v>2</v>
      </c>
      <c r="G183" s="497"/>
      <c r="H183" s="497"/>
      <c r="I183" s="497"/>
      <c r="J183" s="497"/>
      <c r="K183" s="497"/>
      <c r="L183" s="497"/>
      <c r="M183" s="497"/>
      <c r="N183" s="497"/>
      <c r="O183" s="497"/>
      <c r="P183" s="497"/>
      <c r="Q183" s="497"/>
      <c r="R183" s="497"/>
      <c r="S183" s="497"/>
      <c r="T183" s="805" cm="1" t="str">
        <f t="array" ref="T183:T183">T182</f>
        <v>true</v>
      </c>
      <c r="U183" s="1461"/>
      <c r="V183" s="1461"/>
      <c r="W183" s="1461"/>
      <c r="X183" s="1461"/>
      <c r="Y183" s="1461"/>
      <c r="Z183" s="1461"/>
      <c r="AA183" s="497"/>
      <c r="AB183" s="844" t="str">
        <f>AB182&amp;".1"</f>
        <v>3.1.1</v>
      </c>
      <c r="AC183" s="719" t="s">
        <v>595</v>
      </c>
      <c r="AD183" s="166" t="s">
        <v>591</v>
      </c>
      <c r="AE183" s="1731">
        <f>AE167-AE175</f>
        <v>0</v>
      </c>
      <c r="AF183" s="1731">
        <f>AF167-AF175</f>
        <v>0</v>
      </c>
      <c r="AG183" s="1731">
        <f>AG167-AG175</f>
        <v>0</v>
      </c>
      <c r="AH183" s="1731">
        <f>AH167-AH175</f>
        <v>0</v>
      </c>
      <c r="AI183" s="296">
        <f>AI167-AI175</f>
        <v>0</v>
      </c>
      <c r="AJ183" s="296">
        <f>AJ167-AJ175</f>
        <v>0</v>
      </c>
      <c r="AK183" s="296">
        <f>AK167-AK175</f>
        <v>0</v>
      </c>
      <c r="AL183" s="296">
        <f>AL167-AL175</f>
        <v>0</v>
      </c>
      <c r="AM183" s="296">
        <f>AM167-AM175</f>
        <v>0</v>
      </c>
      <c r="AN183" s="1731">
        <f>AN167-AN175</f>
        <v>0</v>
      </c>
      <c r="AO183" s="1731">
        <f>AO167-AO175</f>
        <v>0</v>
      </c>
      <c r="AP183" s="1731">
        <f>AP167-AP175</f>
        <v>0</v>
      </c>
      <c r="AQ183" s="1731">
        <f>AQ167-AQ175</f>
        <v>0</v>
      </c>
      <c r="AR183" s="1731">
        <f>AR167-AR175</f>
        <v>0</v>
      </c>
      <c r="AS183" s="296">
        <f>AS167-AS175</f>
        <v>0</v>
      </c>
      <c r="AT183" s="296">
        <f>AT167-AT175</f>
        <v>0</v>
      </c>
      <c r="AU183" s="296">
        <f>AU167-AU175</f>
        <v>0</v>
      </c>
      <c r="AV183" s="296">
        <f>AV167-AV175</f>
        <v>0</v>
      </c>
      <c r="AW183" s="296">
        <f>AW167-AW175</f>
        <v>0</v>
      </c>
      <c r="AX183" s="1731">
        <f>AX167-AX175</f>
        <v>0</v>
      </c>
      <c r="AY183" s="1731">
        <f>AY167-AY175</f>
        <v>0</v>
      </c>
      <c r="AZ183" s="1731">
        <f>AZ167-AZ175</f>
        <v>0</v>
      </c>
      <c r="BA183" s="1731">
        <f>BA167-BA175</f>
        <v>0</v>
      </c>
      <c r="BB183" s="1731">
        <f>BB167-BB175</f>
        <v>0</v>
      </c>
      <c r="BC183" s="1730"/>
      <c r="BD183" s="497"/>
      <c r="BE183" s="497"/>
      <c r="BF183" s="1195" t="s">
        <v>618</v>
      </c>
    </row>
    <row s="1619" customFormat="1" customHeight="1" ht="16.5">
      <c r="A184" s="1183"/>
      <c r="B184" s="924"/>
      <c r="C184" s="1461"/>
      <c r="D184" s="1461"/>
      <c r="E184" s="794">
        <v>17.1</v>
      </c>
      <c r="F184" s="919" cm="1" t="str">
        <f t="array" ref="F184:F184">OFFSET(G184,-1,-1)</f>
        <v>2</v>
      </c>
      <c r="G184" s="497"/>
      <c r="H184" s="497"/>
      <c r="I184" s="497"/>
      <c r="J184" s="497"/>
      <c r="K184" s="497"/>
      <c r="L184" s="497"/>
      <c r="M184" s="497"/>
      <c r="N184" s="497"/>
      <c r="O184" s="497"/>
      <c r="P184" s="497"/>
      <c r="Q184" s="497"/>
      <c r="R184" s="497"/>
      <c r="S184" s="497"/>
      <c r="T184" s="805" cm="1" t="str">
        <f t="array" ref="T184:T184">T183</f>
        <v>true</v>
      </c>
      <c r="U184" s="1461"/>
      <c r="V184" s="1461"/>
      <c r="W184" s="1461"/>
      <c r="X184" s="1461"/>
      <c r="Y184" s="1461"/>
      <c r="Z184" s="1461"/>
      <c r="AA184" s="497"/>
      <c r="AB184" s="844" t="str">
        <f>AB182&amp;".2"</f>
        <v>3.1.2</v>
      </c>
      <c r="AC184" s="719" t="s">
        <v>597</v>
      </c>
      <c r="AD184" s="166" t="s">
        <v>591</v>
      </c>
      <c r="AE184" s="1731">
        <f>AE168-AE176</f>
        <v>0</v>
      </c>
      <c r="AF184" s="1731">
        <f>AF168-AF176</f>
        <v>0</v>
      </c>
      <c r="AG184" s="1731">
        <f>AG168-AG176</f>
        <v>0</v>
      </c>
      <c r="AH184" s="1731">
        <f>AH168-AH176</f>
        <v>0</v>
      </c>
      <c r="AI184" s="296">
        <f>AI168-AI176</f>
        <v>0</v>
      </c>
      <c r="AJ184" s="296">
        <f>AJ168-AJ176</f>
        <v>0</v>
      </c>
      <c r="AK184" s="296">
        <f>AK168-AK176</f>
        <v>0</v>
      </c>
      <c r="AL184" s="296">
        <f>AL168-AL176</f>
        <v>0</v>
      </c>
      <c r="AM184" s="296">
        <f>AM168-AM176</f>
        <v>0</v>
      </c>
      <c r="AN184" s="1731">
        <f>AN168-AN176</f>
        <v>0</v>
      </c>
      <c r="AO184" s="1731">
        <f>AO168-AO176</f>
        <v>0</v>
      </c>
      <c r="AP184" s="1731">
        <f>AP168-AP176</f>
        <v>0</v>
      </c>
      <c r="AQ184" s="1731">
        <f>AQ168-AQ176</f>
        <v>0</v>
      </c>
      <c r="AR184" s="1731">
        <f>AR168-AR176</f>
        <v>0</v>
      </c>
      <c r="AS184" s="296">
        <f>AS168-AS176</f>
        <v>0</v>
      </c>
      <c r="AT184" s="296">
        <f>AT168-AT176</f>
        <v>0</v>
      </c>
      <c r="AU184" s="296">
        <f>AU168-AU176</f>
        <v>0</v>
      </c>
      <c r="AV184" s="296">
        <f>AV168-AV176</f>
        <v>0</v>
      </c>
      <c r="AW184" s="296">
        <f>AW168-AW176</f>
        <v>0</v>
      </c>
      <c r="AX184" s="1731">
        <f>AX168-AX176</f>
        <v>0</v>
      </c>
      <c r="AY184" s="1731">
        <f>AY168-AY176</f>
        <v>0</v>
      </c>
      <c r="AZ184" s="1731">
        <f>AZ168-AZ176</f>
        <v>0</v>
      </c>
      <c r="BA184" s="1731">
        <f>BA168-BA176</f>
        <v>0</v>
      </c>
      <c r="BB184" s="1731">
        <f>BB168-BB176</f>
        <v>0</v>
      </c>
      <c r="BC184" s="1730"/>
      <c r="BD184" s="497"/>
      <c r="BE184" s="497"/>
      <c r="BF184" s="1195" t="s">
        <v>619</v>
      </c>
    </row>
    <row s="1619" customFormat="1" customHeight="1" ht="16.5">
      <c r="A185" s="1183"/>
      <c r="B185" s="924"/>
      <c r="C185" s="1461"/>
      <c r="D185" s="1461"/>
      <c r="E185" s="794">
        <v>17.1</v>
      </c>
      <c r="F185" s="919" cm="1" t="str">
        <f t="array" ref="F185:F185">OFFSET(G185,-1,-1)</f>
        <v>2</v>
      </c>
      <c r="G185" s="497"/>
      <c r="H185" s="497"/>
      <c r="I185" s="497"/>
      <c r="J185" s="497"/>
      <c r="K185" s="497"/>
      <c r="L185" s="497"/>
      <c r="M185" s="497"/>
      <c r="N185" s="497"/>
      <c r="O185" s="497"/>
      <c r="P185" s="497"/>
      <c r="Q185" s="497"/>
      <c r="R185" s="497"/>
      <c r="S185" s="497"/>
      <c r="T185" s="805" cm="1" t="str">
        <f t="array" ref="T185:T185">T184</f>
        <v>true</v>
      </c>
      <c r="U185" s="1461"/>
      <c r="V185" s="1461"/>
      <c r="W185" s="1461"/>
      <c r="X185" s="1461"/>
      <c r="Y185" s="1461"/>
      <c r="Z185" s="1461"/>
      <c r="AA185" s="497"/>
      <c r="AB185" s="844" t="str">
        <f>AB181&amp;".2"</f>
        <v>3.2</v>
      </c>
      <c r="AC185" s="721" t="s">
        <v>599</v>
      </c>
      <c r="AD185" s="166" t="s">
        <v>591</v>
      </c>
      <c r="AE185" s="364">
        <f>AE186+AE187</f>
        <v>0</v>
      </c>
      <c r="AF185" s="364">
        <f>AF186+AF187</f>
        <v>0</v>
      </c>
      <c r="AG185" s="364">
        <f>AG186+AG187</f>
        <v>0</v>
      </c>
      <c r="AH185" s="364">
        <f>AH186+AH187</f>
        <v>0</v>
      </c>
      <c r="AI185" s="364">
        <f>AI186+AI187</f>
        <v>1370</v>
      </c>
      <c r="AJ185" s="364">
        <f>AJ186+AJ187</f>
        <v>1370</v>
      </c>
      <c r="AK185" s="364">
        <f>AK186+AK187</f>
        <v>1370</v>
      </c>
      <c r="AL185" s="364">
        <f>AL186+AL187</f>
        <v>1370</v>
      </c>
      <c r="AM185" s="364">
        <f>AM186+AM187</f>
        <v>1370</v>
      </c>
      <c r="AN185" s="364">
        <f>AN186+AN187</f>
        <v>1370</v>
      </c>
      <c r="AO185" s="364">
        <f>AO186+AO187</f>
        <v>1370</v>
      </c>
      <c r="AP185" s="364">
        <f>AP186+AP187</f>
        <v>1370</v>
      </c>
      <c r="AQ185" s="364">
        <f>AQ186+AQ187</f>
        <v>1370</v>
      </c>
      <c r="AR185" s="364">
        <f>AR186+AR187</f>
        <v>1370</v>
      </c>
      <c r="AS185" s="364">
        <f>AS186+AS187</f>
        <v>1370</v>
      </c>
      <c r="AT185" s="364">
        <f>AT186+AT187</f>
        <v>1370</v>
      </c>
      <c r="AU185" s="364">
        <f>AU186+AU187</f>
        <v>1370</v>
      </c>
      <c r="AV185" s="364">
        <f>AV186+AV187</f>
        <v>1370</v>
      </c>
      <c r="AW185" s="364">
        <f>AW186+AW187</f>
        <v>1370</v>
      </c>
      <c r="AX185" s="364">
        <f>AX186+AX187</f>
        <v>0</v>
      </c>
      <c r="AY185" s="364">
        <f>AY186+AY187</f>
        <v>0</v>
      </c>
      <c r="AZ185" s="364">
        <f>AZ186+AZ187</f>
        <v>0</v>
      </c>
      <c r="BA185" s="364">
        <f>BA186+BA187</f>
        <v>0</v>
      </c>
      <c r="BB185" s="364">
        <f>BB186+BB187</f>
        <v>0</v>
      </c>
      <c r="BC185" s="1730"/>
      <c r="BD185" s="497"/>
      <c r="BE185" s="497"/>
      <c r="BF185" s="1195" t="s">
        <v>620</v>
      </c>
    </row>
    <row s="1619" customFormat="1" customHeight="1" ht="16.5">
      <c r="A186" s="1183"/>
      <c r="B186" s="924"/>
      <c r="C186" s="1461"/>
      <c r="D186" s="1461"/>
      <c r="E186" s="794">
        <v>17.1</v>
      </c>
      <c r="F186" s="919" cm="1" t="str">
        <f t="array" ref="F186:F186">OFFSET(G186,-1,-1)</f>
        <v>2</v>
      </c>
      <c r="G186" s="497"/>
      <c r="H186" s="497"/>
      <c r="I186" s="497"/>
      <c r="J186" s="497"/>
      <c r="K186" s="497"/>
      <c r="L186" s="497"/>
      <c r="M186" s="497"/>
      <c r="N186" s="497"/>
      <c r="O186" s="497"/>
      <c r="P186" s="497"/>
      <c r="Q186" s="497"/>
      <c r="R186" s="497"/>
      <c r="S186" s="497"/>
      <c r="T186" s="805" cm="1" t="str">
        <f t="array" ref="T186:T186">T185</f>
        <v>true</v>
      </c>
      <c r="U186" s="1461"/>
      <c r="V186" s="1461"/>
      <c r="W186" s="1461"/>
      <c r="X186" s="1461"/>
      <c r="Y186" s="1461"/>
      <c r="Z186" s="1461"/>
      <c r="AA186" s="497"/>
      <c r="AB186" s="844" t="str">
        <f>AB185&amp;".1"</f>
        <v>3.2.1</v>
      </c>
      <c r="AC186" s="719" t="s">
        <v>595</v>
      </c>
      <c r="AD186" s="166" t="s">
        <v>591</v>
      </c>
      <c r="AE186" s="1731">
        <f>AE170-AE178</f>
        <v>0</v>
      </c>
      <c r="AF186" s="1731">
        <f>AF170-AF178</f>
        <v>0</v>
      </c>
      <c r="AG186" s="1731">
        <f>AG170-AG178</f>
        <v>0</v>
      </c>
      <c r="AH186" s="1731">
        <f>AH170-AH178</f>
        <v>0</v>
      </c>
      <c r="AI186" s="296">
        <f>AI170-AI178</f>
        <v>1370</v>
      </c>
      <c r="AJ186" s="296">
        <f>AJ170-AJ178</f>
        <v>1370</v>
      </c>
      <c r="AK186" s="296">
        <f>AK170-AK178</f>
        <v>1370</v>
      </c>
      <c r="AL186" s="296">
        <f>AL170-AL178</f>
        <v>1370</v>
      </c>
      <c r="AM186" s="296">
        <f>AM170-AM178</f>
        <v>1370</v>
      </c>
      <c r="AN186" s="1731">
        <f>AN170-AN178</f>
        <v>1370</v>
      </c>
      <c r="AO186" s="1731">
        <f>AO170-AO178</f>
        <v>1370</v>
      </c>
      <c r="AP186" s="1731">
        <f>AP170-AP178</f>
        <v>1370</v>
      </c>
      <c r="AQ186" s="1731">
        <f>AQ170-AQ178</f>
        <v>1370</v>
      </c>
      <c r="AR186" s="1731">
        <f>AR170-AR178</f>
        <v>1370</v>
      </c>
      <c r="AS186" s="296">
        <f>AS170-AS178</f>
        <v>1370</v>
      </c>
      <c r="AT186" s="296">
        <f>AT170-AT178</f>
        <v>1370</v>
      </c>
      <c r="AU186" s="296">
        <f>AU170-AU178</f>
        <v>1370</v>
      </c>
      <c r="AV186" s="296">
        <f>AV170-AV178</f>
        <v>1370</v>
      </c>
      <c r="AW186" s="296">
        <f>AW170-AW178</f>
        <v>1370</v>
      </c>
      <c r="AX186" s="1731">
        <f>AX170-AX178</f>
        <v>0</v>
      </c>
      <c r="AY186" s="1731">
        <f>AY170-AY178</f>
        <v>0</v>
      </c>
      <c r="AZ186" s="1731">
        <f>AZ170-AZ178</f>
        <v>0</v>
      </c>
      <c r="BA186" s="1731">
        <f>BA170-BA178</f>
        <v>0</v>
      </c>
      <c r="BB186" s="1731">
        <f>BB170-BB178</f>
        <v>0</v>
      </c>
      <c r="BC186" s="1730"/>
      <c r="BD186" s="497"/>
      <c r="BE186" s="497"/>
      <c r="BF186" s="1195" t="s">
        <v>621</v>
      </c>
    </row>
    <row s="1619" customFormat="1" customHeight="1" ht="16.5">
      <c r="A187" s="1183"/>
      <c r="B187" s="924"/>
      <c r="C187" s="1461"/>
      <c r="D187" s="1461"/>
      <c r="E187" s="794">
        <v>17.1</v>
      </c>
      <c r="F187" s="919" cm="1" t="str">
        <f t="array" ref="F187:F187">OFFSET(G187,-1,-1)</f>
        <v>2</v>
      </c>
      <c r="G187" s="497"/>
      <c r="H187" s="497"/>
      <c r="I187" s="497"/>
      <c r="J187" s="497"/>
      <c r="K187" s="497"/>
      <c r="L187" s="497"/>
      <c r="M187" s="497"/>
      <c r="N187" s="497"/>
      <c r="O187" s="497"/>
      <c r="P187" s="497"/>
      <c r="Q187" s="497"/>
      <c r="R187" s="497"/>
      <c r="S187" s="497"/>
      <c r="T187" s="805" cm="1" t="str">
        <f t="array" ref="T187:T187">T186</f>
        <v>true</v>
      </c>
      <c r="U187" s="1461"/>
      <c r="V187" s="1461"/>
      <c r="W187" s="1461"/>
      <c r="X187" s="1461"/>
      <c r="Y187" s="1461"/>
      <c r="Z187" s="1461"/>
      <c r="AA187" s="497"/>
      <c r="AB187" s="844" t="str">
        <f>AB185&amp;".2"</f>
        <v>3.2.2</v>
      </c>
      <c r="AC187" s="559" t="s">
        <v>597</v>
      </c>
      <c r="AD187" s="850" t="s">
        <v>591</v>
      </c>
      <c r="AE187" s="1731">
        <f>AE171-AE179</f>
        <v>0</v>
      </c>
      <c r="AF187" s="1731">
        <f>AF171-AF179</f>
        <v>0</v>
      </c>
      <c r="AG187" s="1731">
        <f>AG171-AG179</f>
        <v>0</v>
      </c>
      <c r="AH187" s="1731">
        <f>AH171-AH179</f>
        <v>0</v>
      </c>
      <c r="AI187" s="296">
        <f>AI171-AI179</f>
        <v>0</v>
      </c>
      <c r="AJ187" s="296">
        <f>AJ171-AJ179</f>
        <v>0</v>
      </c>
      <c r="AK187" s="296">
        <f>AK171-AK179</f>
        <v>0</v>
      </c>
      <c r="AL187" s="296">
        <f>AL171-AL179</f>
        <v>0</v>
      </c>
      <c r="AM187" s="296">
        <f>AM171-AM179</f>
        <v>0</v>
      </c>
      <c r="AN187" s="1731">
        <f>AN171-AN179</f>
        <v>0</v>
      </c>
      <c r="AO187" s="1731">
        <f>AO171-AO179</f>
        <v>0</v>
      </c>
      <c r="AP187" s="1731">
        <f>AP171-AP179</f>
        <v>0</v>
      </c>
      <c r="AQ187" s="1731">
        <f>AQ171-AQ179</f>
        <v>0</v>
      </c>
      <c r="AR187" s="1731">
        <f>AR171-AR179</f>
        <v>0</v>
      </c>
      <c r="AS187" s="296">
        <f>AS171-AS179</f>
        <v>0</v>
      </c>
      <c r="AT187" s="296">
        <f>AT171-AT179</f>
        <v>0</v>
      </c>
      <c r="AU187" s="296">
        <f>AU171-AU179</f>
        <v>0</v>
      </c>
      <c r="AV187" s="296">
        <f>AV171-AV179</f>
        <v>0</v>
      </c>
      <c r="AW187" s="296">
        <f>AW171-AW179</f>
        <v>0</v>
      </c>
      <c r="AX187" s="1731">
        <f>AX171-AX179</f>
        <v>0</v>
      </c>
      <c r="AY187" s="1731">
        <f>AY171-AY179</f>
        <v>0</v>
      </c>
      <c r="AZ187" s="1731">
        <f>AZ171-AZ179</f>
        <v>0</v>
      </c>
      <c r="BA187" s="1731">
        <f>BA171-BA179</f>
        <v>0</v>
      </c>
      <c r="BB187" s="1731">
        <f>BB171-BB179</f>
        <v>0</v>
      </c>
      <c r="BC187" s="1730"/>
      <c r="BD187" s="497"/>
      <c r="BE187" s="497"/>
      <c r="BF187" s="1195" t="s">
        <v>622</v>
      </c>
    </row>
    <row s="1619" customFormat="1" customHeight="1" ht="16.5">
      <c r="A188" s="1183"/>
      <c r="B188" s="924"/>
      <c r="C188" s="1461"/>
      <c r="D188" s="1461"/>
      <c r="E188" s="794">
        <v>17.1</v>
      </c>
      <c r="F188" s="919" cm="1" t="str">
        <f t="array" ref="F188:F188">OFFSET(G188,-1,-1)</f>
        <v>2</v>
      </c>
      <c r="G188" s="497"/>
      <c r="H188" s="497"/>
      <c r="I188" s="497"/>
      <c r="J188" s="497"/>
      <c r="K188" s="497"/>
      <c r="L188" s="497"/>
      <c r="M188" s="497"/>
      <c r="N188" s="497"/>
      <c r="O188" s="497"/>
      <c r="P188" s="497"/>
      <c r="Q188" s="497"/>
      <c r="R188" s="497"/>
      <c r="S188" s="497"/>
      <c r="T188" s="805" cm="1" t="str">
        <f t="array" ref="T188:T188">T187</f>
        <v>true</v>
      </c>
      <c r="U188" s="1461"/>
      <c r="V188" s="1461"/>
      <c r="W188" s="1461"/>
      <c r="X188" s="1461"/>
      <c r="Y188" s="1461"/>
      <c r="Z188" s="1461"/>
      <c r="AA188" s="497"/>
      <c r="AB188" s="844" t="str">
        <f>AB181&amp;".3"</f>
        <v>3.3</v>
      </c>
      <c r="AC188" s="556" t="s">
        <v>603</v>
      </c>
      <c r="AD188" s="167" t="s">
        <v>591</v>
      </c>
      <c r="AE188" s="1731"/>
      <c r="AF188" s="1731"/>
      <c r="AG188" s="1731"/>
      <c r="AH188" s="1731"/>
      <c r="AI188" s="296"/>
      <c r="AJ188" s="296"/>
      <c r="AK188" s="296"/>
      <c r="AL188" s="296"/>
      <c r="AM188" s="296"/>
      <c r="AN188" s="1731"/>
      <c r="AO188" s="1731"/>
      <c r="AP188" s="1731"/>
      <c r="AQ188" s="1731"/>
      <c r="AR188" s="1731"/>
      <c r="AS188" s="296"/>
      <c r="AT188" s="296"/>
      <c r="AU188" s="296"/>
      <c r="AV188" s="296"/>
      <c r="AW188" s="296"/>
      <c r="AX188" s="1731"/>
      <c r="AY188" s="1731"/>
      <c r="AZ188" s="1731"/>
      <c r="BA188" s="1731"/>
      <c r="BB188" s="1731"/>
      <c r="BC188" s="1730"/>
      <c r="BD188" s="497"/>
      <c r="BE188" s="497"/>
      <c r="BF188" s="1195" t="s">
        <v>623</v>
      </c>
    </row>
    <row s="1619" customFormat="1" customHeight="1" ht="16.5">
      <c r="A189" s="1183"/>
      <c r="B189" s="924"/>
      <c r="C189" s="1461"/>
      <c r="D189" s="1461"/>
      <c r="E189" s="794">
        <v>17.1</v>
      </c>
      <c r="F189" s="919" cm="1" t="str">
        <f t="array" ref="F189:F189">OFFSET(G189,-1,-1)</f>
        <v>2</v>
      </c>
      <c r="G189" s="497"/>
      <c r="H189" s="497"/>
      <c r="I189" s="497"/>
      <c r="J189" s="497"/>
      <c r="K189" s="497"/>
      <c r="L189" s="497"/>
      <c r="M189" s="497"/>
      <c r="N189" s="497"/>
      <c r="O189" s="497"/>
      <c r="P189" s="497"/>
      <c r="Q189" s="497"/>
      <c r="R189" s="497"/>
      <c r="S189" s="497"/>
      <c r="T189" s="805" cm="1" t="str">
        <f t="array" ref="T189:T189">T188</f>
        <v>true</v>
      </c>
      <c r="U189" s="1461"/>
      <c r="V189" s="1461"/>
      <c r="W189" s="1461"/>
      <c r="X189" s="1461"/>
      <c r="Y189" s="1461"/>
      <c r="Z189" s="1461"/>
      <c r="AA189" s="497"/>
      <c r="AB189" s="565" t="s">
        <v>624</v>
      </c>
      <c r="AC189" s="566" t="s">
        <v>625</v>
      </c>
      <c r="AD189" s="167" t="s">
        <v>591</v>
      </c>
      <c r="AE189" s="523">
        <f>AE190+AE191</f>
        <v>0</v>
      </c>
      <c r="AF189" s="523">
        <f>AF190+AF191</f>
        <v>0</v>
      </c>
      <c r="AG189" s="523">
        <f>AG190+AG191</f>
        <v>0</v>
      </c>
      <c r="AH189" s="523">
        <f>AH190+AH191</f>
        <v>0</v>
      </c>
      <c r="AI189" s="523">
        <f>AI190+AI191</f>
        <v>0</v>
      </c>
      <c r="AJ189" s="523">
        <f>AJ190+AJ191</f>
        <v>0</v>
      </c>
      <c r="AK189" s="523">
        <f>AK190+AK191</f>
        <v>0</v>
      </c>
      <c r="AL189" s="523">
        <f>AL190+AL191</f>
        <v>0</v>
      </c>
      <c r="AM189" s="523">
        <f>AM190+AM191</f>
        <v>0</v>
      </c>
      <c r="AN189" s="523">
        <f>AN190+AN191</f>
        <v>0</v>
      </c>
      <c r="AO189" s="523">
        <f>AO190+AO191</f>
        <v>0</v>
      </c>
      <c r="AP189" s="523">
        <f>AP190+AP191</f>
        <v>0</v>
      </c>
      <c r="AQ189" s="523">
        <f>AQ190+AQ191</f>
        <v>0</v>
      </c>
      <c r="AR189" s="523">
        <f>AR190+AR191</f>
        <v>0</v>
      </c>
      <c r="AS189" s="523">
        <f>AS190+AS191</f>
        <v>0</v>
      </c>
      <c r="AT189" s="523">
        <f>AT190+AT191</f>
        <v>0</v>
      </c>
      <c r="AU189" s="523">
        <f>AU190+AU191</f>
        <v>0</v>
      </c>
      <c r="AV189" s="523">
        <f>AV190+AV191</f>
        <v>0</v>
      </c>
      <c r="AW189" s="523">
        <f>AW190+AW191</f>
        <v>0</v>
      </c>
      <c r="AX189" s="523">
        <f>AX190+AX191</f>
        <v>0</v>
      </c>
      <c r="AY189" s="523">
        <f>AY190+AY191</f>
        <v>0</v>
      </c>
      <c r="AZ189" s="523">
        <f>AZ190+AZ191</f>
        <v>0</v>
      </c>
      <c r="BA189" s="523">
        <f>BA190+BA191</f>
        <v>0</v>
      </c>
      <c r="BB189" s="523">
        <f>BB190+BB191</f>
        <v>0</v>
      </c>
      <c r="BC189" s="1730"/>
      <c r="BD189" s="497"/>
      <c r="BE189" s="497"/>
      <c r="BF189" s="1195" t="s">
        <v>626</v>
      </c>
    </row>
    <row s="1619" customFormat="1" customHeight="1" ht="16.5">
      <c r="A190" s="1183"/>
      <c r="B190" s="924"/>
      <c r="C190" s="1461"/>
      <c r="D190" s="1461"/>
      <c r="E190" s="794">
        <v>17.1</v>
      </c>
      <c r="F190" s="919" cm="1" t="str">
        <f t="array" ref="F190:F190">OFFSET(G190,-1,-1)</f>
        <v>2</v>
      </c>
      <c r="G190" s="497"/>
      <c r="H190" s="497"/>
      <c r="I190" s="497"/>
      <c r="J190" s="497"/>
      <c r="K190" s="497"/>
      <c r="L190" s="497"/>
      <c r="M190" s="497"/>
      <c r="N190" s="497"/>
      <c r="O190" s="497"/>
      <c r="P190" s="497"/>
      <c r="Q190" s="497"/>
      <c r="R190" s="497"/>
      <c r="S190" s="497"/>
      <c r="T190" s="805" cm="1" t="str">
        <f t="array" ref="T190:T190">T189</f>
        <v>true</v>
      </c>
      <c r="U190" s="1461"/>
      <c r="V190" s="1461"/>
      <c r="W190" s="1461"/>
      <c r="X190" s="1461"/>
      <c r="Y190" s="1461"/>
      <c r="Z190" s="1461"/>
      <c r="AA190" s="497"/>
      <c r="AB190" s="844" t="str">
        <f>AB189&amp;".1"</f>
        <v>4.1</v>
      </c>
      <c r="AC190" s="556" t="s">
        <v>595</v>
      </c>
      <c r="AD190" s="167" t="s">
        <v>591</v>
      </c>
      <c r="AE190" s="1737"/>
      <c r="AF190" s="1737"/>
      <c r="AG190" s="1737"/>
      <c r="AH190" s="1737"/>
      <c r="AI190" s="482"/>
      <c r="AJ190" s="482"/>
      <c r="AK190" s="482"/>
      <c r="AL190" s="482"/>
      <c r="AM190" s="482"/>
      <c r="AN190" s="1737"/>
      <c r="AO190" s="1737"/>
      <c r="AP190" s="1737"/>
      <c r="AQ190" s="1737"/>
      <c r="AR190" s="1737"/>
      <c r="AS190" s="482"/>
      <c r="AT190" s="482"/>
      <c r="AU190" s="482"/>
      <c r="AV190" s="482"/>
      <c r="AW190" s="482"/>
      <c r="AX190" s="1737"/>
      <c r="AY190" s="1737"/>
      <c r="AZ190" s="1737"/>
      <c r="BA190" s="1737"/>
      <c r="BB190" s="1737"/>
      <c r="BC190" s="1730"/>
      <c r="BD190" s="497"/>
      <c r="BE190" s="497"/>
      <c r="BF190" s="1195" t="s">
        <v>627</v>
      </c>
    </row>
    <row s="1619" customFormat="1" customHeight="1" ht="16.5">
      <c r="A191" s="1183"/>
      <c r="B191" s="924"/>
      <c r="C191" s="1461"/>
      <c r="D191" s="1461"/>
      <c r="E191" s="794">
        <v>17.1</v>
      </c>
      <c r="F191" s="919" cm="1" t="str">
        <f t="array" ref="F191:F191">OFFSET(G191,-1,-1)</f>
        <v>2</v>
      </c>
      <c r="G191" s="497"/>
      <c r="H191" s="497"/>
      <c r="I191" s="497"/>
      <c r="J191" s="497"/>
      <c r="K191" s="497"/>
      <c r="L191" s="497"/>
      <c r="M191" s="497"/>
      <c r="N191" s="497"/>
      <c r="O191" s="497"/>
      <c r="P191" s="497"/>
      <c r="Q191" s="497"/>
      <c r="R191" s="497"/>
      <c r="S191" s="497"/>
      <c r="T191" s="805" cm="1" t="str">
        <f t="array" ref="T191:T191">T190</f>
        <v>true</v>
      </c>
      <c r="U191" s="1461"/>
      <c r="V191" s="1461"/>
      <c r="W191" s="1461"/>
      <c r="X191" s="1461"/>
      <c r="Y191" s="1461"/>
      <c r="Z191" s="1461"/>
      <c r="AA191" s="497"/>
      <c r="AB191" s="844" t="str">
        <f>AB189&amp;".2"</f>
        <v>4.2</v>
      </c>
      <c r="AC191" s="556" t="s">
        <v>597</v>
      </c>
      <c r="AD191" s="167" t="s">
        <v>591</v>
      </c>
      <c r="AE191" s="1739"/>
      <c r="AF191" s="1739"/>
      <c r="AG191" s="1739"/>
      <c r="AH191" s="1739"/>
      <c r="AI191" s="563"/>
      <c r="AJ191" s="563"/>
      <c r="AK191" s="563"/>
      <c r="AL191" s="563"/>
      <c r="AM191" s="563"/>
      <c r="AN191" s="1739"/>
      <c r="AO191" s="1739"/>
      <c r="AP191" s="1739"/>
      <c r="AQ191" s="1739"/>
      <c r="AR191" s="1739"/>
      <c r="AS191" s="563"/>
      <c r="AT191" s="563"/>
      <c r="AU191" s="563"/>
      <c r="AV191" s="563"/>
      <c r="AW191" s="563"/>
      <c r="AX191" s="1739"/>
      <c r="AY191" s="1739"/>
      <c r="AZ191" s="1739"/>
      <c r="BA191" s="1739"/>
      <c r="BB191" s="1739"/>
      <c r="BC191" s="1741"/>
      <c r="BD191" s="497"/>
      <c r="BE191" s="497"/>
      <c r="BF191" s="1195" t="s">
        <v>628</v>
      </c>
    </row>
    <row s="1619" customFormat="1" customHeight="1" ht="16.5">
      <c r="A192" s="1183"/>
      <c r="B192" s="924"/>
      <c r="C192" s="1461"/>
      <c r="D192" s="1461"/>
      <c r="E192" s="794">
        <v>17.1</v>
      </c>
      <c r="F192" s="919" cm="1" t="str">
        <f t="array" ref="F192:F192">OFFSET(G192,-1,-1)</f>
        <v>2</v>
      </c>
      <c r="G192" s="497"/>
      <c r="H192" s="497"/>
      <c r="I192" s="497"/>
      <c r="J192" s="497"/>
      <c r="K192" s="497"/>
      <c r="L192" s="497"/>
      <c r="M192" s="497"/>
      <c r="N192" s="497"/>
      <c r="O192" s="497"/>
      <c r="P192" s="497"/>
      <c r="Q192" s="497"/>
      <c r="R192" s="497"/>
      <c r="S192" s="497"/>
      <c r="T192" s="805" cm="1" t="str">
        <f t="array" ref="T192:T192">T191</f>
        <v>true</v>
      </c>
      <c r="U192" s="1461"/>
      <c r="V192" s="1461"/>
      <c r="W192" s="1461"/>
      <c r="X192" s="1461"/>
      <c r="Y192" s="1461"/>
      <c r="Z192" s="1461"/>
      <c r="AA192" s="497"/>
      <c r="AB192" s="853" t="s">
        <v>629</v>
      </c>
      <c r="AC192" s="524" t="s">
        <v>630</v>
      </c>
      <c r="AD192" s="410" t="s">
        <v>591</v>
      </c>
      <c r="AE192" s="1731"/>
      <c r="AF192" s="1731"/>
      <c r="AG192" s="1731"/>
      <c r="AH192" s="1731"/>
      <c r="AI192" s="296"/>
      <c r="AJ192" s="296"/>
      <c r="AK192" s="296"/>
      <c r="AL192" s="296"/>
      <c r="AM192" s="296"/>
      <c r="AN192" s="1731"/>
      <c r="AO192" s="1731"/>
      <c r="AP192" s="1731"/>
      <c r="AQ192" s="1731"/>
      <c r="AR192" s="1731"/>
      <c r="AS192" s="296"/>
      <c r="AT192" s="296"/>
      <c r="AU192" s="296"/>
      <c r="AV192" s="296"/>
      <c r="AW192" s="296"/>
      <c r="AX192" s="1731"/>
      <c r="AY192" s="1731"/>
      <c r="AZ192" s="1731"/>
      <c r="BA192" s="1731"/>
      <c r="BB192" s="1731"/>
      <c r="BC192" s="1742"/>
      <c r="BD192" s="497"/>
      <c r="BE192" s="497"/>
      <c r="BF192" s="1195" t="s">
        <v>631</v>
      </c>
    </row>
    <row s="1619" customFormat="1" customHeight="1" ht="16.5">
      <c r="A193" s="1183"/>
      <c r="B193" s="924"/>
      <c r="C193" s="1461"/>
      <c r="D193" s="1461"/>
      <c r="E193" s="794">
        <v>17.1</v>
      </c>
      <c r="F193" s="919" cm="1" t="str">
        <f t="array" ref="F193:F193">OFFSET(G193,-1,-1)</f>
        <v>2</v>
      </c>
      <c r="G193" s="497"/>
      <c r="H193" s="497"/>
      <c r="I193" s="497"/>
      <c r="J193" s="497"/>
      <c r="K193" s="497"/>
      <c r="L193" s="497"/>
      <c r="M193" s="497"/>
      <c r="N193" s="497"/>
      <c r="O193" s="497"/>
      <c r="P193" s="497"/>
      <c r="Q193" s="497"/>
      <c r="R193" s="497"/>
      <c r="S193" s="497"/>
      <c r="T193" s="805" cm="1" t="str">
        <f t="array" ref="T193:T193">T192</f>
        <v>true</v>
      </c>
      <c r="U193" s="1461"/>
      <c r="V193" s="1461"/>
      <c r="W193" s="1461"/>
      <c r="X193" s="1461"/>
      <c r="Y193" s="1461"/>
      <c r="Z193" s="1461"/>
      <c r="AA193" s="497"/>
      <c r="AB193" s="854" t="s">
        <v>632</v>
      </c>
      <c r="AC193" s="478" t="s">
        <v>633</v>
      </c>
      <c r="AD193" s="410" t="s">
        <v>591</v>
      </c>
      <c r="AE193" s="364">
        <f>AE181-AE192</f>
        <v>0</v>
      </c>
      <c r="AF193" s="364">
        <f>AF181-AF192</f>
        <v>0</v>
      </c>
      <c r="AG193" s="364">
        <f>AG181-AG192</f>
        <v>0</v>
      </c>
      <c r="AH193" s="364">
        <f>AH181-AH192</f>
        <v>0</v>
      </c>
      <c r="AI193" s="364">
        <f>AI181-AI192</f>
        <v>1370</v>
      </c>
      <c r="AJ193" s="364">
        <f>AJ181-AJ192</f>
        <v>1370</v>
      </c>
      <c r="AK193" s="364">
        <f>AK181-AK192</f>
        <v>1370</v>
      </c>
      <c r="AL193" s="364">
        <f>AL181-AL192</f>
        <v>1370</v>
      </c>
      <c r="AM193" s="364">
        <f>AM181-AM192</f>
        <v>1370</v>
      </c>
      <c r="AN193" s="364">
        <f>AN181-AN192</f>
        <v>1370</v>
      </c>
      <c r="AO193" s="364">
        <f>AO181-AO192</f>
        <v>1370</v>
      </c>
      <c r="AP193" s="364">
        <f>AP181-AP192</f>
        <v>1370</v>
      </c>
      <c r="AQ193" s="364">
        <f>AQ181-AQ192</f>
        <v>1370</v>
      </c>
      <c r="AR193" s="364">
        <f>AR181-AR192</f>
        <v>1370</v>
      </c>
      <c r="AS193" s="364">
        <f>AS181-AS192</f>
        <v>1370</v>
      </c>
      <c r="AT193" s="364">
        <f>AT181-AT192</f>
        <v>1370</v>
      </c>
      <c r="AU193" s="364">
        <f>AU181-AU192</f>
        <v>1370</v>
      </c>
      <c r="AV193" s="364">
        <f>AV181-AV192</f>
        <v>1370</v>
      </c>
      <c r="AW193" s="364">
        <f>AW181-AW192</f>
        <v>1370</v>
      </c>
      <c r="AX193" s="364">
        <f>AX181-AX192</f>
        <v>0</v>
      </c>
      <c r="AY193" s="364">
        <f>AY181-AY192</f>
        <v>0</v>
      </c>
      <c r="AZ193" s="364">
        <f>AZ181-AZ192</f>
        <v>0</v>
      </c>
      <c r="BA193" s="364">
        <f>BA181-BA192</f>
        <v>0</v>
      </c>
      <c r="BB193" s="364">
        <f>BB181-BB192</f>
        <v>0</v>
      </c>
      <c r="BC193" s="1742"/>
      <c r="BD193" s="497"/>
      <c r="BE193" s="497"/>
      <c r="BF193" s="1195" t="s">
        <v>634</v>
      </c>
    </row>
    <row s="1619" customFormat="1" customHeight="1" ht="16.5">
      <c r="A194" s="1183"/>
      <c r="B194" s="924"/>
      <c r="C194" s="1461"/>
      <c r="D194" s="1461"/>
      <c r="E194" s="794">
        <v>17.1</v>
      </c>
      <c r="F194" s="919" cm="1" t="str">
        <f t="array" ref="F194:F194">OFFSET(G194,-1,-1)</f>
        <v>2</v>
      </c>
      <c r="G194" s="497"/>
      <c r="H194" s="497"/>
      <c r="I194" s="497"/>
      <c r="J194" s="497"/>
      <c r="K194" s="497"/>
      <c r="L194" s="497"/>
      <c r="M194" s="497"/>
      <c r="N194" s="497"/>
      <c r="O194" s="497"/>
      <c r="P194" s="497"/>
      <c r="Q194" s="497"/>
      <c r="R194" s="497"/>
      <c r="S194" s="497"/>
      <c r="T194" s="805" cm="1" t="str">
        <f t="array" ref="T194:T194">T193</f>
        <v>true</v>
      </c>
      <c r="U194" s="1461"/>
      <c r="V194" s="1461"/>
      <c r="W194" s="1461"/>
      <c r="X194" s="1461"/>
      <c r="Y194" s="1461"/>
      <c r="Z194" s="1461"/>
      <c r="AA194" s="497"/>
      <c r="AB194" s="844" t="str">
        <f>AB193&amp;".1"</f>
        <v>6.1</v>
      </c>
      <c r="AC194" s="556" t="s">
        <v>595</v>
      </c>
      <c r="AD194" s="410" t="s">
        <v>591</v>
      </c>
      <c r="AE194" s="364">
        <f>AE193-AE202</f>
        <v>0</v>
      </c>
      <c r="AF194" s="364">
        <f>AF193-AF202</f>
        <v>0</v>
      </c>
      <c r="AG194" s="364">
        <f>AG193-AG202</f>
        <v>0</v>
      </c>
      <c r="AH194" s="364">
        <f>AH193-AH202</f>
        <v>0</v>
      </c>
      <c r="AI194" s="364">
        <f>AI193-AI202</f>
        <v>1370</v>
      </c>
      <c r="AJ194" s="364">
        <f>AJ193-AJ202</f>
        <v>1370</v>
      </c>
      <c r="AK194" s="364">
        <f>AK193-AK202</f>
        <v>1370</v>
      </c>
      <c r="AL194" s="364">
        <f>AL193-AL202</f>
        <v>1370</v>
      </c>
      <c r="AM194" s="364">
        <f>AM193-AM202</f>
        <v>1370</v>
      </c>
      <c r="AN194" s="364">
        <f>AN193-AN202</f>
        <v>1370</v>
      </c>
      <c r="AO194" s="364">
        <f>AO193-AO202</f>
        <v>1370</v>
      </c>
      <c r="AP194" s="364">
        <f>AP193-AP202</f>
        <v>1370</v>
      </c>
      <c r="AQ194" s="364">
        <f>AQ193-AQ202</f>
        <v>1370</v>
      </c>
      <c r="AR194" s="364">
        <f>AR193-AR202</f>
        <v>1370</v>
      </c>
      <c r="AS194" s="364">
        <f>AS193-AS202</f>
        <v>1370</v>
      </c>
      <c r="AT194" s="364">
        <f>AT193-AT202</f>
        <v>1370</v>
      </c>
      <c r="AU194" s="364">
        <f>AU193-AU202</f>
        <v>1370</v>
      </c>
      <c r="AV194" s="364">
        <f>AV193-AV202</f>
        <v>1370</v>
      </c>
      <c r="AW194" s="364">
        <f>AW193-AW202</f>
        <v>1370</v>
      </c>
      <c r="AX194" s="364">
        <f>AX193-AX202</f>
        <v>0</v>
      </c>
      <c r="AY194" s="364">
        <f>AY193-AY202</f>
        <v>0</v>
      </c>
      <c r="AZ194" s="364">
        <f>AZ193-AZ202</f>
        <v>0</v>
      </c>
      <c r="BA194" s="364">
        <f>BA193-BA202</f>
        <v>0</v>
      </c>
      <c r="BB194" s="364">
        <f>BB193-BB202</f>
        <v>0</v>
      </c>
      <c r="BC194" s="1742"/>
      <c r="BD194" s="497"/>
      <c r="BE194" s="497"/>
      <c r="BF194" s="1195" t="s">
        <v>635</v>
      </c>
    </row>
    <row s="1619" customFormat="1" customHeight="1" ht="16.5">
      <c r="A195" s="1183"/>
      <c r="B195" s="924"/>
      <c r="C195" s="1461"/>
      <c r="D195" s="1461"/>
      <c r="E195" s="794">
        <v>17.1</v>
      </c>
      <c r="F195" s="919" cm="1" t="str">
        <f t="array" ref="F195:F195">OFFSET(G195,-1,-1)</f>
        <v>2</v>
      </c>
      <c r="G195" s="497"/>
      <c r="H195" s="497"/>
      <c r="I195" s="497"/>
      <c r="J195" s="497"/>
      <c r="K195" s="497"/>
      <c r="L195" s="497"/>
      <c r="M195" s="497"/>
      <c r="N195" s="497"/>
      <c r="O195" s="497"/>
      <c r="P195" s="497"/>
      <c r="Q195" s="497"/>
      <c r="R195" s="497"/>
      <c r="S195" s="497"/>
      <c r="T195" s="805" cm="1" t="str">
        <f t="array" ref="T195:T195">T194</f>
        <v>true</v>
      </c>
      <c r="U195" s="1461"/>
      <c r="V195" s="1461"/>
      <c r="W195" s="1461"/>
      <c r="X195" s="1461"/>
      <c r="Y195" s="1461"/>
      <c r="Z195" s="1461"/>
      <c r="AA195" s="497"/>
      <c r="AB195" s="844" t="str">
        <f>AB194&amp;".1"</f>
        <v>6.1.1</v>
      </c>
      <c r="AC195" s="681" t="s">
        <v>636</v>
      </c>
      <c r="AD195" s="167" t="s">
        <v>591</v>
      </c>
      <c r="AE195" s="1731"/>
      <c r="AF195" s="1731"/>
      <c r="AG195" s="1731"/>
      <c r="AH195" s="1731"/>
      <c r="AI195" s="296"/>
      <c r="AJ195" s="296"/>
      <c r="AK195" s="296"/>
      <c r="AL195" s="296"/>
      <c r="AM195" s="296"/>
      <c r="AN195" s="1731"/>
      <c r="AO195" s="1731"/>
      <c r="AP195" s="1731"/>
      <c r="AQ195" s="1731"/>
      <c r="AR195" s="1731"/>
      <c r="AS195" s="296"/>
      <c r="AT195" s="296"/>
      <c r="AU195" s="296"/>
      <c r="AV195" s="296"/>
      <c r="AW195" s="296"/>
      <c r="AX195" s="1731"/>
      <c r="AY195" s="1731"/>
      <c r="AZ195" s="1731"/>
      <c r="BA195" s="1731"/>
      <c r="BB195" s="1731"/>
      <c r="BC195" s="1742"/>
      <c r="BD195" s="497"/>
      <c r="BE195" s="497"/>
      <c r="BF195" s="1195" t="s">
        <v>637</v>
      </c>
    </row>
    <row s="1619" customFormat="1" customHeight="1" ht="16.5">
      <c r="A196" s="1183"/>
      <c r="B196" s="924"/>
      <c r="C196" s="1461"/>
      <c r="D196" s="1461"/>
      <c r="E196" s="794">
        <v>17.1</v>
      </c>
      <c r="F196" s="919" cm="1" t="str">
        <f t="array" ref="F196:F196">OFFSET(G196,-1,-1)</f>
        <v>2</v>
      </c>
      <c r="G196" s="497"/>
      <c r="H196" s="497"/>
      <c r="I196" s="497"/>
      <c r="J196" s="497"/>
      <c r="K196" s="497"/>
      <c r="L196" s="497"/>
      <c r="M196" s="497"/>
      <c r="N196" s="497"/>
      <c r="O196" s="497"/>
      <c r="P196" s="497"/>
      <c r="Q196" s="497"/>
      <c r="R196" s="497"/>
      <c r="S196" s="497"/>
      <c r="T196" s="805" cm="1" t="str">
        <f t="array" ref="T196:T196">T195</f>
        <v>true</v>
      </c>
      <c r="U196" s="1461"/>
      <c r="V196" s="1461"/>
      <c r="W196" s="1461"/>
      <c r="X196" s="1461"/>
      <c r="Y196" s="1461"/>
      <c r="Z196" s="1461"/>
      <c r="AA196" s="497"/>
      <c r="AB196" s="844" t="str">
        <f>AB194&amp;".2"</f>
        <v>6.1.2</v>
      </c>
      <c r="AC196" s="682" t="s">
        <v>638</v>
      </c>
      <c r="AD196" s="167" t="s">
        <v>591</v>
      </c>
      <c r="AE196" s="1731">
        <f>SUM(AE197:AE200)</f>
        <v>0</v>
      </c>
      <c r="AF196" s="1731">
        <f>SUM(AF197:AF200)</f>
        <v>0</v>
      </c>
      <c r="AG196" s="1731">
        <f>SUM(AG197:AG200)</f>
        <v>0</v>
      </c>
      <c r="AH196" s="1731">
        <f>SUM(AH197:AH200)</f>
        <v>0</v>
      </c>
      <c r="AI196" s="296">
        <f>SUM(AI197:AI200)</f>
        <v>0</v>
      </c>
      <c r="AJ196" s="296">
        <f>SUM(AJ197:AJ200)</f>
        <v>0</v>
      </c>
      <c r="AK196" s="296">
        <f>SUM(AK197:AK200)</f>
        <v>0</v>
      </c>
      <c r="AL196" s="296">
        <f>SUM(AL197:AL200)</f>
        <v>0</v>
      </c>
      <c r="AM196" s="296">
        <f>SUM(AM197:AM200)</f>
        <v>0</v>
      </c>
      <c r="AN196" s="1731">
        <f>SUM(AN197:AN200)</f>
        <v>0</v>
      </c>
      <c r="AO196" s="1731">
        <f>SUM(AO197:AO200)</f>
        <v>0</v>
      </c>
      <c r="AP196" s="1731">
        <f>SUM(AP197:AP200)</f>
        <v>0</v>
      </c>
      <c r="AQ196" s="1731">
        <f>SUM(AQ197:AQ200)</f>
        <v>0</v>
      </c>
      <c r="AR196" s="1731">
        <f>SUM(AR197:AR200)</f>
        <v>0</v>
      </c>
      <c r="AS196" s="296">
        <f>SUM(AS197:AS200)</f>
        <v>0</v>
      </c>
      <c r="AT196" s="296">
        <f>SUM(AT197:AT200)</f>
        <v>0</v>
      </c>
      <c r="AU196" s="296">
        <f>SUM(AU197:AU200)</f>
        <v>0</v>
      </c>
      <c r="AV196" s="296">
        <f>SUM(AV197:AV200)</f>
        <v>0</v>
      </c>
      <c r="AW196" s="296">
        <f>SUM(AW197:AW200)</f>
        <v>0</v>
      </c>
      <c r="AX196" s="1731">
        <f>SUM(AX197:AX200)</f>
        <v>0</v>
      </c>
      <c r="AY196" s="1731">
        <f>SUM(AY197:AY200)</f>
        <v>0</v>
      </c>
      <c r="AZ196" s="1731">
        <f>SUM(AZ197:AZ200)</f>
        <v>0</v>
      </c>
      <c r="BA196" s="1731">
        <f>SUM(BA197:BA200)</f>
        <v>0</v>
      </c>
      <c r="BB196" s="1731">
        <f>SUM(BB197:BB200)</f>
        <v>0</v>
      </c>
      <c r="BC196" s="1742"/>
      <c r="BD196" s="497"/>
      <c r="BE196" s="497"/>
      <c r="BF196" s="1195" t="s">
        <v>639</v>
      </c>
    </row>
    <row s="1619" customFormat="1" customHeight="1" ht="16.5">
      <c r="A197" s="1183"/>
      <c r="B197" s="924"/>
      <c r="C197" s="1461"/>
      <c r="D197" s="1461"/>
      <c r="E197" s="794">
        <v>17.1</v>
      </c>
      <c r="F197" s="919" cm="1" t="str">
        <f t="array" ref="F197:F197">OFFSET(G197,-1,-1)</f>
        <v>2</v>
      </c>
      <c r="G197" s="497"/>
      <c r="H197" s="497"/>
      <c r="I197" s="497"/>
      <c r="J197" s="497"/>
      <c r="K197" s="497"/>
      <c r="L197" s="497"/>
      <c r="M197" s="497"/>
      <c r="N197" s="497"/>
      <c r="O197" s="497"/>
      <c r="P197" s="497"/>
      <c r="Q197" s="497"/>
      <c r="R197" s="497"/>
      <c r="S197" s="497"/>
      <c r="T197" s="805" cm="1" t="str">
        <f t="array" ref="T197:T197">T196</f>
        <v>true</v>
      </c>
      <c r="U197" s="1461"/>
      <c r="V197" s="1461"/>
      <c r="W197" s="1461"/>
      <c r="X197" s="1461"/>
      <c r="Y197" s="1461"/>
      <c r="Z197" s="1461"/>
      <c r="AA197" s="497"/>
      <c r="AB197" s="844" t="str">
        <f>AB196&amp;".1"</f>
        <v>6.1.2.1</v>
      </c>
      <c r="AC197" s="683" t="s">
        <v>640</v>
      </c>
      <c r="AD197" s="410" t="s">
        <v>591</v>
      </c>
      <c r="AE197" s="1731"/>
      <c r="AF197" s="1731"/>
      <c r="AG197" s="1731"/>
      <c r="AH197" s="1731"/>
      <c r="AI197" s="296"/>
      <c r="AJ197" s="296"/>
      <c r="AK197" s="296"/>
      <c r="AL197" s="296"/>
      <c r="AM197" s="296"/>
      <c r="AN197" s="1731"/>
      <c r="AO197" s="1731"/>
      <c r="AP197" s="1731"/>
      <c r="AQ197" s="1731"/>
      <c r="AR197" s="1731"/>
      <c r="AS197" s="296"/>
      <c r="AT197" s="296"/>
      <c r="AU197" s="296"/>
      <c r="AV197" s="296"/>
      <c r="AW197" s="296"/>
      <c r="AX197" s="1731"/>
      <c r="AY197" s="1731"/>
      <c r="AZ197" s="1731"/>
      <c r="BA197" s="1731"/>
      <c r="BB197" s="1731"/>
      <c r="BC197" s="1742"/>
      <c r="BD197" s="497"/>
      <c r="BE197" s="497"/>
      <c r="BF197" s="1195" t="s">
        <v>641</v>
      </c>
    </row>
    <row s="1619" customFormat="1" customHeight="1" ht="16.5">
      <c r="A198" s="1183"/>
      <c r="B198" s="924"/>
      <c r="C198" s="1461"/>
      <c r="D198" s="1461"/>
      <c r="E198" s="794">
        <v>17.1</v>
      </c>
      <c r="F198" s="919" cm="1" t="str">
        <f t="array" ref="F198:F198">OFFSET(G198,-1,-1)</f>
        <v>2</v>
      </c>
      <c r="G198" s="497"/>
      <c r="H198" s="497"/>
      <c r="I198" s="497"/>
      <c r="J198" s="497"/>
      <c r="K198" s="497"/>
      <c r="L198" s="497"/>
      <c r="M198" s="497"/>
      <c r="N198" s="497"/>
      <c r="O198" s="497"/>
      <c r="P198" s="497"/>
      <c r="Q198" s="497"/>
      <c r="R198" s="497"/>
      <c r="S198" s="497"/>
      <c r="T198" s="805" cm="1" t="str">
        <f t="array" ref="T198:T198">T197</f>
        <v>true</v>
      </c>
      <c r="U198" s="1461"/>
      <c r="V198" s="1461"/>
      <c r="W198" s="1461"/>
      <c r="X198" s="1461"/>
      <c r="Y198" s="1461"/>
      <c r="Z198" s="1461"/>
      <c r="AA198" s="497"/>
      <c r="AB198" s="844" t="str">
        <f>AB196&amp;".2"</f>
        <v>6.1.2.2</v>
      </c>
      <c r="AC198" s="684" t="s">
        <v>642</v>
      </c>
      <c r="AD198" s="167" t="s">
        <v>591</v>
      </c>
      <c r="AE198" s="1731"/>
      <c r="AF198" s="1731"/>
      <c r="AG198" s="1731"/>
      <c r="AH198" s="1731"/>
      <c r="AI198" s="296"/>
      <c r="AJ198" s="296"/>
      <c r="AK198" s="296"/>
      <c r="AL198" s="296"/>
      <c r="AM198" s="296"/>
      <c r="AN198" s="1731"/>
      <c r="AO198" s="1731"/>
      <c r="AP198" s="1731"/>
      <c r="AQ198" s="1731"/>
      <c r="AR198" s="1731"/>
      <c r="AS198" s="296"/>
      <c r="AT198" s="296"/>
      <c r="AU198" s="296"/>
      <c r="AV198" s="296"/>
      <c r="AW198" s="296"/>
      <c r="AX198" s="1731"/>
      <c r="AY198" s="1731"/>
      <c r="AZ198" s="1731"/>
      <c r="BA198" s="1731"/>
      <c r="BB198" s="1731"/>
      <c r="BC198" s="1742"/>
      <c r="BD198" s="497"/>
      <c r="BE198" s="497"/>
      <c r="BF198" s="1195" t="s">
        <v>643</v>
      </c>
    </row>
    <row s="1619" customFormat="1" customHeight="1" ht="16.5">
      <c r="A199" s="1183"/>
      <c r="B199" s="924"/>
      <c r="C199" s="1461"/>
      <c r="D199" s="1461"/>
      <c r="E199" s="794">
        <v>17.1</v>
      </c>
      <c r="F199" s="919" cm="1" t="str">
        <f t="array" ref="F199:F199">OFFSET(G199,-1,-1)</f>
        <v>2</v>
      </c>
      <c r="G199" s="497"/>
      <c r="H199" s="497"/>
      <c r="I199" s="497"/>
      <c r="J199" s="497"/>
      <c r="K199" s="497"/>
      <c r="L199" s="497"/>
      <c r="M199" s="497"/>
      <c r="N199" s="497"/>
      <c r="O199" s="497"/>
      <c r="P199" s="497"/>
      <c r="Q199" s="497"/>
      <c r="R199" s="497"/>
      <c r="S199" s="497"/>
      <c r="T199" s="805" cm="1" t="str">
        <f t="array" ref="T199:T199">T198</f>
        <v>true</v>
      </c>
      <c r="U199" s="1461"/>
      <c r="V199" s="1461"/>
      <c r="W199" s="1461"/>
      <c r="X199" s="1461"/>
      <c r="Y199" s="1461"/>
      <c r="Z199" s="1461"/>
      <c r="AA199" s="497"/>
      <c r="AB199" s="844" t="str">
        <f>AB196&amp;".3"</f>
        <v>6.1.2.3</v>
      </c>
      <c r="AC199" s="684" t="s">
        <v>644</v>
      </c>
      <c r="AD199" s="167" t="s">
        <v>591</v>
      </c>
      <c r="AE199" s="1731"/>
      <c r="AF199" s="1731"/>
      <c r="AG199" s="1731"/>
      <c r="AH199" s="1731"/>
      <c r="AI199" s="296"/>
      <c r="AJ199" s="296"/>
      <c r="AK199" s="296"/>
      <c r="AL199" s="296"/>
      <c r="AM199" s="296"/>
      <c r="AN199" s="1731"/>
      <c r="AO199" s="1731"/>
      <c r="AP199" s="1731"/>
      <c r="AQ199" s="1731"/>
      <c r="AR199" s="1731"/>
      <c r="AS199" s="296"/>
      <c r="AT199" s="296"/>
      <c r="AU199" s="296"/>
      <c r="AV199" s="296"/>
      <c r="AW199" s="296"/>
      <c r="AX199" s="1731"/>
      <c r="AY199" s="1731"/>
      <c r="AZ199" s="1731"/>
      <c r="BA199" s="1731"/>
      <c r="BB199" s="1731"/>
      <c r="BC199" s="1742"/>
      <c r="BD199" s="497"/>
      <c r="BE199" s="497"/>
      <c r="BF199" s="1195" t="s">
        <v>645</v>
      </c>
    </row>
    <row s="1619" customFormat="1" customHeight="1" ht="16.5">
      <c r="A200" s="1183"/>
      <c r="B200" s="924"/>
      <c r="C200" s="1461"/>
      <c r="D200" s="1461"/>
      <c r="E200" s="794">
        <v>17.1</v>
      </c>
      <c r="F200" s="919" cm="1" t="str">
        <f t="array" ref="F200:F200">OFFSET(G200,-1,-1)</f>
        <v>2</v>
      </c>
      <c r="G200" s="497"/>
      <c r="H200" s="497"/>
      <c r="I200" s="497"/>
      <c r="J200" s="497"/>
      <c r="K200" s="497"/>
      <c r="L200" s="497"/>
      <c r="M200" s="497"/>
      <c r="N200" s="497"/>
      <c r="O200" s="497"/>
      <c r="P200" s="497"/>
      <c r="Q200" s="497"/>
      <c r="R200" s="497"/>
      <c r="S200" s="497"/>
      <c r="T200" s="805" cm="1" t="str">
        <f t="array" ref="T200:T200">T199</f>
        <v>true</v>
      </c>
      <c r="U200" s="1461"/>
      <c r="V200" s="1461"/>
      <c r="W200" s="1461"/>
      <c r="X200" s="1461"/>
      <c r="Y200" s="1461"/>
      <c r="Z200" s="1461"/>
      <c r="AA200" s="497"/>
      <c r="AB200" s="844" t="str">
        <f>AB196&amp;".4"</f>
        <v>6.1.2.4</v>
      </c>
      <c r="AC200" s="684" t="s">
        <v>646</v>
      </c>
      <c r="AD200" s="410" t="s">
        <v>591</v>
      </c>
      <c r="AE200" s="1731"/>
      <c r="AF200" s="1731"/>
      <c r="AG200" s="1731"/>
      <c r="AH200" s="1731"/>
      <c r="AI200" s="296"/>
      <c r="AJ200" s="296"/>
      <c r="AK200" s="296"/>
      <c r="AL200" s="296"/>
      <c r="AM200" s="296"/>
      <c r="AN200" s="1731"/>
      <c r="AO200" s="1731"/>
      <c r="AP200" s="1731"/>
      <c r="AQ200" s="1731"/>
      <c r="AR200" s="1731"/>
      <c r="AS200" s="296"/>
      <c r="AT200" s="296"/>
      <c r="AU200" s="296"/>
      <c r="AV200" s="296"/>
      <c r="AW200" s="296"/>
      <c r="AX200" s="1731"/>
      <c r="AY200" s="1731"/>
      <c r="AZ200" s="1731"/>
      <c r="BA200" s="1731"/>
      <c r="BB200" s="1731"/>
      <c r="BC200" s="1742"/>
      <c r="BD200" s="497"/>
      <c r="BE200" s="497"/>
      <c r="BF200" s="1195" t="s">
        <v>647</v>
      </c>
    </row>
    <row s="1619" customFormat="1" customHeight="1" ht="16.5">
      <c r="A201" s="1183"/>
      <c r="B201" s="924"/>
      <c r="C201" s="1461"/>
      <c r="D201" s="1461"/>
      <c r="E201" s="794">
        <v>17.1</v>
      </c>
      <c r="F201" s="919" cm="1" t="str">
        <f t="array" ref="F201:F201">OFFSET(G201,-1,-1)</f>
        <v>2</v>
      </c>
      <c r="G201" s="497"/>
      <c r="H201" s="497"/>
      <c r="I201" s="497"/>
      <c r="J201" s="497"/>
      <c r="K201" s="497"/>
      <c r="L201" s="497"/>
      <c r="M201" s="497"/>
      <c r="N201" s="497"/>
      <c r="O201" s="497"/>
      <c r="P201" s="497"/>
      <c r="Q201" s="497"/>
      <c r="R201" s="497"/>
      <c r="S201" s="497"/>
      <c r="T201" s="805" cm="1" t="str">
        <f t="array" ref="T201:T201">T200</f>
        <v>true</v>
      </c>
      <c r="U201" s="1461"/>
      <c r="V201" s="1461"/>
      <c r="W201" s="1461"/>
      <c r="X201" s="1461"/>
      <c r="Y201" s="1461"/>
      <c r="Z201" s="1461"/>
      <c r="AA201" s="497"/>
      <c r="AB201" s="844" t="str">
        <f>AB194&amp;".3"</f>
        <v>6.1.3</v>
      </c>
      <c r="AC201" s="1106" t="s">
        <v>648</v>
      </c>
      <c r="AD201" s="410" t="s">
        <v>591</v>
      </c>
      <c r="AE201" s="364">
        <f>AE194-AE195-AE196</f>
        <v>0</v>
      </c>
      <c r="AF201" s="364">
        <f>AF194-AF195-AF196</f>
        <v>0</v>
      </c>
      <c r="AG201" s="364">
        <f>AG194-AG195-AG196</f>
        <v>0</v>
      </c>
      <c r="AH201" s="364">
        <f>AH194-AH195-AH196</f>
        <v>0</v>
      </c>
      <c r="AI201" s="364">
        <f>AI194-AI195-AI196</f>
        <v>1370</v>
      </c>
      <c r="AJ201" s="364">
        <f>AJ194-AJ195-AJ196</f>
        <v>1370</v>
      </c>
      <c r="AK201" s="364">
        <f>AK194-AK195-AK196</f>
        <v>1370</v>
      </c>
      <c r="AL201" s="364">
        <f>AL194-AL195-AL196</f>
        <v>1370</v>
      </c>
      <c r="AM201" s="364">
        <f>AM194-AM195-AM196</f>
        <v>1370</v>
      </c>
      <c r="AN201" s="364">
        <f>AN194-AN195-AN196</f>
        <v>1370</v>
      </c>
      <c r="AO201" s="364">
        <f>AO194-AO195-AO196</f>
        <v>1370</v>
      </c>
      <c r="AP201" s="364">
        <f>AP194-AP195-AP196</f>
        <v>1370</v>
      </c>
      <c r="AQ201" s="364">
        <f>AQ194-AQ195-AQ196</f>
        <v>1370</v>
      </c>
      <c r="AR201" s="364">
        <f>AR194-AR195-AR196</f>
        <v>1370</v>
      </c>
      <c r="AS201" s="364">
        <f>AS194-AS195-AS196</f>
        <v>1370</v>
      </c>
      <c r="AT201" s="364">
        <f>AT194-AT195-AT196</f>
        <v>1370</v>
      </c>
      <c r="AU201" s="364">
        <f>AU194-AU195-AU196</f>
        <v>1370</v>
      </c>
      <c r="AV201" s="364">
        <f>AV194-AV195-AV196</f>
        <v>1370</v>
      </c>
      <c r="AW201" s="364">
        <f>AW194-AW195-AW196</f>
        <v>1370</v>
      </c>
      <c r="AX201" s="364">
        <f>AX194-AX195-AX196</f>
        <v>0</v>
      </c>
      <c r="AY201" s="364">
        <f>AY194-AY195-AY196</f>
        <v>0</v>
      </c>
      <c r="AZ201" s="364">
        <f>AZ194-AZ195-AZ196</f>
        <v>0</v>
      </c>
      <c r="BA201" s="364">
        <f>BA194-BA195-BA196</f>
        <v>0</v>
      </c>
      <c r="BB201" s="364">
        <f>BB194-BB195-BB196</f>
        <v>0</v>
      </c>
      <c r="BC201" s="1742"/>
      <c r="BD201" s="497"/>
      <c r="BE201" s="497"/>
      <c r="BF201" s="1195" t="s">
        <v>649</v>
      </c>
    </row>
    <row s="1619" customFormat="1" customHeight="1" ht="16.5">
      <c r="A202" s="1183"/>
      <c r="B202" s="924"/>
      <c r="C202" s="1461"/>
      <c r="D202" s="1461"/>
      <c r="E202" s="794">
        <v>17.1</v>
      </c>
      <c r="F202" s="919" cm="1" t="str">
        <f t="array" ref="F202:F202">OFFSET(G202,-1,-1)</f>
        <v>2</v>
      </c>
      <c r="G202" s="497"/>
      <c r="H202" s="497"/>
      <c r="I202" s="497"/>
      <c r="J202" s="497"/>
      <c r="K202" s="497"/>
      <c r="L202" s="497"/>
      <c r="M202" s="497"/>
      <c r="N202" s="497"/>
      <c r="O202" s="497"/>
      <c r="P202" s="497"/>
      <c r="Q202" s="497"/>
      <c r="R202" s="497"/>
      <c r="S202" s="497"/>
      <c r="T202" s="805" cm="1" t="str">
        <f t="array" ref="T202:T202">T201</f>
        <v>true</v>
      </c>
      <c r="U202" s="1461"/>
      <c r="V202" s="1461"/>
      <c r="W202" s="1461"/>
      <c r="X202" s="1461"/>
      <c r="Y202" s="1461"/>
      <c r="Z202" s="1461"/>
      <c r="AA202" s="497"/>
      <c r="AB202" s="844" t="str">
        <f>AB193&amp;".2"</f>
        <v>6.2</v>
      </c>
      <c r="AC202" s="556" t="s">
        <v>597</v>
      </c>
      <c r="AD202" s="410" t="s">
        <v>591</v>
      </c>
      <c r="AE202" s="1731"/>
      <c r="AF202" s="1731"/>
      <c r="AG202" s="1731"/>
      <c r="AH202" s="1731"/>
      <c r="AI202" s="296"/>
      <c r="AJ202" s="296"/>
      <c r="AK202" s="296"/>
      <c r="AL202" s="296"/>
      <c r="AM202" s="296"/>
      <c r="AN202" s="1731"/>
      <c r="AO202" s="1731"/>
      <c r="AP202" s="1731"/>
      <c r="AQ202" s="1731"/>
      <c r="AR202" s="1731"/>
      <c r="AS202" s="296"/>
      <c r="AT202" s="296"/>
      <c r="AU202" s="296"/>
      <c r="AV202" s="296"/>
      <c r="AW202" s="296"/>
      <c r="AX202" s="1731"/>
      <c r="AY202" s="1731"/>
      <c r="AZ202" s="1731"/>
      <c r="BA202" s="1731"/>
      <c r="BB202" s="1731"/>
      <c r="BC202" s="1742"/>
      <c r="BD202" s="497"/>
      <c r="BE202" s="497"/>
      <c r="BF202" s="1195" t="s">
        <v>650</v>
      </c>
    </row>
    <row s="1619" customFormat="1" customHeight="1" ht="16.5">
      <c r="A203" s="1183"/>
      <c r="B203" s="924"/>
      <c r="C203" s="1461"/>
      <c r="D203" s="1461"/>
      <c r="E203" s="794">
        <v>17.1</v>
      </c>
      <c r="F203" s="919" cm="1" t="str">
        <f t="array" ref="F203:F203">OFFSET(G203,-1,-1)</f>
        <v>2</v>
      </c>
      <c r="G203" s="497"/>
      <c r="H203" s="497"/>
      <c r="I203" s="497"/>
      <c r="J203" s="497"/>
      <c r="K203" s="497"/>
      <c r="L203" s="497"/>
      <c r="M203" s="497"/>
      <c r="N203" s="497"/>
      <c r="O203" s="497"/>
      <c r="P203" s="497"/>
      <c r="Q203" s="497"/>
      <c r="R203" s="497"/>
      <c r="S203" s="497"/>
      <c r="T203" s="805" cm="1" t="str">
        <f t="array" ref="T203:T203">T202</f>
        <v>true</v>
      </c>
      <c r="U203" s="1461"/>
      <c r="V203" s="1461"/>
      <c r="W203" s="1461"/>
      <c r="X203" s="1461"/>
      <c r="Y203" s="1461"/>
      <c r="Z203" s="1461"/>
      <c r="AA203" s="497"/>
      <c r="AB203" s="565" t="s">
        <v>651</v>
      </c>
      <c r="AC203" s="566" t="s">
        <v>652</v>
      </c>
      <c r="AD203" s="410" t="s">
        <v>591</v>
      </c>
      <c r="AE203" s="364">
        <f>SUM(AE204:AE205)</f>
        <v>0</v>
      </c>
      <c r="AF203" s="364">
        <f>SUM(AF204:AF205)</f>
        <v>0</v>
      </c>
      <c r="AG203" s="364">
        <f>SUM(AG204:AG205)</f>
        <v>0</v>
      </c>
      <c r="AH203" s="364">
        <f>SUM(AH204:AH205)</f>
        <v>0</v>
      </c>
      <c r="AI203" s="364">
        <f>SUM(AI204:AI205)</f>
        <v>1370</v>
      </c>
      <c r="AJ203" s="364">
        <f>SUM(AJ204:AJ205)</f>
        <v>1370</v>
      </c>
      <c r="AK203" s="364">
        <f>SUM(AK204:AK205)</f>
        <v>1370</v>
      </c>
      <c r="AL203" s="364">
        <f>SUM(AL204:AL205)</f>
        <v>1370</v>
      </c>
      <c r="AM203" s="364">
        <f>SUM(AM204:AM205)</f>
        <v>1370</v>
      </c>
      <c r="AN203" s="364">
        <f>SUM(AN204:AN205)</f>
        <v>1370</v>
      </c>
      <c r="AO203" s="364">
        <f>SUM(AO204:AO205)</f>
        <v>1370</v>
      </c>
      <c r="AP203" s="364">
        <f>SUM(AP204:AP205)</f>
        <v>1370</v>
      </c>
      <c r="AQ203" s="364">
        <f>SUM(AQ204:AQ205)</f>
        <v>1370</v>
      </c>
      <c r="AR203" s="364">
        <f>SUM(AR204:AR205)</f>
        <v>1370</v>
      </c>
      <c r="AS203" s="364">
        <f>SUM(AS204:AS205)</f>
        <v>1370</v>
      </c>
      <c r="AT203" s="364">
        <f>SUM(AT204:AT205)</f>
        <v>1370</v>
      </c>
      <c r="AU203" s="364">
        <f>SUM(AU204:AU205)</f>
        <v>1370</v>
      </c>
      <c r="AV203" s="364">
        <f>SUM(AV204:AV205)</f>
        <v>1370</v>
      </c>
      <c r="AW203" s="364">
        <f>SUM(AW204:AW205)</f>
        <v>1370</v>
      </c>
      <c r="AX203" s="364">
        <f>SUM(AX204:AX205)</f>
        <v>0</v>
      </c>
      <c r="AY203" s="364">
        <f>SUM(AY204:AY205)</f>
        <v>0</v>
      </c>
      <c r="AZ203" s="364">
        <f>SUM(AZ204:AZ205)</f>
        <v>0</v>
      </c>
      <c r="BA203" s="364">
        <f>SUM(BA204:BA205)</f>
        <v>0</v>
      </c>
      <c r="BB203" s="364">
        <f>SUM(BB204:BB205)</f>
        <v>0</v>
      </c>
      <c r="BC203" s="1742"/>
      <c r="BD203" s="497"/>
      <c r="BE203" s="497"/>
      <c r="BF203" s="1195" t="s">
        <v>653</v>
      </c>
    </row>
    <row s="1619" customFormat="1" customHeight="1" ht="16.5">
      <c r="A204" s="1183"/>
      <c r="B204" s="924"/>
      <c r="C204" s="1461"/>
      <c r="D204" s="1461"/>
      <c r="E204" s="794">
        <v>17.1</v>
      </c>
      <c r="F204" s="919" cm="1" t="str">
        <f t="array" ref="F204:F204">OFFSET(G204,-1,-1)</f>
        <v>2</v>
      </c>
      <c r="G204" s="497"/>
      <c r="H204" s="497"/>
      <c r="I204" s="497"/>
      <c r="J204" s="497"/>
      <c r="K204" s="497"/>
      <c r="L204" s="497"/>
      <c r="M204" s="497"/>
      <c r="N204" s="497"/>
      <c r="O204" s="497"/>
      <c r="P204" s="497"/>
      <c r="Q204" s="497"/>
      <c r="R204" s="497"/>
      <c r="S204" s="497"/>
      <c r="T204" s="805" cm="1" t="str">
        <f t="array" ref="T204:T204">T203</f>
        <v>true</v>
      </c>
      <c r="U204" s="1461"/>
      <c r="V204" s="1461"/>
      <c r="W204" s="1461"/>
      <c r="X204" s="1461"/>
      <c r="Y204" s="1461"/>
      <c r="Z204" s="1461"/>
      <c r="AA204" s="497"/>
      <c r="AB204" s="844" t="str">
        <f>AB203&amp;".1"</f>
        <v>7.1</v>
      </c>
      <c r="AC204" s="556" t="s">
        <v>595</v>
      </c>
      <c r="AD204" s="410" t="s">
        <v>591</v>
      </c>
      <c r="AE204" s="364">
        <f>AE201+AE190</f>
        <v>0</v>
      </c>
      <c r="AF204" s="364">
        <f>AF201+AF190</f>
        <v>0</v>
      </c>
      <c r="AG204" s="364">
        <f>AG201+AG190</f>
        <v>0</v>
      </c>
      <c r="AH204" s="364">
        <f>AH201+AH190</f>
        <v>0</v>
      </c>
      <c r="AI204" s="364">
        <f>AI201+AI190</f>
        <v>1370</v>
      </c>
      <c r="AJ204" s="364">
        <f>AJ201+AJ190</f>
        <v>1370</v>
      </c>
      <c r="AK204" s="364">
        <f>AK201+AK190</f>
        <v>1370</v>
      </c>
      <c r="AL204" s="364">
        <f>AL201+AL190</f>
        <v>1370</v>
      </c>
      <c r="AM204" s="364">
        <f>AM201+AM190</f>
        <v>1370</v>
      </c>
      <c r="AN204" s="364">
        <f>AN201+AN190</f>
        <v>1370</v>
      </c>
      <c r="AO204" s="364">
        <f>AO201+AO190</f>
        <v>1370</v>
      </c>
      <c r="AP204" s="364">
        <f>AP201+AP190</f>
        <v>1370</v>
      </c>
      <c r="AQ204" s="364">
        <f>AQ201+AQ190</f>
        <v>1370</v>
      </c>
      <c r="AR204" s="364">
        <f>AR201+AR190</f>
        <v>1370</v>
      </c>
      <c r="AS204" s="364">
        <f>AS201+AS190</f>
        <v>1370</v>
      </c>
      <c r="AT204" s="364">
        <f>AT201+AT190</f>
        <v>1370</v>
      </c>
      <c r="AU204" s="364">
        <f>AU201+AU190</f>
        <v>1370</v>
      </c>
      <c r="AV204" s="364">
        <f>AV201+AV190</f>
        <v>1370</v>
      </c>
      <c r="AW204" s="364">
        <f>AW201+AW190</f>
        <v>1370</v>
      </c>
      <c r="AX204" s="364">
        <f>AX201+AX190</f>
        <v>0</v>
      </c>
      <c r="AY204" s="364">
        <f>AY201+AY190</f>
        <v>0</v>
      </c>
      <c r="AZ204" s="364">
        <f>AZ201+AZ190</f>
        <v>0</v>
      </c>
      <c r="BA204" s="364">
        <f>BA201+BA190</f>
        <v>0</v>
      </c>
      <c r="BB204" s="364">
        <f>BB201+BB190</f>
        <v>0</v>
      </c>
      <c r="BC204" s="1742"/>
      <c r="BD204" s="497"/>
      <c r="BE204" s="497"/>
      <c r="BF204" s="1195" t="s">
        <v>654</v>
      </c>
    </row>
    <row s="1619" customFormat="1" customHeight="1" ht="16.5">
      <c r="A205" s="1183"/>
      <c r="B205" s="924"/>
      <c r="C205" s="1461"/>
      <c r="D205" s="1461"/>
      <c r="E205" s="794">
        <v>17.1</v>
      </c>
      <c r="F205" s="919" cm="1" t="str">
        <f t="array" ref="F205:F205">OFFSET(G205,-1,-1)</f>
        <v>2</v>
      </c>
      <c r="G205" s="497"/>
      <c r="H205" s="497"/>
      <c r="I205" s="497"/>
      <c r="J205" s="497"/>
      <c r="K205" s="497"/>
      <c r="L205" s="497"/>
      <c r="M205" s="497"/>
      <c r="N205" s="497"/>
      <c r="O205" s="497"/>
      <c r="P205" s="497"/>
      <c r="Q205" s="497"/>
      <c r="R205" s="497"/>
      <c r="S205" s="497"/>
      <c r="T205" s="805" cm="1" t="str">
        <f t="array" ref="T205:T205">T204</f>
        <v>true</v>
      </c>
      <c r="U205" s="1461"/>
      <c r="V205" s="1461"/>
      <c r="W205" s="1461"/>
      <c r="X205" s="1461"/>
      <c r="Y205" s="1461"/>
      <c r="Z205" s="1461"/>
      <c r="AA205" s="497"/>
      <c r="AB205" s="844" t="str">
        <f>AB203&amp;".2"</f>
        <v>7.2</v>
      </c>
      <c r="AC205" s="556" t="s">
        <v>597</v>
      </c>
      <c r="AD205" s="410" t="s">
        <v>591</v>
      </c>
      <c r="AE205" s="364">
        <f>AE202+AE191</f>
        <v>0</v>
      </c>
      <c r="AF205" s="364">
        <f>AF202+AF191</f>
        <v>0</v>
      </c>
      <c r="AG205" s="364">
        <f>AG202+AG191</f>
        <v>0</v>
      </c>
      <c r="AH205" s="364">
        <f>AH202+AH191</f>
        <v>0</v>
      </c>
      <c r="AI205" s="364">
        <f>AI202+AI191</f>
        <v>0</v>
      </c>
      <c r="AJ205" s="364">
        <f>AJ202+AJ191</f>
        <v>0</v>
      </c>
      <c r="AK205" s="364">
        <f>AK202+AK191</f>
        <v>0</v>
      </c>
      <c r="AL205" s="364">
        <f>AL202+AL191</f>
        <v>0</v>
      </c>
      <c r="AM205" s="364">
        <f>AM202+AM191</f>
        <v>0</v>
      </c>
      <c r="AN205" s="364">
        <f>AN202+AN191</f>
        <v>0</v>
      </c>
      <c r="AO205" s="364">
        <f>AO202+AO191</f>
        <v>0</v>
      </c>
      <c r="AP205" s="364">
        <f>AP202+AP191</f>
        <v>0</v>
      </c>
      <c r="AQ205" s="364">
        <f>AQ202+AQ191</f>
        <v>0</v>
      </c>
      <c r="AR205" s="364">
        <f>AR202+AR191</f>
        <v>0</v>
      </c>
      <c r="AS205" s="364">
        <f>AS202+AS191</f>
        <v>0</v>
      </c>
      <c r="AT205" s="364">
        <f>AT202+AT191</f>
        <v>0</v>
      </c>
      <c r="AU205" s="364">
        <f>AU202+AU191</f>
        <v>0</v>
      </c>
      <c r="AV205" s="364">
        <f>AV202+AV191</f>
        <v>0</v>
      </c>
      <c r="AW205" s="364">
        <f>AW202+AW191</f>
        <v>0</v>
      </c>
      <c r="AX205" s="364">
        <f>AX202+AX191</f>
        <v>0</v>
      </c>
      <c r="AY205" s="364">
        <f>AY202+AY191</f>
        <v>0</v>
      </c>
      <c r="AZ205" s="364">
        <f>AZ202+AZ191</f>
        <v>0</v>
      </c>
      <c r="BA205" s="364">
        <f>BA202+BA191</f>
        <v>0</v>
      </c>
      <c r="BB205" s="364">
        <f>BB202+BB191</f>
        <v>0</v>
      </c>
      <c r="BC205" s="1742"/>
      <c r="BD205" s="497"/>
      <c r="BE205" s="497"/>
      <c r="BF205" s="1195" t="s">
        <v>655</v>
      </c>
    </row>
    <row s="1619" customFormat="1" customHeight="1" ht="33">
      <c r="A206" s="1183"/>
      <c r="B206" s="924"/>
      <c r="C206" s="1461"/>
      <c r="D206" s="1461"/>
      <c r="E206" s="794">
        <v>34.5</v>
      </c>
      <c r="F206" s="919" cm="1" t="str">
        <f t="array" ref="F206:F206">OFFSET(G206,-1,-1)</f>
        <v>2</v>
      </c>
      <c r="G206" s="497"/>
      <c r="H206" s="497"/>
      <c r="I206" s="497"/>
      <c r="J206" s="497"/>
      <c r="K206" s="497"/>
      <c r="L206" s="497"/>
      <c r="M206" s="497"/>
      <c r="N206" s="497"/>
      <c r="O206" s="497"/>
      <c r="P206" s="497"/>
      <c r="Q206" s="497"/>
      <c r="R206" s="497"/>
      <c r="S206" s="497"/>
      <c r="T206" s="805" cm="1" t="str">
        <f t="array" ref="T206:T206">T205</f>
        <v>true</v>
      </c>
      <c r="U206" s="1461"/>
      <c r="V206" s="1461"/>
      <c r="W206" s="1461"/>
      <c r="X206" s="1461"/>
      <c r="Y206" s="1461"/>
      <c r="Z206" s="1461"/>
      <c r="AA206" s="497"/>
      <c r="AB206" s="565" t="s">
        <v>656</v>
      </c>
      <c r="AC206" s="566" t="s">
        <v>657</v>
      </c>
      <c r="AD206" s="410" t="s">
        <v>591</v>
      </c>
      <c r="AE206" s="364">
        <f>SUM(AE207,AE209)</f>
        <v>0</v>
      </c>
      <c r="AF206" s="364">
        <f>SUM(AF207,AF209)</f>
        <v>0</v>
      </c>
      <c r="AG206" s="364">
        <f>SUM(AG207,AG209)</f>
        <v>0</v>
      </c>
      <c r="AH206" s="364">
        <f>SUM(AH207,AH209)</f>
        <v>0</v>
      </c>
      <c r="AI206" s="364">
        <f>SUM(AI207,AI209)</f>
        <v>0</v>
      </c>
      <c r="AJ206" s="364">
        <f>SUM(AJ207,AJ209)</f>
        <v>0</v>
      </c>
      <c r="AK206" s="364">
        <f>SUM(AK207,AK209)</f>
        <v>0</v>
      </c>
      <c r="AL206" s="364">
        <f>SUM(AL207,AL209)</f>
        <v>0</v>
      </c>
      <c r="AM206" s="364">
        <f>SUM(AM207,AM209)</f>
        <v>0</v>
      </c>
      <c r="AN206" s="364">
        <f>SUM(AN207,AN209)</f>
        <v>0</v>
      </c>
      <c r="AO206" s="364">
        <f>SUM(AO207,AO209)</f>
        <v>0</v>
      </c>
      <c r="AP206" s="364">
        <f>SUM(AP207,AP209)</f>
        <v>0</v>
      </c>
      <c r="AQ206" s="364">
        <f>SUM(AQ207,AQ209)</f>
        <v>0</v>
      </c>
      <c r="AR206" s="364">
        <f>SUM(AR207,AR209)</f>
        <v>0</v>
      </c>
      <c r="AS206" s="364">
        <f>SUM(AS207,AS209)</f>
        <v>0</v>
      </c>
      <c r="AT206" s="364">
        <f>SUM(AT207,AT209)</f>
        <v>0</v>
      </c>
      <c r="AU206" s="364">
        <f>SUM(AU207,AU209)</f>
        <v>0</v>
      </c>
      <c r="AV206" s="364">
        <f>SUM(AV207,AV209)</f>
        <v>0</v>
      </c>
      <c r="AW206" s="364">
        <f>SUM(AW207,AW209)</f>
        <v>0</v>
      </c>
      <c r="AX206" s="364">
        <f>SUM(AX207,AX209)</f>
        <v>0</v>
      </c>
      <c r="AY206" s="364">
        <f>SUM(AY207,AY209)</f>
        <v>0</v>
      </c>
      <c r="AZ206" s="364">
        <f>SUM(AZ207,AZ209)</f>
        <v>0</v>
      </c>
      <c r="BA206" s="364">
        <f>SUM(BA207,BA209)</f>
        <v>0</v>
      </c>
      <c r="BB206" s="364">
        <f>SUM(BB207,BB209)</f>
        <v>0</v>
      </c>
      <c r="BC206" s="1742"/>
      <c r="BD206" s="497"/>
      <c r="BE206" s="497"/>
      <c r="BF206" s="1195" t="s">
        <v>658</v>
      </c>
    </row>
    <row s="1619" customFormat="1" customHeight="1" ht="16.5">
      <c r="A207" s="1183"/>
      <c r="B207" s="924"/>
      <c r="C207" s="1461"/>
      <c r="D207" s="1461"/>
      <c r="E207" s="794">
        <v>17.1</v>
      </c>
      <c r="F207" s="919" cm="1" t="str">
        <f t="array" ref="F207:F207">OFFSET(G207,-1,-1)</f>
        <v>2</v>
      </c>
      <c r="G207" s="497"/>
      <c r="H207" s="497"/>
      <c r="I207" s="497"/>
      <c r="J207" s="497"/>
      <c r="K207" s="497"/>
      <c r="L207" s="497"/>
      <c r="M207" s="497"/>
      <c r="N207" s="497"/>
      <c r="O207" s="497"/>
      <c r="P207" s="497"/>
      <c r="Q207" s="497"/>
      <c r="R207" s="497"/>
      <c r="S207" s="497"/>
      <c r="T207" s="805" cm="1" t="str">
        <f t="array" ref="T207:T207">T206</f>
        <v>true</v>
      </c>
      <c r="U207" s="1461"/>
      <c r="V207" s="1461"/>
      <c r="W207" s="1461"/>
      <c r="X207" s="1461"/>
      <c r="Y207" s="1461"/>
      <c r="Z207" s="1461"/>
      <c r="AA207" s="497"/>
      <c r="AB207" s="844" t="str">
        <f>AB206&amp;".1"</f>
        <v>8.1</v>
      </c>
      <c r="AC207" s="556" t="s">
        <v>595</v>
      </c>
      <c r="AD207" s="410" t="s">
        <v>591</v>
      </c>
      <c r="AE207" s="1731"/>
      <c r="AF207" s="1731"/>
      <c r="AG207" s="1731"/>
      <c r="AH207" s="1731"/>
      <c r="AI207" s="296"/>
      <c r="AJ207" s="296"/>
      <c r="AK207" s="296"/>
      <c r="AL207" s="296"/>
      <c r="AM207" s="296"/>
      <c r="AN207" s="1731"/>
      <c r="AO207" s="1731"/>
      <c r="AP207" s="1731"/>
      <c r="AQ207" s="1731"/>
      <c r="AR207" s="1731"/>
      <c r="AS207" s="296"/>
      <c r="AT207" s="296"/>
      <c r="AU207" s="296"/>
      <c r="AV207" s="296"/>
      <c r="AW207" s="296"/>
      <c r="AX207" s="1731"/>
      <c r="AY207" s="1731"/>
      <c r="AZ207" s="1731"/>
      <c r="BA207" s="1731"/>
      <c r="BB207" s="1731"/>
      <c r="BC207" s="1742"/>
      <c r="BD207" s="497"/>
      <c r="BE207" s="497"/>
      <c r="BF207" s="1195" t="s">
        <v>659</v>
      </c>
    </row>
    <row s="1619" customFormat="1" customHeight="1" ht="16.5">
      <c r="A208" s="1183"/>
      <c r="B208" s="924"/>
      <c r="C208" s="1461"/>
      <c r="D208" s="1461"/>
      <c r="E208" s="794">
        <v>17.1</v>
      </c>
      <c r="F208" s="919" cm="1" t="str">
        <f t="array" ref="F208:F208">OFFSET(G208,-1,-1)</f>
        <v>2</v>
      </c>
      <c r="G208" s="497"/>
      <c r="H208" s="497"/>
      <c r="I208" s="497"/>
      <c r="J208" s="497"/>
      <c r="K208" s="497"/>
      <c r="L208" s="497"/>
      <c r="M208" s="497"/>
      <c r="N208" s="497"/>
      <c r="O208" s="497"/>
      <c r="P208" s="497"/>
      <c r="Q208" s="497"/>
      <c r="R208" s="497"/>
      <c r="S208" s="497"/>
      <c r="T208" s="805" cm="1" t="str">
        <f t="array" ref="T208:T208">T207</f>
        <v>true</v>
      </c>
      <c r="U208" s="1461"/>
      <c r="V208" s="1461"/>
      <c r="W208" s="1461"/>
      <c r="X208" s="1461"/>
      <c r="Y208" s="1461"/>
      <c r="Z208" s="1461"/>
      <c r="AA208" s="497"/>
      <c r="AB208" s="844" t="str">
        <f>AB207&amp;".1"</f>
        <v>8.1.1</v>
      </c>
      <c r="AC208" s="680" t="s">
        <v>660</v>
      </c>
      <c r="AD208" s="410" t="s">
        <v>490</v>
      </c>
      <c r="AE208" s="1041">
        <f>_xlfn.IFERROR(AE207/AE204,0)</f>
        <v>0</v>
      </c>
      <c r="AF208" s="1041">
        <f>_xlfn.IFERROR(AF207/AF204,0)</f>
        <v>0</v>
      </c>
      <c r="AG208" s="1041">
        <f>_xlfn.IFERROR(AG207/AG204,0)</f>
        <v>0</v>
      </c>
      <c r="AH208" s="1041">
        <f>_xlfn.IFERROR(AH207/AH204,0)</f>
        <v>0</v>
      </c>
      <c r="AI208" s="1041">
        <f>_xlfn.IFERROR(AI207/AI204,0)</f>
        <v>0</v>
      </c>
      <c r="AJ208" s="1041">
        <f>_xlfn.IFERROR(AJ207/AJ204,0)</f>
        <v>0</v>
      </c>
      <c r="AK208" s="1041">
        <f>_xlfn.IFERROR(AK207/AK204,0)</f>
        <v>0</v>
      </c>
      <c r="AL208" s="1041">
        <f>_xlfn.IFERROR(AL207/AL204,0)</f>
        <v>0</v>
      </c>
      <c r="AM208" s="1041">
        <f>_xlfn.IFERROR(AM207/AM204,0)</f>
        <v>0</v>
      </c>
      <c r="AN208" s="1041">
        <f>_xlfn.IFERROR(AN207/AN204,0)</f>
        <v>0</v>
      </c>
      <c r="AO208" s="1041">
        <f>_xlfn.IFERROR(AO207/AO204,0)</f>
        <v>0</v>
      </c>
      <c r="AP208" s="1041">
        <f>_xlfn.IFERROR(AP207/AP204,0)</f>
        <v>0</v>
      </c>
      <c r="AQ208" s="1041">
        <f>_xlfn.IFERROR(AQ207/AQ204,0)</f>
        <v>0</v>
      </c>
      <c r="AR208" s="1041">
        <f>_xlfn.IFERROR(AR207/AR204,0)</f>
        <v>0</v>
      </c>
      <c r="AS208" s="1041">
        <f>_xlfn.IFERROR(AS207/AS204,0)</f>
        <v>0</v>
      </c>
      <c r="AT208" s="1041">
        <f>_xlfn.IFERROR(AT207/AT204,0)</f>
        <v>0</v>
      </c>
      <c r="AU208" s="1041">
        <f>_xlfn.IFERROR(AU207/AU204,0)</f>
        <v>0</v>
      </c>
      <c r="AV208" s="1041">
        <f>_xlfn.IFERROR(AV207/AV204,0)</f>
        <v>0</v>
      </c>
      <c r="AW208" s="1041">
        <f>_xlfn.IFERROR(AW207/AW204,0)</f>
        <v>0</v>
      </c>
      <c r="AX208" s="1041">
        <f>_xlfn.IFERROR(AX207/AX204,0)</f>
        <v>0</v>
      </c>
      <c r="AY208" s="1041">
        <f>_xlfn.IFERROR(AY207/AY204,0)</f>
        <v>0</v>
      </c>
      <c r="AZ208" s="1041">
        <f>_xlfn.IFERROR(AZ207/AZ204,0)</f>
        <v>0</v>
      </c>
      <c r="BA208" s="1041">
        <f>_xlfn.IFERROR(BA207/BA204,0)</f>
        <v>0</v>
      </c>
      <c r="BB208" s="1041">
        <f>_xlfn.IFERROR(BB207/BB204,0)</f>
        <v>0</v>
      </c>
      <c r="BC208" s="1742"/>
      <c r="BD208" s="497"/>
      <c r="BE208" s="497"/>
      <c r="BF208" s="1195" t="s">
        <v>661</v>
      </c>
    </row>
    <row s="1619" customFormat="1" customHeight="1" ht="16.5">
      <c r="A209" s="1183"/>
      <c r="B209" s="924"/>
      <c r="C209" s="1461"/>
      <c r="D209" s="1461"/>
      <c r="E209" s="794">
        <v>17.1</v>
      </c>
      <c r="F209" s="919" cm="1" t="str">
        <f t="array" ref="F209:F209">OFFSET(G209,-1,-1)</f>
        <v>2</v>
      </c>
      <c r="G209" s="497"/>
      <c r="H209" s="497"/>
      <c r="I209" s="497"/>
      <c r="J209" s="497"/>
      <c r="K209" s="497"/>
      <c r="L209" s="497"/>
      <c r="M209" s="497"/>
      <c r="N209" s="497"/>
      <c r="O209" s="497"/>
      <c r="P209" s="497"/>
      <c r="Q209" s="497"/>
      <c r="R209" s="497"/>
      <c r="S209" s="497"/>
      <c r="T209" s="805" cm="1" t="str">
        <f t="array" ref="T209:T209">T208</f>
        <v>true</v>
      </c>
      <c r="U209" s="1461"/>
      <c r="V209" s="1461"/>
      <c r="W209" s="1461"/>
      <c r="X209" s="1461"/>
      <c r="Y209" s="1461"/>
      <c r="Z209" s="1461"/>
      <c r="AA209" s="497"/>
      <c r="AB209" s="844" t="str">
        <f>AB206&amp;".2"</f>
        <v>8.2</v>
      </c>
      <c r="AC209" s="556" t="s">
        <v>597</v>
      </c>
      <c r="AD209" s="410" t="s">
        <v>591</v>
      </c>
      <c r="AE209" s="1731"/>
      <c r="AF209" s="1731"/>
      <c r="AG209" s="1731"/>
      <c r="AH209" s="1731"/>
      <c r="AI209" s="296"/>
      <c r="AJ209" s="296"/>
      <c r="AK209" s="296"/>
      <c r="AL209" s="296"/>
      <c r="AM209" s="296"/>
      <c r="AN209" s="1731"/>
      <c r="AO209" s="1731"/>
      <c r="AP209" s="1731"/>
      <c r="AQ209" s="1731"/>
      <c r="AR209" s="1731"/>
      <c r="AS209" s="296"/>
      <c r="AT209" s="296"/>
      <c r="AU209" s="296"/>
      <c r="AV209" s="296"/>
      <c r="AW209" s="296"/>
      <c r="AX209" s="1731"/>
      <c r="AY209" s="1731"/>
      <c r="AZ209" s="1731"/>
      <c r="BA209" s="1731"/>
      <c r="BB209" s="1731"/>
      <c r="BC209" s="1742"/>
      <c r="BD209" s="497"/>
      <c r="BE209" s="497"/>
      <c r="BF209" s="1195" t="s">
        <v>662</v>
      </c>
    </row>
    <row s="1619" customFormat="1" customHeight="1" ht="16.5">
      <c r="A210" s="1183"/>
      <c r="B210" s="924"/>
      <c r="C210" s="1461"/>
      <c r="D210" s="1461"/>
      <c r="E210" s="794">
        <v>17.1</v>
      </c>
      <c r="F210" s="919" cm="1" t="str">
        <f t="array" ref="F210:F210">OFFSET(G210,-1,-1)</f>
        <v>2</v>
      </c>
      <c r="G210" s="497"/>
      <c r="H210" s="497"/>
      <c r="I210" s="497"/>
      <c r="J210" s="497"/>
      <c r="K210" s="497"/>
      <c r="L210" s="497"/>
      <c r="M210" s="497"/>
      <c r="N210" s="497"/>
      <c r="O210" s="497"/>
      <c r="P210" s="497"/>
      <c r="Q210" s="497"/>
      <c r="R210" s="497"/>
      <c r="S210" s="497"/>
      <c r="T210" s="805" cm="1" t="str">
        <f t="array" ref="T210:T210">T209</f>
        <v>true</v>
      </c>
      <c r="U210" s="1461"/>
      <c r="V210" s="1461"/>
      <c r="W210" s="1461"/>
      <c r="X210" s="1461"/>
      <c r="Y210" s="1461"/>
      <c r="Z210" s="1461"/>
      <c r="AA210" s="497"/>
      <c r="AB210" s="844" t="str">
        <f>AB209&amp;".1"</f>
        <v>8.2.1</v>
      </c>
      <c r="AC210" s="680" t="s">
        <v>660</v>
      </c>
      <c r="AD210" s="167" t="s">
        <v>490</v>
      </c>
      <c r="AE210" s="1104">
        <f>_xlfn.IFERROR(AE209/AE205,0)</f>
        <v>0</v>
      </c>
      <c r="AF210" s="1104">
        <f>_xlfn.IFERROR(AF209/AF205,0)</f>
        <v>0</v>
      </c>
      <c r="AG210" s="1104">
        <f>_xlfn.IFERROR(AG209/AG205,0)</f>
        <v>0</v>
      </c>
      <c r="AH210" s="1104">
        <f>_xlfn.IFERROR(AH209/AH205,0)</f>
        <v>0</v>
      </c>
      <c r="AI210" s="1104">
        <f>_xlfn.IFERROR(AI209/AI205,0)</f>
        <v>0</v>
      </c>
      <c r="AJ210" s="1104">
        <f>_xlfn.IFERROR(AJ209/AJ205,0)</f>
        <v>0</v>
      </c>
      <c r="AK210" s="1104">
        <f>_xlfn.IFERROR(AK209/AK205,0)</f>
        <v>0</v>
      </c>
      <c r="AL210" s="1104">
        <f>_xlfn.IFERROR(AL209/AL205,0)</f>
        <v>0</v>
      </c>
      <c r="AM210" s="1104">
        <f>_xlfn.IFERROR(AM209/AM205,0)</f>
        <v>0</v>
      </c>
      <c r="AN210" s="1104">
        <f>_xlfn.IFERROR(AN209/AN205,0)</f>
        <v>0</v>
      </c>
      <c r="AO210" s="1104">
        <f>_xlfn.IFERROR(AO209/AO205,0)</f>
        <v>0</v>
      </c>
      <c r="AP210" s="1104">
        <f>_xlfn.IFERROR(AP209/AP205,0)</f>
        <v>0</v>
      </c>
      <c r="AQ210" s="1104">
        <f>_xlfn.IFERROR(AQ209/AQ205,0)</f>
        <v>0</v>
      </c>
      <c r="AR210" s="1104">
        <f>_xlfn.IFERROR(AR209/AR205,0)</f>
        <v>0</v>
      </c>
      <c r="AS210" s="1104">
        <f>_xlfn.IFERROR(AS209/AS205,0)</f>
        <v>0</v>
      </c>
      <c r="AT210" s="1104">
        <f>_xlfn.IFERROR(AT209/AT205,0)</f>
        <v>0</v>
      </c>
      <c r="AU210" s="1104">
        <f>_xlfn.IFERROR(AU209/AU205,0)</f>
        <v>0</v>
      </c>
      <c r="AV210" s="1104">
        <f>_xlfn.IFERROR(AV209/AV205,0)</f>
        <v>0</v>
      </c>
      <c r="AW210" s="1104">
        <f>_xlfn.IFERROR(AW209/AW205,0)</f>
        <v>0</v>
      </c>
      <c r="AX210" s="1104">
        <f>_xlfn.IFERROR(AX209/AX205,0)</f>
        <v>0</v>
      </c>
      <c r="AY210" s="1104">
        <f>_xlfn.IFERROR(AY209/AY205,0)</f>
        <v>0</v>
      </c>
      <c r="AZ210" s="1104">
        <f>_xlfn.IFERROR(AZ209/AZ205,0)</f>
        <v>0</v>
      </c>
      <c r="BA210" s="1104">
        <f>_xlfn.IFERROR(BA209/BA205,0)</f>
        <v>0</v>
      </c>
      <c r="BB210" s="1104">
        <f>_xlfn.IFERROR(BB209/BB205,0)</f>
        <v>0</v>
      </c>
      <c r="BC210" s="1743"/>
      <c r="BD210" s="497"/>
      <c r="BE210" s="497"/>
      <c r="BF210" s="1195" t="s">
        <v>663</v>
      </c>
    </row>
    <row s="1619" customFormat="1" customHeight="1" ht="16.5">
      <c r="A211" s="1183"/>
      <c r="B211" s="924"/>
      <c r="C211" s="1461"/>
      <c r="D211" s="1461"/>
      <c r="E211" s="794">
        <v>17.1</v>
      </c>
      <c r="F211" s="919" cm="1" t="str">
        <f t="array" ref="F211:F211">OFFSET(G211,-1,-1)</f>
        <v>2</v>
      </c>
      <c r="G211" s="497"/>
      <c r="H211" s="497"/>
      <c r="I211" s="497"/>
      <c r="J211" s="497"/>
      <c r="K211" s="497"/>
      <c r="L211" s="497"/>
      <c r="M211" s="497"/>
      <c r="N211" s="497"/>
      <c r="O211" s="497"/>
      <c r="P211" s="497"/>
      <c r="Q211" s="497"/>
      <c r="R211" s="497"/>
      <c r="S211" s="497"/>
      <c r="T211" s="805" cm="1" t="str">
        <f t="array" ref="T211:T211">T210</f>
        <v>true</v>
      </c>
      <c r="U211" s="1461"/>
      <c r="V211" s="1461"/>
      <c r="W211" s="1461"/>
      <c r="X211" s="1461"/>
      <c r="Y211" s="1461"/>
      <c r="Z211" s="1461"/>
      <c r="AA211" s="497"/>
      <c r="AB211" s="479" t="s">
        <v>664</v>
      </c>
      <c r="AC211" s="478" t="s">
        <v>665</v>
      </c>
      <c r="AD211" s="167" t="s">
        <v>591</v>
      </c>
      <c r="AE211" s="523">
        <f>AE203-AE206</f>
        <v>0</v>
      </c>
      <c r="AF211" s="523">
        <f>AF203-AF206</f>
        <v>0</v>
      </c>
      <c r="AG211" s="523">
        <f>AG203-AG206</f>
        <v>0</v>
      </c>
      <c r="AH211" s="523">
        <f>AH203-AH206</f>
        <v>0</v>
      </c>
      <c r="AI211" s="523">
        <f>AI203-AI206</f>
        <v>1370</v>
      </c>
      <c r="AJ211" s="523">
        <f>AJ203-AJ206</f>
        <v>1370</v>
      </c>
      <c r="AK211" s="523">
        <f>AK203-AK206</f>
        <v>1370</v>
      </c>
      <c r="AL211" s="523">
        <f>AL203-AL206</f>
        <v>1370</v>
      </c>
      <c r="AM211" s="523">
        <f>AM203-AM206</f>
        <v>1370</v>
      </c>
      <c r="AN211" s="523">
        <f>AN203-AN206</f>
        <v>1370</v>
      </c>
      <c r="AO211" s="523">
        <f>AO203-AO206</f>
        <v>1370</v>
      </c>
      <c r="AP211" s="523">
        <f>AP203-AP206</f>
        <v>1370</v>
      </c>
      <c r="AQ211" s="523">
        <f>AQ203-AQ206</f>
        <v>1370</v>
      </c>
      <c r="AR211" s="523">
        <f>AR203-AR206</f>
        <v>1370</v>
      </c>
      <c r="AS211" s="523">
        <f>AS203-AS206</f>
        <v>1370</v>
      </c>
      <c r="AT211" s="523">
        <f>AT203-AT206</f>
        <v>1370</v>
      </c>
      <c r="AU211" s="523">
        <f>AU203-AU206</f>
        <v>1370</v>
      </c>
      <c r="AV211" s="523">
        <f>AV203-AV206</f>
        <v>1370</v>
      </c>
      <c r="AW211" s="523">
        <f>AW203-AW206</f>
        <v>1370</v>
      </c>
      <c r="AX211" s="523">
        <f>AX203-AX206</f>
        <v>0</v>
      </c>
      <c r="AY211" s="523">
        <f>AY203-AY206</f>
        <v>0</v>
      </c>
      <c r="AZ211" s="523">
        <f>AZ203-AZ206</f>
        <v>0</v>
      </c>
      <c r="BA211" s="523">
        <f>BA203-BA206</f>
        <v>0</v>
      </c>
      <c r="BB211" s="523">
        <f>BB203-BB206</f>
        <v>0</v>
      </c>
      <c r="BC211" s="1730"/>
      <c r="BD211" s="497"/>
      <c r="BE211" s="497"/>
      <c r="BF211" s="1195" t="s">
        <v>666</v>
      </c>
    </row>
    <row s="1619" customFormat="1" customHeight="1" ht="16.5">
      <c r="A212" s="1183"/>
      <c r="B212" s="924"/>
      <c r="C212" s="1461"/>
      <c r="D212" s="1461"/>
      <c r="E212" s="794">
        <v>17.1</v>
      </c>
      <c r="F212" s="919" cm="1" t="str">
        <f t="array" ref="F212:F212">OFFSET(G212,-1,-1)</f>
        <v>2</v>
      </c>
      <c r="G212" s="497"/>
      <c r="H212" s="497"/>
      <c r="I212" s="497"/>
      <c r="J212" s="497"/>
      <c r="K212" s="497"/>
      <c r="L212" s="497"/>
      <c r="M212" s="497"/>
      <c r="N212" s="497"/>
      <c r="O212" s="497"/>
      <c r="P212" s="497"/>
      <c r="Q212" s="497"/>
      <c r="R212" s="497"/>
      <c r="S212" s="497"/>
      <c r="T212" s="805" cm="1" t="str">
        <f t="array" ref="T212:T212">T211</f>
        <v>true</v>
      </c>
      <c r="U212" s="1461"/>
      <c r="V212" s="1461"/>
      <c r="W212" s="1461"/>
      <c r="X212" s="1461"/>
      <c r="Y212" s="1461"/>
      <c r="Z212" s="1461"/>
      <c r="AA212" s="497"/>
      <c r="AB212" s="844" t="str">
        <f>AB211&amp;".1"</f>
        <v>9.1</v>
      </c>
      <c r="AC212" s="556" t="s">
        <v>595</v>
      </c>
      <c r="AD212" s="167" t="s">
        <v>591</v>
      </c>
      <c r="AE212" s="523">
        <f>AE204-AE207</f>
        <v>0</v>
      </c>
      <c r="AF212" s="523">
        <f>AF203-AF206</f>
        <v>0</v>
      </c>
      <c r="AG212" s="523">
        <f>AG203-AG206</f>
        <v>0</v>
      </c>
      <c r="AH212" s="523">
        <f>AH203-AH206</f>
        <v>0</v>
      </c>
      <c r="AI212" s="523">
        <f>AI203-AI206</f>
        <v>1370</v>
      </c>
      <c r="AJ212" s="523">
        <f>AJ203-AJ206</f>
        <v>1370</v>
      </c>
      <c r="AK212" s="523">
        <f>AK203-AK206</f>
        <v>1370</v>
      </c>
      <c r="AL212" s="523">
        <f>AL203-AL206</f>
        <v>1370</v>
      </c>
      <c r="AM212" s="523">
        <f>AM203-AM206</f>
        <v>1370</v>
      </c>
      <c r="AN212" s="523">
        <f>AN203-AN206</f>
        <v>1370</v>
      </c>
      <c r="AO212" s="523">
        <f>AO203-AO206</f>
        <v>1370</v>
      </c>
      <c r="AP212" s="523">
        <f>AP203-AP206</f>
        <v>1370</v>
      </c>
      <c r="AQ212" s="523">
        <f>AQ203-AQ206</f>
        <v>1370</v>
      </c>
      <c r="AR212" s="523">
        <f>AR203-AR206</f>
        <v>1370</v>
      </c>
      <c r="AS212" s="523">
        <f>AS203-AS206</f>
        <v>1370</v>
      </c>
      <c r="AT212" s="523">
        <f>AT203-AT206</f>
        <v>1370</v>
      </c>
      <c r="AU212" s="523">
        <f>AU203-AU206</f>
        <v>1370</v>
      </c>
      <c r="AV212" s="523">
        <f>AV203-AV206</f>
        <v>1370</v>
      </c>
      <c r="AW212" s="523">
        <f>AW203-AW206</f>
        <v>1370</v>
      </c>
      <c r="AX212" s="523">
        <f>AX203-AX206</f>
        <v>0</v>
      </c>
      <c r="AY212" s="523">
        <f>AY203-AY206</f>
        <v>0</v>
      </c>
      <c r="AZ212" s="523">
        <f>AZ203-AZ206</f>
        <v>0</v>
      </c>
      <c r="BA212" s="523">
        <f>BA203-BA206</f>
        <v>0</v>
      </c>
      <c r="BB212" s="523">
        <f>BB203-BB206</f>
        <v>0</v>
      </c>
      <c r="BC212" s="1730"/>
      <c r="BD212" s="497"/>
      <c r="BE212" s="497"/>
      <c r="BF212" s="1195" t="s">
        <v>667</v>
      </c>
    </row>
    <row s="1619" customFormat="1" customHeight="1" ht="16.5">
      <c r="A213" s="1183"/>
      <c r="B213" s="924"/>
      <c r="C213" s="1461"/>
      <c r="D213" s="1461"/>
      <c r="E213" s="794">
        <v>17.1</v>
      </c>
      <c r="F213" s="919" cm="1" t="str">
        <f t="array" ref="F213:F213">OFFSET(G213,-1,-1)</f>
        <v>2</v>
      </c>
      <c r="G213" s="497"/>
      <c r="H213" s="497"/>
      <c r="I213" s="497"/>
      <c r="J213" s="497"/>
      <c r="K213" s="497"/>
      <c r="L213" s="497"/>
      <c r="M213" s="497"/>
      <c r="N213" s="497"/>
      <c r="O213" s="497"/>
      <c r="P213" s="497"/>
      <c r="Q213" s="497"/>
      <c r="R213" s="497"/>
      <c r="S213" s="497"/>
      <c r="T213" s="805" cm="1" t="str">
        <f t="array" ref="T213:T213">T212</f>
        <v>true</v>
      </c>
      <c r="U213" s="1461"/>
      <c r="V213" s="1461"/>
      <c r="W213" s="1461"/>
      <c r="X213" s="1461"/>
      <c r="Y213" s="1461"/>
      <c r="Z213" s="1461"/>
      <c r="AA213" s="497"/>
      <c r="AB213" s="844" t="str">
        <f>AB212&amp;".1"</f>
        <v>9.1.1</v>
      </c>
      <c r="AC213" s="681" t="s">
        <v>636</v>
      </c>
      <c r="AD213" s="167" t="s">
        <v>591</v>
      </c>
      <c r="AE213" s="1737"/>
      <c r="AF213" s="1737"/>
      <c r="AG213" s="1737"/>
      <c r="AH213" s="1737"/>
      <c r="AI213" s="482">
        <v>333</v>
      </c>
      <c r="AJ213" s="482">
        <v>333</v>
      </c>
      <c r="AK213" s="482">
        <v>333</v>
      </c>
      <c r="AL213" s="482">
        <v>333</v>
      </c>
      <c r="AM213" s="482">
        <v>333</v>
      </c>
      <c r="AN213" s="1737">
        <v>333</v>
      </c>
      <c r="AO213" s="1737">
        <v>333</v>
      </c>
      <c r="AP213" s="1737">
        <v>333</v>
      </c>
      <c r="AQ213" s="1737">
        <v>333</v>
      </c>
      <c r="AR213" s="1737">
        <v>333</v>
      </c>
      <c r="AS213" s="482">
        <v>333</v>
      </c>
      <c r="AT213" s="482">
        <v>333</v>
      </c>
      <c r="AU213" s="482">
        <v>333</v>
      </c>
      <c r="AV213" s="482">
        <v>333</v>
      </c>
      <c r="AW213" s="482">
        <v>333</v>
      </c>
      <c r="AX213" s="1737"/>
      <c r="AY213" s="1737"/>
      <c r="AZ213" s="1737"/>
      <c r="BA213" s="1737"/>
      <c r="BB213" s="1737"/>
      <c r="BC213" s="1730"/>
      <c r="BD213" s="497"/>
      <c r="BE213" s="497"/>
      <c r="BF213" s="1195" t="s">
        <v>668</v>
      </c>
    </row>
    <row s="1619" customFormat="1" customHeight="1" ht="16.5">
      <c r="A214" s="1183"/>
      <c r="B214" s="924"/>
      <c r="C214" s="1461"/>
      <c r="D214" s="1461"/>
      <c r="E214" s="794">
        <v>17.1</v>
      </c>
      <c r="F214" s="919" cm="1" t="str">
        <f t="array" ref="F214:F214">OFFSET(G214,-1,-1)</f>
        <v>2</v>
      </c>
      <c r="G214" s="497"/>
      <c r="H214" s="497"/>
      <c r="I214" s="497"/>
      <c r="J214" s="497"/>
      <c r="K214" s="497"/>
      <c r="L214" s="497"/>
      <c r="M214" s="497"/>
      <c r="N214" s="497"/>
      <c r="O214" s="497"/>
      <c r="P214" s="497"/>
      <c r="Q214" s="497"/>
      <c r="R214" s="497"/>
      <c r="S214" s="497"/>
      <c r="T214" s="805" cm="1" t="str">
        <f t="array" ref="T214:T214">T213</f>
        <v>true</v>
      </c>
      <c r="U214" s="1461"/>
      <c r="V214" s="1461"/>
      <c r="W214" s="1461"/>
      <c r="X214" s="1461"/>
      <c r="Y214" s="1461"/>
      <c r="Z214" s="1461"/>
      <c r="AA214" s="497"/>
      <c r="AB214" s="844" t="str">
        <f>AB212&amp;".2"</f>
        <v>9.1.2</v>
      </c>
      <c r="AC214" s="682" t="s">
        <v>638</v>
      </c>
      <c r="AD214" s="167" t="s">
        <v>591</v>
      </c>
      <c r="AE214" s="1744">
        <f>AE215+AE216+AE217+AE218</f>
        <v>0</v>
      </c>
      <c r="AF214" s="1744">
        <f>AF215+AF216+AF217+AF218</f>
        <v>0</v>
      </c>
      <c r="AG214" s="1744">
        <f>AG215+AG216+AG217+AG218</f>
        <v>0</v>
      </c>
      <c r="AH214" s="1744">
        <f>AH215+AH216+AH217+AH218</f>
        <v>0</v>
      </c>
      <c r="AI214" s="1130">
        <f>AI215+AI216+AI217+AI218</f>
        <v>1037</v>
      </c>
      <c r="AJ214" s="1130">
        <f>AJ215+AJ216+AJ217+AJ218</f>
        <v>1037</v>
      </c>
      <c r="AK214" s="1130">
        <f>AK215+AK216+AK217+AK218</f>
        <v>1037</v>
      </c>
      <c r="AL214" s="1130">
        <f>AL215+AL216+AL217+AL218</f>
        <v>1037</v>
      </c>
      <c r="AM214" s="1130">
        <f>AM215+AM216+AM217+AM218</f>
        <v>1037</v>
      </c>
      <c r="AN214" s="1744">
        <f>AN215+AN216+AN217+AN218</f>
        <v>1037</v>
      </c>
      <c r="AO214" s="1744">
        <f>AO215+AO216+AO217+AO218</f>
        <v>1037</v>
      </c>
      <c r="AP214" s="1744">
        <f>AP215+AP216+AP217+AP218</f>
        <v>1037</v>
      </c>
      <c r="AQ214" s="1744">
        <f>AQ215+AQ216+AQ217+AQ218</f>
        <v>1037</v>
      </c>
      <c r="AR214" s="1744">
        <f>AR215+AR216+AR217+AR218</f>
        <v>1037</v>
      </c>
      <c r="AS214" s="1130">
        <f>AS215+AS216+AS217+AS218</f>
        <v>1037</v>
      </c>
      <c r="AT214" s="1130">
        <f>AT215+AT216+AT217+AT218</f>
        <v>1037</v>
      </c>
      <c r="AU214" s="1130">
        <f>AU215+AU216+AU217+AU218</f>
        <v>1037</v>
      </c>
      <c r="AV214" s="1130">
        <f>AV215+AV216+AV217+AV218</f>
        <v>1037</v>
      </c>
      <c r="AW214" s="1130">
        <f>AW215+AW216+AW217+AW218</f>
        <v>1037</v>
      </c>
      <c r="AX214" s="1744">
        <f>AX215+AX216+AX217+AX218</f>
        <v>0</v>
      </c>
      <c r="AY214" s="1744">
        <f>AY215+AY216+AY217+AY218</f>
        <v>0</v>
      </c>
      <c r="AZ214" s="1744">
        <f>AZ215+AZ216+AZ217+AZ218</f>
        <v>0</v>
      </c>
      <c r="BA214" s="1744">
        <f>BA215+BA216+BA217+BA218</f>
        <v>0</v>
      </c>
      <c r="BB214" s="1744">
        <f>BB215+BB216+BB217+BB218</f>
        <v>0</v>
      </c>
      <c r="BC214" s="1730"/>
      <c r="BD214" s="497"/>
      <c r="BE214" s="497"/>
      <c r="BF214" s="1195" t="s">
        <v>669</v>
      </c>
    </row>
    <row s="1619" customFormat="1" customHeight="1" ht="16.5">
      <c r="A215" s="1183"/>
      <c r="B215" s="924"/>
      <c r="C215" s="1461"/>
      <c r="D215" s="1461"/>
      <c r="E215" s="794">
        <v>17.1</v>
      </c>
      <c r="F215" s="919" cm="1" t="str">
        <f t="array" ref="F215:F215">OFFSET(G215,-1,-1)</f>
        <v>2</v>
      </c>
      <c r="G215" s="497"/>
      <c r="H215" s="497"/>
      <c r="I215" s="497"/>
      <c r="J215" s="497"/>
      <c r="K215" s="497"/>
      <c r="L215" s="497"/>
      <c r="M215" s="497"/>
      <c r="N215" s="497"/>
      <c r="O215" s="497"/>
      <c r="P215" s="497"/>
      <c r="Q215" s="497"/>
      <c r="R215" s="497"/>
      <c r="S215" s="497"/>
      <c r="T215" s="805" cm="1" t="str">
        <f t="array" ref="T215:T215">T214</f>
        <v>true</v>
      </c>
      <c r="U215" s="1461"/>
      <c r="V215" s="1461"/>
      <c r="W215" s="1461"/>
      <c r="X215" s="1461"/>
      <c r="Y215" s="1461"/>
      <c r="Z215" s="1461"/>
      <c r="AA215" s="497"/>
      <c r="AB215" s="844" t="str">
        <f>AB214&amp;".1"</f>
        <v>9.1.2.1</v>
      </c>
      <c r="AC215" s="683" t="s">
        <v>640</v>
      </c>
      <c r="AD215" s="410" t="s">
        <v>591</v>
      </c>
      <c r="AE215" s="1746"/>
      <c r="AF215" s="1746"/>
      <c r="AG215" s="1746"/>
      <c r="AH215" s="1746"/>
      <c r="AI215" s="560"/>
      <c r="AJ215" s="560"/>
      <c r="AK215" s="560"/>
      <c r="AL215" s="560"/>
      <c r="AM215" s="560"/>
      <c r="AN215" s="1746"/>
      <c r="AO215" s="1746"/>
      <c r="AP215" s="1746"/>
      <c r="AQ215" s="1746"/>
      <c r="AR215" s="1746"/>
      <c r="AS215" s="560"/>
      <c r="AT215" s="560"/>
      <c r="AU215" s="560"/>
      <c r="AV215" s="560"/>
      <c r="AW215" s="560"/>
      <c r="AX215" s="1746"/>
      <c r="AY215" s="1746"/>
      <c r="AZ215" s="1746"/>
      <c r="BA215" s="1746"/>
      <c r="BB215" s="1746"/>
      <c r="BC215" s="1730"/>
      <c r="BD215" s="497"/>
      <c r="BE215" s="497"/>
      <c r="BF215" s="1195" t="s">
        <v>670</v>
      </c>
    </row>
    <row s="1619" customFormat="1" customHeight="1" ht="16.5">
      <c r="A216" s="1183"/>
      <c r="B216" s="924"/>
      <c r="C216" s="1461"/>
      <c r="D216" s="1461"/>
      <c r="E216" s="794">
        <v>17.1</v>
      </c>
      <c r="F216" s="919" cm="1" t="str">
        <f t="array" ref="F216:F216">OFFSET(G216,-1,-1)</f>
        <v>2</v>
      </c>
      <c r="G216" s="497"/>
      <c r="H216" s="497"/>
      <c r="I216" s="497"/>
      <c r="J216" s="497"/>
      <c r="K216" s="497"/>
      <c r="L216" s="497"/>
      <c r="M216" s="497"/>
      <c r="N216" s="497"/>
      <c r="O216" s="497"/>
      <c r="P216" s="497"/>
      <c r="Q216" s="497"/>
      <c r="R216" s="497"/>
      <c r="S216" s="497"/>
      <c r="T216" s="805" cm="1" t="str">
        <f t="array" ref="T216:T216">T215</f>
        <v>true</v>
      </c>
      <c r="U216" s="1461"/>
      <c r="V216" s="1461"/>
      <c r="W216" s="1461"/>
      <c r="X216" s="1461"/>
      <c r="Y216" s="1461"/>
      <c r="Z216" s="1461"/>
      <c r="AA216" s="497"/>
      <c r="AB216" s="844" t="str">
        <f>AB214&amp;".2"</f>
        <v>9.1.2.2</v>
      </c>
      <c r="AC216" s="684" t="s">
        <v>642</v>
      </c>
      <c r="AD216" s="167" t="s">
        <v>591</v>
      </c>
      <c r="AE216" s="1737"/>
      <c r="AF216" s="1737"/>
      <c r="AG216" s="1737"/>
      <c r="AH216" s="1737"/>
      <c r="AI216" s="482"/>
      <c r="AJ216" s="482"/>
      <c r="AK216" s="482"/>
      <c r="AL216" s="482"/>
      <c r="AM216" s="482"/>
      <c r="AN216" s="1737"/>
      <c r="AO216" s="1737"/>
      <c r="AP216" s="1737"/>
      <c r="AQ216" s="1737"/>
      <c r="AR216" s="1737"/>
      <c r="AS216" s="482"/>
      <c r="AT216" s="482"/>
      <c r="AU216" s="482"/>
      <c r="AV216" s="482"/>
      <c r="AW216" s="482"/>
      <c r="AX216" s="1737"/>
      <c r="AY216" s="1737"/>
      <c r="AZ216" s="1737"/>
      <c r="BA216" s="1737"/>
      <c r="BB216" s="1737"/>
      <c r="BC216" s="1730"/>
      <c r="BD216" s="497"/>
      <c r="BE216" s="497"/>
      <c r="BF216" s="1195" t="s">
        <v>671</v>
      </c>
    </row>
    <row s="1619" customFormat="1" customHeight="1" ht="16.5">
      <c r="A217" s="1183"/>
      <c r="B217" s="924"/>
      <c r="C217" s="1461"/>
      <c r="D217" s="1461"/>
      <c r="E217" s="794">
        <v>17.1</v>
      </c>
      <c r="F217" s="919" cm="1" t="str">
        <f t="array" ref="F217:F217">OFFSET(G217,-1,-1)</f>
        <v>2</v>
      </c>
      <c r="G217" s="497"/>
      <c r="H217" s="497"/>
      <c r="I217" s="497"/>
      <c r="J217" s="497"/>
      <c r="K217" s="497"/>
      <c r="L217" s="497"/>
      <c r="M217" s="497"/>
      <c r="N217" s="497"/>
      <c r="O217" s="497"/>
      <c r="P217" s="497"/>
      <c r="Q217" s="497"/>
      <c r="R217" s="497"/>
      <c r="S217" s="497"/>
      <c r="T217" s="805" cm="1" t="str">
        <f t="array" ref="T217:T217">T216</f>
        <v>true</v>
      </c>
      <c r="U217" s="1461"/>
      <c r="V217" s="1461"/>
      <c r="W217" s="1461"/>
      <c r="X217" s="1461"/>
      <c r="Y217" s="1461"/>
      <c r="Z217" s="1461"/>
      <c r="AA217" s="497"/>
      <c r="AB217" s="844" t="str">
        <f>AB214&amp;".3"</f>
        <v>9.1.2.3</v>
      </c>
      <c r="AC217" s="684" t="s">
        <v>644</v>
      </c>
      <c r="AD217" s="167" t="s">
        <v>591</v>
      </c>
      <c r="AE217" s="1739"/>
      <c r="AF217" s="1739"/>
      <c r="AG217" s="1739"/>
      <c r="AH217" s="1739"/>
      <c r="AI217" s="563">
        <v>1037</v>
      </c>
      <c r="AJ217" s="563">
        <v>1037</v>
      </c>
      <c r="AK217" s="563">
        <v>1037</v>
      </c>
      <c r="AL217" s="563">
        <v>1037</v>
      </c>
      <c r="AM217" s="563">
        <v>1037</v>
      </c>
      <c r="AN217" s="1739">
        <v>1037</v>
      </c>
      <c r="AO217" s="1739">
        <v>1037</v>
      </c>
      <c r="AP217" s="1739">
        <v>1037</v>
      </c>
      <c r="AQ217" s="1739">
        <v>1037</v>
      </c>
      <c r="AR217" s="1739">
        <v>1037</v>
      </c>
      <c r="AS217" s="563">
        <v>1037</v>
      </c>
      <c r="AT217" s="563">
        <v>1037</v>
      </c>
      <c r="AU217" s="563">
        <v>1037</v>
      </c>
      <c r="AV217" s="563">
        <v>1037</v>
      </c>
      <c r="AW217" s="563">
        <v>1037</v>
      </c>
      <c r="AX217" s="1739"/>
      <c r="AY217" s="1739"/>
      <c r="AZ217" s="1739"/>
      <c r="BA217" s="1739"/>
      <c r="BB217" s="1739"/>
      <c r="BC217" s="1730"/>
      <c r="BD217" s="497"/>
      <c r="BE217" s="497"/>
      <c r="BF217" s="1195" t="s">
        <v>672</v>
      </c>
    </row>
    <row s="1619" customFormat="1" customHeight="1" ht="16.5">
      <c r="A218" s="1183"/>
      <c r="B218" s="924"/>
      <c r="C218" s="1461"/>
      <c r="D218" s="1461"/>
      <c r="E218" s="794">
        <v>17.1</v>
      </c>
      <c r="F218" s="919" cm="1" t="str">
        <f t="array" ref="F218:F218">OFFSET(G218,-1,-1)</f>
        <v>2</v>
      </c>
      <c r="G218" s="497"/>
      <c r="H218" s="497"/>
      <c r="I218" s="497"/>
      <c r="J218" s="497"/>
      <c r="K218" s="497"/>
      <c r="L218" s="497"/>
      <c r="M218" s="497"/>
      <c r="N218" s="497"/>
      <c r="O218" s="497"/>
      <c r="P218" s="497"/>
      <c r="Q218" s="497"/>
      <c r="R218" s="497"/>
      <c r="S218" s="497"/>
      <c r="T218" s="805" cm="1" t="str">
        <f t="array" ref="T218:T218">T217</f>
        <v>true</v>
      </c>
      <c r="U218" s="1461"/>
      <c r="V218" s="1461"/>
      <c r="W218" s="1461"/>
      <c r="X218" s="1461"/>
      <c r="Y218" s="1461"/>
      <c r="Z218" s="1461"/>
      <c r="AA218" s="497"/>
      <c r="AB218" s="844" t="str">
        <f>AB214&amp;".4"</f>
        <v>9.1.2.4</v>
      </c>
      <c r="AC218" s="684" t="s">
        <v>646</v>
      </c>
      <c r="AD218" s="410" t="s">
        <v>591</v>
      </c>
      <c r="AE218" s="1731"/>
      <c r="AF218" s="1735"/>
      <c r="AG218" s="1731"/>
      <c r="AH218" s="1731"/>
      <c r="AI218" s="296"/>
      <c r="AJ218" s="296"/>
      <c r="AK218" s="296"/>
      <c r="AL218" s="296"/>
      <c r="AM218" s="296"/>
      <c r="AN218" s="1731"/>
      <c r="AO218" s="1731"/>
      <c r="AP218" s="1731"/>
      <c r="AQ218" s="1731"/>
      <c r="AR218" s="1731"/>
      <c r="AS218" s="296"/>
      <c r="AT218" s="296"/>
      <c r="AU218" s="296"/>
      <c r="AV218" s="296"/>
      <c r="AW218" s="296"/>
      <c r="AX218" s="1731"/>
      <c r="AY218" s="1731"/>
      <c r="AZ218" s="1731"/>
      <c r="BA218" s="1731"/>
      <c r="BB218" s="1731"/>
      <c r="BC218" s="1730"/>
      <c r="BD218" s="497"/>
      <c r="BE218" s="497"/>
      <c r="BF218" s="1195" t="s">
        <v>673</v>
      </c>
    </row>
    <row s="1619" customFormat="1" customHeight="1" ht="16.5">
      <c r="A219" s="1183"/>
      <c r="B219" s="924"/>
      <c r="C219" s="1461"/>
      <c r="D219" s="1461"/>
      <c r="E219" s="794">
        <v>17.1</v>
      </c>
      <c r="F219" s="919" cm="1" t="str">
        <f t="array" ref="F219:F219">OFFSET(G219,-1,-1)</f>
        <v>2</v>
      </c>
      <c r="G219" s="497"/>
      <c r="H219" s="497"/>
      <c r="I219" s="497"/>
      <c r="J219" s="497"/>
      <c r="K219" s="497"/>
      <c r="L219" s="497"/>
      <c r="M219" s="497"/>
      <c r="N219" s="497"/>
      <c r="O219" s="497"/>
      <c r="P219" s="497"/>
      <c r="Q219" s="497"/>
      <c r="R219" s="497"/>
      <c r="S219" s="497"/>
      <c r="T219" s="805" cm="1" t="str">
        <f t="array" ref="T219:T219">T218</f>
        <v>true</v>
      </c>
      <c r="U219" s="1461"/>
      <c r="V219" s="1461"/>
      <c r="W219" s="1461"/>
      <c r="X219" s="1461"/>
      <c r="Y219" s="1461"/>
      <c r="Z219" s="1461"/>
      <c r="AA219" s="497"/>
      <c r="AB219" s="844" t="str">
        <f>AB211&amp;".2"</f>
        <v>9.2</v>
      </c>
      <c r="AC219" s="556" t="s">
        <v>597</v>
      </c>
      <c r="AD219" s="410" t="s">
        <v>591</v>
      </c>
      <c r="AE219" s="1731">
        <f>AE205-AE209</f>
        <v>0</v>
      </c>
      <c r="AF219" s="1731">
        <f>AF205-AF209</f>
        <v>0</v>
      </c>
      <c r="AG219" s="1731">
        <f>AG205-AG209</f>
        <v>0</v>
      </c>
      <c r="AH219" s="1731">
        <f>AH205-AH209</f>
        <v>0</v>
      </c>
      <c r="AI219" s="296">
        <f>AI205-AI209</f>
        <v>0</v>
      </c>
      <c r="AJ219" s="296">
        <f>AJ205-AJ209</f>
        <v>0</v>
      </c>
      <c r="AK219" s="296">
        <f>AK205-AK209</f>
        <v>0</v>
      </c>
      <c r="AL219" s="296">
        <f>AL205-AL209</f>
        <v>0</v>
      </c>
      <c r="AM219" s="296">
        <f>AM205-AM209</f>
        <v>0</v>
      </c>
      <c r="AN219" s="1731">
        <f>AN205-AN209</f>
        <v>0</v>
      </c>
      <c r="AO219" s="1731">
        <f>AO205-AO209</f>
        <v>0</v>
      </c>
      <c r="AP219" s="1731">
        <f>AP205-AP209</f>
        <v>0</v>
      </c>
      <c r="AQ219" s="1731">
        <f>AQ205-AQ209</f>
        <v>0</v>
      </c>
      <c r="AR219" s="1731">
        <f>AR205-AR209</f>
        <v>0</v>
      </c>
      <c r="AS219" s="296">
        <f>AS205-AS209</f>
        <v>0</v>
      </c>
      <c r="AT219" s="296">
        <f>AT205-AT209</f>
        <v>0</v>
      </c>
      <c r="AU219" s="296">
        <f>AU205-AU209</f>
        <v>0</v>
      </c>
      <c r="AV219" s="296">
        <f>AV205-AV209</f>
        <v>0</v>
      </c>
      <c r="AW219" s="296">
        <f>AW205-AW209</f>
        <v>0</v>
      </c>
      <c r="AX219" s="1731">
        <f>AX205-AX209</f>
        <v>0</v>
      </c>
      <c r="AY219" s="1731">
        <f>AY205-AY209</f>
        <v>0</v>
      </c>
      <c r="AZ219" s="1731">
        <f>AZ205-AZ209</f>
        <v>0</v>
      </c>
      <c r="BA219" s="1731">
        <f>BA205-BA209</f>
        <v>0</v>
      </c>
      <c r="BB219" s="1731">
        <f>BB205-BB209</f>
        <v>0</v>
      </c>
      <c r="BC219" s="1730"/>
      <c r="BD219" s="497"/>
      <c r="BE219" s="497"/>
      <c r="BF219" s="1195" t="s">
        <v>674</v>
      </c>
    </row>
    <row s="1619" customFormat="1" customHeight="1" ht="16.5">
      <c r="A220" s="1183"/>
      <c r="B220" s="924"/>
      <c r="C220" s="1461"/>
      <c r="D220" s="1461"/>
      <c r="E220" s="794">
        <v>17.1</v>
      </c>
      <c r="F220" s="919" cm="1" t="str">
        <f t="array" ref="F220:F220">OFFSET(G220,-1,-1)</f>
        <v>2</v>
      </c>
      <c r="G220" s="497"/>
      <c r="H220" s="497"/>
      <c r="I220" s="497"/>
      <c r="J220" s="497"/>
      <c r="K220" s="497"/>
      <c r="L220" s="497"/>
      <c r="M220" s="497"/>
      <c r="N220" s="497"/>
      <c r="O220" s="497"/>
      <c r="P220" s="497"/>
      <c r="Q220" s="497"/>
      <c r="R220" s="497"/>
      <c r="S220" s="497"/>
      <c r="T220" s="805" cm="1" t="str">
        <f t="array" ref="T220:T220">T219</f>
        <v>true</v>
      </c>
      <c r="U220" s="1461"/>
      <c r="V220" s="1461"/>
      <c r="W220" s="1461"/>
      <c r="X220" s="1461"/>
      <c r="Y220" s="1461"/>
      <c r="Z220" s="1461"/>
      <c r="AA220" s="497"/>
      <c r="AB220" s="484" t="s">
        <v>675</v>
      </c>
      <c r="AC220" s="681" t="s">
        <v>636</v>
      </c>
      <c r="AD220" s="410" t="s">
        <v>591</v>
      </c>
      <c r="AE220" s="1731"/>
      <c r="AF220" s="1731"/>
      <c r="AG220" s="1731"/>
      <c r="AH220" s="1731"/>
      <c r="AI220" s="296"/>
      <c r="AJ220" s="296"/>
      <c r="AK220" s="296"/>
      <c r="AL220" s="296"/>
      <c r="AM220" s="296"/>
      <c r="AN220" s="1731"/>
      <c r="AO220" s="1731"/>
      <c r="AP220" s="1731"/>
      <c r="AQ220" s="1731"/>
      <c r="AR220" s="1731"/>
      <c r="AS220" s="296"/>
      <c r="AT220" s="296"/>
      <c r="AU220" s="296"/>
      <c r="AV220" s="296"/>
      <c r="AW220" s="296"/>
      <c r="AX220" s="1731"/>
      <c r="AY220" s="1731"/>
      <c r="AZ220" s="1731"/>
      <c r="BA220" s="1731"/>
      <c r="BB220" s="1731"/>
      <c r="BC220" s="1730"/>
      <c r="BD220" s="497"/>
      <c r="BE220" s="497"/>
      <c r="BF220" s="1195" t="s">
        <v>676</v>
      </c>
    </row>
    <row s="1619" customFormat="1" customHeight="1" ht="16.5">
      <c r="A221" s="1183"/>
      <c r="B221" s="924"/>
      <c r="C221" s="1461"/>
      <c r="D221" s="1461"/>
      <c r="E221" s="794">
        <v>17.1</v>
      </c>
      <c r="F221" s="919" cm="1" t="str">
        <f t="array" ref="F221:F221">OFFSET(G221,-1,-1)</f>
        <v>2</v>
      </c>
      <c r="G221" s="497"/>
      <c r="H221" s="497"/>
      <c r="I221" s="497"/>
      <c r="J221" s="497"/>
      <c r="K221" s="497"/>
      <c r="L221" s="497"/>
      <c r="M221" s="497"/>
      <c r="N221" s="497"/>
      <c r="O221" s="497"/>
      <c r="P221" s="497"/>
      <c r="Q221" s="497"/>
      <c r="R221" s="497"/>
      <c r="S221" s="497"/>
      <c r="T221" s="805" cm="1" t="str">
        <f t="array" ref="T221:T221">T220</f>
        <v>true</v>
      </c>
      <c r="U221" s="1461"/>
      <c r="V221" s="1461"/>
      <c r="W221" s="1461"/>
      <c r="X221" s="1461"/>
      <c r="Y221" s="1461"/>
      <c r="Z221" s="1461"/>
      <c r="AA221" s="497"/>
      <c r="AB221" s="485" t="s">
        <v>677</v>
      </c>
      <c r="AC221" s="682" t="s">
        <v>638</v>
      </c>
      <c r="AD221" s="167" t="s">
        <v>591</v>
      </c>
      <c r="AE221" s="687">
        <f>SUM(AE222:AE225)</f>
        <v>0</v>
      </c>
      <c r="AF221" s="687">
        <f>SUM(AF222:AF225)</f>
        <v>0</v>
      </c>
      <c r="AG221" s="687">
        <f>SUM(AG222:AG225)</f>
        <v>0</v>
      </c>
      <c r="AH221" s="687">
        <f>SUM(AH222:AH225)</f>
        <v>0</v>
      </c>
      <c r="AI221" s="687">
        <f>SUM(AI222:AI225)</f>
        <v>0</v>
      </c>
      <c r="AJ221" s="687">
        <f>SUM(AJ222:AJ225)</f>
        <v>0</v>
      </c>
      <c r="AK221" s="687">
        <f>SUM(AK222:AK225)</f>
        <v>0</v>
      </c>
      <c r="AL221" s="687">
        <f>SUM(AL222:AL225)</f>
        <v>0</v>
      </c>
      <c r="AM221" s="687">
        <f>SUM(AM222:AM225)</f>
        <v>0</v>
      </c>
      <c r="AN221" s="687">
        <f>SUM(AN222:AN225)</f>
        <v>0</v>
      </c>
      <c r="AO221" s="687">
        <f>SUM(AO222:AO225)</f>
        <v>0</v>
      </c>
      <c r="AP221" s="687">
        <f>SUM(AP222:AP225)</f>
        <v>0</v>
      </c>
      <c r="AQ221" s="687">
        <f>SUM(AQ222:AQ225)</f>
        <v>0</v>
      </c>
      <c r="AR221" s="687">
        <f>SUM(AR222:AR225)</f>
        <v>0</v>
      </c>
      <c r="AS221" s="687">
        <f>SUM(AS222:AS225)</f>
        <v>0</v>
      </c>
      <c r="AT221" s="687">
        <f>SUM(AT222:AT225)</f>
        <v>0</v>
      </c>
      <c r="AU221" s="687">
        <f>SUM(AU222:AU225)</f>
        <v>0</v>
      </c>
      <c r="AV221" s="687">
        <f>SUM(AV222:AV225)</f>
        <v>0</v>
      </c>
      <c r="AW221" s="687">
        <f>SUM(AW222:AW225)</f>
        <v>0</v>
      </c>
      <c r="AX221" s="687">
        <f>SUM(AX222:AX225)</f>
        <v>0</v>
      </c>
      <c r="AY221" s="687">
        <f>SUM(AY222:AY225)</f>
        <v>0</v>
      </c>
      <c r="AZ221" s="687">
        <f>SUM(AZ222:AZ225)</f>
        <v>0</v>
      </c>
      <c r="BA221" s="687">
        <f>SUM(BA222:BA225)</f>
        <v>0</v>
      </c>
      <c r="BB221" s="687">
        <f>SUM(BB222:BB225)</f>
        <v>0</v>
      </c>
      <c r="BC221" s="1730"/>
      <c r="BD221" s="497"/>
      <c r="BE221" s="497"/>
      <c r="BF221" s="1195" t="s">
        <v>678</v>
      </c>
    </row>
    <row s="1619" customFormat="1" customHeight="1" ht="16.5">
      <c r="A222" s="1183"/>
      <c r="B222" s="924"/>
      <c r="C222" s="1461"/>
      <c r="D222" s="1461"/>
      <c r="E222" s="794">
        <v>17.1</v>
      </c>
      <c r="F222" s="919" cm="1" t="str">
        <f t="array" ref="F222:F222">OFFSET(G222,-1,-1)</f>
        <v>2</v>
      </c>
      <c r="G222" s="497"/>
      <c r="H222" s="497"/>
      <c r="I222" s="497"/>
      <c r="J222" s="497"/>
      <c r="K222" s="497"/>
      <c r="L222" s="497"/>
      <c r="M222" s="497"/>
      <c r="N222" s="497"/>
      <c r="O222" s="497"/>
      <c r="P222" s="497"/>
      <c r="Q222" s="497"/>
      <c r="R222" s="497"/>
      <c r="S222" s="497"/>
      <c r="T222" s="805" cm="1" t="str">
        <f t="array" ref="T222:T222">T221</f>
        <v>true</v>
      </c>
      <c r="U222" s="1461"/>
      <c r="V222" s="1461"/>
      <c r="W222" s="1461"/>
      <c r="X222" s="1461"/>
      <c r="Y222" s="1461"/>
      <c r="Z222" s="1461"/>
      <c r="AA222" s="497"/>
      <c r="AB222" s="484" t="s">
        <v>679</v>
      </c>
      <c r="AC222" s="683" t="s">
        <v>640</v>
      </c>
      <c r="AD222" s="410" t="s">
        <v>591</v>
      </c>
      <c r="AE222" s="1746"/>
      <c r="AF222" s="1746"/>
      <c r="AG222" s="1746"/>
      <c r="AH222" s="1746"/>
      <c r="AI222" s="560"/>
      <c r="AJ222" s="560"/>
      <c r="AK222" s="560"/>
      <c r="AL222" s="560"/>
      <c r="AM222" s="560"/>
      <c r="AN222" s="1746"/>
      <c r="AO222" s="1746"/>
      <c r="AP222" s="1746"/>
      <c r="AQ222" s="1746"/>
      <c r="AR222" s="1746"/>
      <c r="AS222" s="560"/>
      <c r="AT222" s="560"/>
      <c r="AU222" s="560"/>
      <c r="AV222" s="560"/>
      <c r="AW222" s="560"/>
      <c r="AX222" s="1746"/>
      <c r="AY222" s="1746"/>
      <c r="AZ222" s="1746"/>
      <c r="BA222" s="1746"/>
      <c r="BB222" s="1746"/>
      <c r="BC222" s="1730"/>
      <c r="BD222" s="497"/>
      <c r="BE222" s="497"/>
      <c r="BF222" s="1195" t="s">
        <v>680</v>
      </c>
    </row>
    <row s="1619" customFormat="1" customHeight="1" ht="16.5">
      <c r="A223" s="1183"/>
      <c r="B223" s="924"/>
      <c r="C223" s="1461"/>
      <c r="D223" s="1461"/>
      <c r="E223" s="794">
        <v>17.1</v>
      </c>
      <c r="F223" s="919" cm="1" t="str">
        <f t="array" ref="F223:F223">OFFSET(G223,-1,-1)</f>
        <v>2</v>
      </c>
      <c r="G223" s="497"/>
      <c r="H223" s="497"/>
      <c r="I223" s="497"/>
      <c r="J223" s="497"/>
      <c r="K223" s="497"/>
      <c r="L223" s="497"/>
      <c r="M223" s="497"/>
      <c r="N223" s="497"/>
      <c r="O223" s="497"/>
      <c r="P223" s="497"/>
      <c r="Q223" s="497"/>
      <c r="R223" s="497"/>
      <c r="S223" s="497"/>
      <c r="T223" s="805" cm="1" t="str">
        <f t="array" ref="T223:T223">T222</f>
        <v>true</v>
      </c>
      <c r="U223" s="1461"/>
      <c r="V223" s="1461"/>
      <c r="W223" s="1461"/>
      <c r="X223" s="1461"/>
      <c r="Y223" s="1461"/>
      <c r="Z223" s="1461"/>
      <c r="AA223" s="497"/>
      <c r="AB223" s="484" t="s">
        <v>681</v>
      </c>
      <c r="AC223" s="684" t="s">
        <v>642</v>
      </c>
      <c r="AD223" s="167" t="s">
        <v>591</v>
      </c>
      <c r="AE223" s="1739"/>
      <c r="AF223" s="1739"/>
      <c r="AG223" s="1739"/>
      <c r="AH223" s="1739"/>
      <c r="AI223" s="563"/>
      <c r="AJ223" s="563"/>
      <c r="AK223" s="563"/>
      <c r="AL223" s="563"/>
      <c r="AM223" s="563"/>
      <c r="AN223" s="1739"/>
      <c r="AO223" s="1739"/>
      <c r="AP223" s="1739"/>
      <c r="AQ223" s="1739"/>
      <c r="AR223" s="1739"/>
      <c r="AS223" s="563"/>
      <c r="AT223" s="563"/>
      <c r="AU223" s="563"/>
      <c r="AV223" s="563"/>
      <c r="AW223" s="563"/>
      <c r="AX223" s="1739"/>
      <c r="AY223" s="1739"/>
      <c r="AZ223" s="1739"/>
      <c r="BA223" s="1739"/>
      <c r="BB223" s="1739"/>
      <c r="BC223" s="1730"/>
      <c r="BD223" s="497"/>
      <c r="BE223" s="497"/>
      <c r="BF223" s="1195" t="s">
        <v>682</v>
      </c>
    </row>
    <row s="1619" customFormat="1" customHeight="1" ht="16.5">
      <c r="A224" s="1183"/>
      <c r="B224" s="924"/>
      <c r="C224" s="1461"/>
      <c r="D224" s="1461"/>
      <c r="E224" s="794">
        <v>17.1</v>
      </c>
      <c r="F224" s="919" cm="1" t="str">
        <f t="array" ref="F224:F224">OFFSET(G224,-1,-1)</f>
        <v>2</v>
      </c>
      <c r="G224" s="497"/>
      <c r="H224" s="497"/>
      <c r="I224" s="497"/>
      <c r="J224" s="497"/>
      <c r="K224" s="497"/>
      <c r="L224" s="497"/>
      <c r="M224" s="497"/>
      <c r="N224" s="497"/>
      <c r="O224" s="497"/>
      <c r="P224" s="497"/>
      <c r="Q224" s="497"/>
      <c r="R224" s="497"/>
      <c r="S224" s="497"/>
      <c r="T224" s="805" cm="1" t="str">
        <f t="array" ref="T224:T224">T223</f>
        <v>true</v>
      </c>
      <c r="U224" s="1461"/>
      <c r="V224" s="1461"/>
      <c r="W224" s="1461"/>
      <c r="X224" s="1461"/>
      <c r="Y224" s="1461"/>
      <c r="Z224" s="1461"/>
      <c r="AA224" s="497"/>
      <c r="AB224" s="855" t="s">
        <v>683</v>
      </c>
      <c r="AC224" s="684" t="s">
        <v>644</v>
      </c>
      <c r="AD224" s="410" t="s">
        <v>591</v>
      </c>
      <c r="AE224" s="1731"/>
      <c r="AF224" s="1731"/>
      <c r="AG224" s="1731"/>
      <c r="AH224" s="1731"/>
      <c r="AI224" s="296"/>
      <c r="AJ224" s="296"/>
      <c r="AK224" s="296"/>
      <c r="AL224" s="296"/>
      <c r="AM224" s="296"/>
      <c r="AN224" s="1731"/>
      <c r="AO224" s="1731"/>
      <c r="AP224" s="1731"/>
      <c r="AQ224" s="1731"/>
      <c r="AR224" s="1731"/>
      <c r="AS224" s="296"/>
      <c r="AT224" s="296"/>
      <c r="AU224" s="296"/>
      <c r="AV224" s="296"/>
      <c r="AW224" s="296"/>
      <c r="AX224" s="1731"/>
      <c r="AY224" s="1731"/>
      <c r="AZ224" s="1731"/>
      <c r="BA224" s="1731"/>
      <c r="BB224" s="1731"/>
      <c r="BC224" s="1730"/>
      <c r="BD224" s="497"/>
      <c r="BE224" s="497"/>
      <c r="BF224" s="1195" t="s">
        <v>684</v>
      </c>
    </row>
    <row s="1619" customFormat="1" customHeight="1" ht="16.5">
      <c r="A225" s="1183"/>
      <c r="B225" s="924"/>
      <c r="C225" s="1461"/>
      <c r="D225" s="1461"/>
      <c r="E225" s="794">
        <v>17.1</v>
      </c>
      <c r="F225" s="919" cm="1" t="str">
        <f t="array" ref="F225:F225">OFFSET(G225,-1,-1)</f>
        <v>2</v>
      </c>
      <c r="G225" s="497"/>
      <c r="H225" s="497"/>
      <c r="I225" s="497"/>
      <c r="J225" s="497"/>
      <c r="K225" s="497"/>
      <c r="L225" s="497"/>
      <c r="M225" s="497"/>
      <c r="N225" s="497"/>
      <c r="O225" s="497"/>
      <c r="P225" s="497"/>
      <c r="Q225" s="497"/>
      <c r="R225" s="497"/>
      <c r="S225" s="497"/>
      <c r="T225" s="805" cm="1" t="str">
        <f t="array" ref="T225:T225">T224</f>
        <v>true</v>
      </c>
      <c r="U225" s="1461"/>
      <c r="V225" s="1461"/>
      <c r="W225" s="1461"/>
      <c r="X225" s="1461"/>
      <c r="Y225" s="1461"/>
      <c r="Z225" s="1461"/>
      <c r="AA225" s="497"/>
      <c r="AB225" s="856" t="s">
        <v>685</v>
      </c>
      <c r="AC225" s="684" t="s">
        <v>646</v>
      </c>
      <c r="AD225" s="410" t="s">
        <v>591</v>
      </c>
      <c r="AE225" s="1731"/>
      <c r="AF225" s="1731"/>
      <c r="AG225" s="1731"/>
      <c r="AH225" s="1731"/>
      <c r="AI225" s="296"/>
      <c r="AJ225" s="296"/>
      <c r="AK225" s="296"/>
      <c r="AL225" s="296"/>
      <c r="AM225" s="296"/>
      <c r="AN225" s="1731"/>
      <c r="AO225" s="1731"/>
      <c r="AP225" s="1731"/>
      <c r="AQ225" s="1731"/>
      <c r="AR225" s="1731"/>
      <c r="AS225" s="296"/>
      <c r="AT225" s="296"/>
      <c r="AU225" s="296"/>
      <c r="AV225" s="296"/>
      <c r="AW225" s="296"/>
      <c r="AX225" s="1731"/>
      <c r="AY225" s="1731"/>
      <c r="AZ225" s="1731"/>
      <c r="BA225" s="1731"/>
      <c r="BB225" s="1731"/>
      <c r="BC225" s="1730"/>
      <c r="BD225" s="497"/>
      <c r="BE225" s="497"/>
      <c r="BF225" s="1195" t="s">
        <v>686</v>
      </c>
    </row>
    <row s="1619" customFormat="1" customHeight="1" ht="24.75" hidden="1">
      <c r="A226" s="1183"/>
      <c r="B226" s="924"/>
      <c r="C226" s="1461"/>
      <c r="D226" s="1461"/>
      <c r="E226" s="794">
        <v>25.5</v>
      </c>
      <c r="F226" s="919" cm="1" t="str">
        <f t="array" ref="F226:F226">OFFSET(G226,-1,-1)</f>
        <v>2</v>
      </c>
      <c r="G226" s="497"/>
      <c r="H226" s="497"/>
      <c r="I226" s="497"/>
      <c r="J226" s="497"/>
      <c r="K226" s="497"/>
      <c r="L226" s="497"/>
      <c r="M226" s="497"/>
      <c r="N226" s="497"/>
      <c r="O226" s="736" t="s">
        <v>687</v>
      </c>
      <c r="P226" s="497"/>
      <c r="Q226" s="497"/>
      <c r="R226" s="497"/>
      <c r="S226" s="497"/>
      <c r="T226" s="805">
        <f>AND(T225,H164="двухставочный")</f>
        <v>0</v>
      </c>
      <c r="U226" s="1461"/>
      <c r="V226" s="1461"/>
      <c r="W226" s="1461"/>
      <c r="X226" s="1461"/>
      <c r="Y226" s="1461"/>
      <c r="Z226" s="1461"/>
      <c r="AA226" s="497"/>
      <c r="AB226" s="322" t="s">
        <v>688</v>
      </c>
      <c r="AC226" s="594" t="s">
        <v>689</v>
      </c>
      <c r="AD226" s="508" t="s">
        <v>690</v>
      </c>
      <c r="AE226" s="685">
        <f>SUM(AE227:AE230)</f>
        <v>0</v>
      </c>
      <c r="AF226" s="364">
        <f>SUM(AF227:AF230)</f>
        <v>0</v>
      </c>
      <c r="AG226" s="364">
        <f>SUM(AG227:AG230)</f>
        <v>0</v>
      </c>
      <c r="AH226" s="364">
        <f>SUM(AH227:AH230)</f>
        <v>0</v>
      </c>
      <c r="AI226" s="364">
        <f>SUM(AI227:AI230)</f>
        <v>0</v>
      </c>
      <c r="AJ226" s="364">
        <f>SUM(AJ227:AJ230)</f>
        <v>0</v>
      </c>
      <c r="AK226" s="364">
        <f>SUM(AK227:AK230)</f>
        <v>0</v>
      </c>
      <c r="AL226" s="364">
        <f>SUM(AL227:AL230)</f>
        <v>0</v>
      </c>
      <c r="AM226" s="364">
        <f>SUM(AM227:AM230)</f>
        <v>0</v>
      </c>
      <c r="AN226" s="364">
        <f>SUM(AN227:AN230)</f>
        <v>0</v>
      </c>
      <c r="AO226" s="364">
        <f>SUM(AO227:AO230)</f>
        <v>0</v>
      </c>
      <c r="AP226" s="364">
        <f>SUM(AP227:AP230)</f>
        <v>0</v>
      </c>
      <c r="AQ226" s="364">
        <f>SUM(AQ227:AQ230)</f>
        <v>0</v>
      </c>
      <c r="AR226" s="364">
        <f>SUM(AR227:AR230)</f>
        <v>0</v>
      </c>
      <c r="AS226" s="364">
        <f>SUM(AS227:AS230)</f>
        <v>0</v>
      </c>
      <c r="AT226" s="364">
        <f>SUM(AT227:AT230)</f>
        <v>0</v>
      </c>
      <c r="AU226" s="364">
        <f>SUM(AU227:AU230)</f>
        <v>0</v>
      </c>
      <c r="AV226" s="364">
        <f>SUM(AV227:AV230)</f>
        <v>0</v>
      </c>
      <c r="AW226" s="364">
        <f>SUM(AW227:AW230)</f>
        <v>0</v>
      </c>
      <c r="AX226" s="364">
        <f>SUM(AX227:AX230)</f>
        <v>0</v>
      </c>
      <c r="AY226" s="364">
        <f>SUM(AY227:AY230)</f>
        <v>0</v>
      </c>
      <c r="AZ226" s="364">
        <f>SUM(AZ227:AZ230)</f>
        <v>0</v>
      </c>
      <c r="BA226" s="364">
        <f>SUM(BA227:BA230)</f>
        <v>0</v>
      </c>
      <c r="BB226" s="364">
        <f>SUM(BB227:BB230)</f>
        <v>0</v>
      </c>
      <c r="BC226" s="73"/>
      <c r="BD226" s="497"/>
      <c r="BE226" s="497"/>
      <c r="BF226" s="1195" t="s">
        <v>691</v>
      </c>
    </row>
    <row s="1619" customFormat="1" customHeight="1" ht="16.5" hidden="1">
      <c r="A227" s="1183"/>
      <c r="B227" s="924"/>
      <c r="C227" s="1461"/>
      <c r="D227" s="1461"/>
      <c r="E227" s="794">
        <v>17.1</v>
      </c>
      <c r="F227" s="919" cm="1" t="str">
        <f t="array" ref="F227:F227">OFFSET(G227,-1,-1)</f>
        <v>2</v>
      </c>
      <c r="G227" s="497"/>
      <c r="H227" s="497"/>
      <c r="I227" s="497"/>
      <c r="J227" s="497"/>
      <c r="K227" s="497"/>
      <c r="L227" s="497"/>
      <c r="M227" s="497"/>
      <c r="N227" s="497"/>
      <c r="O227" s="736" t="s">
        <v>687</v>
      </c>
      <c r="P227" s="497"/>
      <c r="Q227" s="497"/>
      <c r="R227" s="497"/>
      <c r="S227" s="497"/>
      <c r="T227" s="805" cm="1" t="str">
        <f t="array" ref="T227:T227">T226</f>
        <v>false</v>
      </c>
      <c r="U227" s="1461"/>
      <c r="V227" s="1461"/>
      <c r="W227" s="1461"/>
      <c r="X227" s="1461"/>
      <c r="Y227" s="1461"/>
      <c r="Z227" s="1461"/>
      <c r="AA227" s="497"/>
      <c r="AB227" s="844" t="str">
        <f>AB226&amp;".1"</f>
        <v>10.1</v>
      </c>
      <c r="AC227" s="561" t="s">
        <v>640</v>
      </c>
      <c r="AD227" s="508" t="s">
        <v>690</v>
      </c>
      <c r="AE227" s="74"/>
      <c r="AF227" s="74"/>
      <c r="AG227" s="74"/>
      <c r="AH227" s="74"/>
      <c r="AI227" s="296"/>
      <c r="AJ227" s="296"/>
      <c r="AK227" s="296"/>
      <c r="AL227" s="296"/>
      <c r="AM227" s="296"/>
      <c r="AN227" s="74"/>
      <c r="AO227" s="74"/>
      <c r="AP227" s="74"/>
      <c r="AQ227" s="74"/>
      <c r="AR227" s="74"/>
      <c r="AS227" s="296"/>
      <c r="AT227" s="296"/>
      <c r="AU227" s="296"/>
      <c r="AV227" s="296"/>
      <c r="AW227" s="296"/>
      <c r="AX227" s="74"/>
      <c r="AY227" s="74"/>
      <c r="AZ227" s="74"/>
      <c r="BA227" s="74"/>
      <c r="BB227" s="83"/>
      <c r="BC227" s="73"/>
      <c r="BD227" s="497"/>
      <c r="BE227" s="497"/>
      <c r="BF227" s="1195" t="s">
        <v>692</v>
      </c>
    </row>
    <row s="1619" customFormat="1" customHeight="1" ht="16.5" hidden="1">
      <c r="A228" s="1183"/>
      <c r="B228" s="924"/>
      <c r="C228" s="1461"/>
      <c r="D228" s="1461"/>
      <c r="E228" s="794">
        <v>17.1</v>
      </c>
      <c r="F228" s="919" cm="1" t="str">
        <f t="array" ref="F228:F228">OFFSET(G228,-1,-1)</f>
        <v>2</v>
      </c>
      <c r="G228" s="497"/>
      <c r="H228" s="497"/>
      <c r="I228" s="497"/>
      <c r="J228" s="497"/>
      <c r="K228" s="497"/>
      <c r="L228" s="497"/>
      <c r="M228" s="497"/>
      <c r="N228" s="497"/>
      <c r="O228" s="736" t="s">
        <v>687</v>
      </c>
      <c r="P228" s="497"/>
      <c r="Q228" s="497"/>
      <c r="R228" s="497"/>
      <c r="S228" s="497"/>
      <c r="T228" s="805" cm="1" t="str">
        <f t="array" ref="T228:T228">T227</f>
        <v>false</v>
      </c>
      <c r="U228" s="1461"/>
      <c r="V228" s="1461"/>
      <c r="W228" s="1461"/>
      <c r="X228" s="1461"/>
      <c r="Y228" s="1461"/>
      <c r="Z228" s="1461"/>
      <c r="AA228" s="497"/>
      <c r="AB228" s="844" t="str">
        <f>AB226&amp;".2"</f>
        <v>10.2</v>
      </c>
      <c r="AC228" s="415" t="s">
        <v>642</v>
      </c>
      <c r="AD228" s="508" t="s">
        <v>690</v>
      </c>
      <c r="AE228" s="74"/>
      <c r="AF228" s="74"/>
      <c r="AG228" s="74"/>
      <c r="AH228" s="74"/>
      <c r="AI228" s="296"/>
      <c r="AJ228" s="296"/>
      <c r="AK228" s="296"/>
      <c r="AL228" s="296"/>
      <c r="AM228" s="296"/>
      <c r="AN228" s="74"/>
      <c r="AO228" s="74"/>
      <c r="AP228" s="74"/>
      <c r="AQ228" s="74"/>
      <c r="AR228" s="74"/>
      <c r="AS228" s="296"/>
      <c r="AT228" s="296"/>
      <c r="AU228" s="296"/>
      <c r="AV228" s="296"/>
      <c r="AW228" s="296"/>
      <c r="AX228" s="74"/>
      <c r="AY228" s="74"/>
      <c r="AZ228" s="74"/>
      <c r="BA228" s="74"/>
      <c r="BB228" s="83"/>
      <c r="BC228" s="73"/>
      <c r="BD228" s="497"/>
      <c r="BE228" s="497"/>
      <c r="BF228" s="1195" t="s">
        <v>693</v>
      </c>
    </row>
    <row s="1619" customFormat="1" customHeight="1" ht="16.5" hidden="1">
      <c r="A229" s="1183"/>
      <c r="B229" s="924"/>
      <c r="C229" s="1461"/>
      <c r="D229" s="1461"/>
      <c r="E229" s="794">
        <v>17.1</v>
      </c>
      <c r="F229" s="919" cm="1" t="str">
        <f t="array" ref="F229:F229">OFFSET(G229,-1,-1)</f>
        <v>2</v>
      </c>
      <c r="G229" s="497"/>
      <c r="H229" s="497"/>
      <c r="I229" s="497"/>
      <c r="J229" s="497"/>
      <c r="K229" s="497"/>
      <c r="L229" s="497"/>
      <c r="M229" s="497"/>
      <c r="N229" s="497"/>
      <c r="O229" s="736" t="s">
        <v>687</v>
      </c>
      <c r="P229" s="497"/>
      <c r="Q229" s="497"/>
      <c r="R229" s="497"/>
      <c r="S229" s="497"/>
      <c r="T229" s="805" cm="1" t="str">
        <f t="array" ref="T229:T229">T228</f>
        <v>false</v>
      </c>
      <c r="U229" s="1461"/>
      <c r="V229" s="1461"/>
      <c r="W229" s="1461"/>
      <c r="X229" s="1461"/>
      <c r="Y229" s="1461"/>
      <c r="Z229" s="1461"/>
      <c r="AA229" s="497"/>
      <c r="AB229" s="844" t="str">
        <f>AB226&amp;".3"</f>
        <v>10.3</v>
      </c>
      <c r="AC229" s="415" t="s">
        <v>644</v>
      </c>
      <c r="AD229" s="508" t="s">
        <v>690</v>
      </c>
      <c r="AE229" s="74"/>
      <c r="AF229" s="74"/>
      <c r="AG229" s="74"/>
      <c r="AH229" s="74"/>
      <c r="AI229" s="296"/>
      <c r="AJ229" s="296"/>
      <c r="AK229" s="296"/>
      <c r="AL229" s="296"/>
      <c r="AM229" s="296"/>
      <c r="AN229" s="74"/>
      <c r="AO229" s="74"/>
      <c r="AP229" s="74"/>
      <c r="AQ229" s="74"/>
      <c r="AR229" s="74"/>
      <c r="AS229" s="296"/>
      <c r="AT229" s="296"/>
      <c r="AU229" s="296"/>
      <c r="AV229" s="296"/>
      <c r="AW229" s="296"/>
      <c r="AX229" s="74"/>
      <c r="AY229" s="74"/>
      <c r="AZ229" s="74"/>
      <c r="BA229" s="74"/>
      <c r="BB229" s="83"/>
      <c r="BC229" s="73"/>
      <c r="BD229" s="497"/>
      <c r="BE229" s="497"/>
      <c r="BF229" s="1195" t="s">
        <v>694</v>
      </c>
    </row>
    <row s="1619" customFormat="1" customHeight="1" ht="16.5" hidden="1">
      <c r="A230" s="1183"/>
      <c r="B230" s="924"/>
      <c r="C230" s="1461"/>
      <c r="D230" s="1461"/>
      <c r="E230" s="794">
        <v>17.1</v>
      </c>
      <c r="F230" s="919" cm="1" t="str">
        <f t="array" ref="F230:F230">OFFSET(G230,-1,-1)</f>
        <v>2</v>
      </c>
      <c r="G230" s="497"/>
      <c r="H230" s="497"/>
      <c r="I230" s="497"/>
      <c r="J230" s="497"/>
      <c r="K230" s="497"/>
      <c r="L230" s="497"/>
      <c r="M230" s="497"/>
      <c r="N230" s="497"/>
      <c r="O230" s="736" t="s">
        <v>687</v>
      </c>
      <c r="P230" s="497"/>
      <c r="Q230" s="497"/>
      <c r="R230" s="497"/>
      <c r="S230" s="497"/>
      <c r="T230" s="805" cm="1" t="str">
        <f t="array" ref="T230:T230">T229</f>
        <v>false</v>
      </c>
      <c r="U230" s="1461"/>
      <c r="V230" s="1461"/>
      <c r="W230" s="1461"/>
      <c r="X230" s="1461"/>
      <c r="Y230" s="1461"/>
      <c r="Z230" s="1461"/>
      <c r="AA230" s="497"/>
      <c r="AB230" s="844" t="str">
        <f>AB226&amp;".4"</f>
        <v>10.4</v>
      </c>
      <c r="AC230" s="415" t="s">
        <v>646</v>
      </c>
      <c r="AD230" s="596" t="s">
        <v>690</v>
      </c>
      <c r="AE230" s="75"/>
      <c r="AF230" s="75"/>
      <c r="AG230" s="75"/>
      <c r="AH230" s="75"/>
      <c r="AI230" s="592"/>
      <c r="AJ230" s="592"/>
      <c r="AK230" s="592"/>
      <c r="AL230" s="592"/>
      <c r="AM230" s="592"/>
      <c r="AN230" s="75"/>
      <c r="AO230" s="75"/>
      <c r="AP230" s="75"/>
      <c r="AQ230" s="75"/>
      <c r="AR230" s="75"/>
      <c r="AS230" s="592"/>
      <c r="AT230" s="592"/>
      <c r="AU230" s="592"/>
      <c r="AV230" s="592"/>
      <c r="AW230" s="592"/>
      <c r="AX230" s="75"/>
      <c r="AY230" s="75"/>
      <c r="AZ230" s="75"/>
      <c r="BA230" s="75"/>
      <c r="BB230" s="84"/>
      <c r="BC230" s="68"/>
      <c r="BD230" s="497"/>
      <c r="BE230" s="497"/>
      <c r="BF230" s="1195" t="s">
        <v>695</v>
      </c>
    </row>
    <row s="1619" customFormat="1" customHeight="1" ht="52.5" hidden="1">
      <c r="A231" s="1183"/>
      <c r="B231" s="924"/>
      <c r="C231" s="1461"/>
      <c r="D231" s="1461"/>
      <c r="E231" s="794">
        <v>54</v>
      </c>
      <c r="F231" s="919" cm="1" t="str">
        <f t="array" ref="F231:F231">OFFSET(G231,-1,-1)</f>
        <v>2</v>
      </c>
      <c r="G231" s="497"/>
      <c r="H231" s="497"/>
      <c r="I231" s="497"/>
      <c r="J231" s="497"/>
      <c r="K231" s="497"/>
      <c r="L231" s="497"/>
      <c r="M231" s="497"/>
      <c r="N231" s="497"/>
      <c r="O231" s="736" t="s">
        <v>687</v>
      </c>
      <c r="P231" s="497"/>
      <c r="Q231" s="497"/>
      <c r="R231" s="497"/>
      <c r="S231" s="497"/>
      <c r="T231" s="805" cm="1" t="str">
        <f t="array" ref="T231:T231">T230</f>
        <v>false</v>
      </c>
      <c r="U231" s="1461"/>
      <c r="V231" s="1461"/>
      <c r="W231" s="1461"/>
      <c r="X231" s="1461"/>
      <c r="Y231" s="1461"/>
      <c r="Z231" s="1461"/>
      <c r="AA231" s="497"/>
      <c r="AB231" s="322" t="s">
        <v>696</v>
      </c>
      <c r="AC231" s="595" t="s">
        <v>697</v>
      </c>
      <c r="AD231" s="154"/>
      <c r="AE231" s="74"/>
      <c r="AF231" s="74"/>
      <c r="AG231" s="74"/>
      <c r="AH231" s="74"/>
      <c r="AI231" s="296"/>
      <c r="AJ231" s="296"/>
      <c r="AK231" s="296"/>
      <c r="AL231" s="296"/>
      <c r="AM231" s="296"/>
      <c r="AN231" s="74"/>
      <c r="AO231" s="74"/>
      <c r="AP231" s="74"/>
      <c r="AQ231" s="74"/>
      <c r="AR231" s="74"/>
      <c r="AS231" s="296"/>
      <c r="AT231" s="296"/>
      <c r="AU231" s="296"/>
      <c r="AV231" s="296"/>
      <c r="AW231" s="296"/>
      <c r="AX231" s="74"/>
      <c r="AY231" s="74"/>
      <c r="AZ231" s="74"/>
      <c r="BA231" s="74"/>
      <c r="BB231" s="74"/>
      <c r="BC231" s="79"/>
      <c r="BD231" s="497"/>
      <c r="BE231" s="497"/>
      <c r="BF231" s="1195" t="s">
        <v>698</v>
      </c>
    </row>
    <row customHeight="1" ht="11.115">
      <c r="E232" s="794">
        <v>11.4</v>
      </c>
      <c r="U232" s="172" t="s">
        <v>235</v>
      </c>
      <c r="V232" s="168" t="s">
        <v>699</v>
      </c>
      <c r="AI232" s="497"/>
      <c r="AJ232" s="497"/>
      <c r="AK232" s="497"/>
      <c r="AL232" s="497"/>
      <c r="AM232" s="497"/>
      <c r="AN232" s="497"/>
      <c r="AO232" s="497"/>
      <c r="AP232" s="497"/>
      <c r="AQ232" s="497"/>
      <c r="AR232" s="497"/>
      <c r="AS232" s="497"/>
      <c r="AT232" s="497"/>
      <c r="AU232" s="497"/>
      <c r="AV232" s="497"/>
      <c r="AW232" s="497"/>
      <c r="AX232" s="497"/>
      <c r="AY232" s="497"/>
      <c r="AZ232" s="497"/>
      <c r="BA232" s="497"/>
      <c r="BB232" s="497"/>
    </row>
    <row customHeight="1" ht="11.25" hidden="1">
      <c r="E233" s="794">
        <v>0</v>
      </c>
      <c r="V233" s="176"/>
      <c r="AI233" s="497"/>
      <c r="AJ233" s="497"/>
      <c r="AK233" s="497"/>
      <c r="AL233" s="497"/>
      <c r="AM233" s="497"/>
      <c r="AN233" s="497"/>
      <c r="AO233" s="497"/>
      <c r="AP233" s="497"/>
      <c r="AQ233" s="497"/>
      <c r="AR233" s="497"/>
      <c r="AS233" s="497"/>
      <c r="AT233" s="497"/>
      <c r="AU233" s="497"/>
      <c r="AV233" s="497"/>
      <c r="AW233" s="497"/>
      <c r="AX233" s="497"/>
      <c r="AY233" s="497"/>
      <c r="AZ233" s="497"/>
      <c r="BA233" s="497"/>
      <c r="BB233" s="497"/>
    </row>
    <row customHeight="1" ht="14.625">
      <c r="E234" s="794">
        <v>15</v>
      </c>
      <c r="V234" s="176"/>
      <c r="AB234" s="1477" t="s">
        <v>700</v>
      </c>
      <c r="AC234" s="1477"/>
      <c r="AD234" s="1477"/>
      <c r="AE234" s="1478"/>
      <c r="AF234" s="1478"/>
      <c r="AG234" s="1478"/>
      <c r="AH234" s="1478"/>
      <c r="AI234" s="1478"/>
      <c r="AJ234" s="1478"/>
      <c r="AK234" s="1478"/>
      <c r="AL234" s="1478"/>
      <c r="AM234" s="1478"/>
      <c r="AN234" s="1478"/>
      <c r="AO234" s="1478"/>
      <c r="AP234" s="1478"/>
      <c r="AQ234" s="1478"/>
      <c r="AR234" s="1478"/>
      <c r="AS234" s="1478"/>
      <c r="AT234" s="1478"/>
      <c r="AU234" s="1478"/>
      <c r="AV234" s="1478"/>
      <c r="AW234" s="1478"/>
      <c r="AX234" s="1478"/>
      <c r="AY234" s="1478"/>
      <c r="AZ234" s="1478"/>
      <c r="BA234" s="1478"/>
      <c r="BB234" s="1478"/>
      <c r="BC234" s="1478"/>
    </row>
    <row customHeight="1" ht="14.625">
      <c r="E235" s="794">
        <v>15</v>
      </c>
      <c r="V235" s="176"/>
      <c r="AA235" s="918"/>
      <c r="AB235" s="1479"/>
      <c r="AC235" s="1480"/>
      <c r="AD235" s="1480"/>
      <c r="AE235" s="1480"/>
      <c r="AF235" s="1480"/>
      <c r="AG235" s="1480"/>
      <c r="AH235" s="1480"/>
      <c r="AI235" s="1480"/>
      <c r="AJ235" s="1480"/>
      <c r="AK235" s="1480"/>
      <c r="AL235" s="1480"/>
      <c r="AM235" s="1480"/>
      <c r="AN235" s="1750"/>
      <c r="AO235" s="1750"/>
      <c r="AP235" s="1750"/>
      <c r="AQ235" s="1750"/>
      <c r="AR235" s="1750"/>
      <c r="AS235" s="1480"/>
      <c r="AT235" s="1480"/>
      <c r="AU235" s="1480"/>
      <c r="AV235" s="1480"/>
      <c r="AW235" s="1480"/>
      <c r="AX235" s="1750"/>
      <c r="AY235" s="1750"/>
      <c r="AZ235" s="1750"/>
      <c r="BA235" s="1750"/>
      <c r="BB235" s="1750"/>
      <c r="BC235" s="1481"/>
    </row>
    <row customHeight="1" ht="14.625" hidden="1">
      <c r="A236" s="1183"/>
      <c r="B236" s="924"/>
      <c r="C236" s="1461"/>
      <c r="D236" s="1461"/>
      <c r="E236" s="794">
        <v>15</v>
      </c>
      <c r="F236" s="1461"/>
      <c r="G236" s="497"/>
      <c r="H236" s="497"/>
      <c r="I236" s="497"/>
      <c r="J236" s="497"/>
      <c r="K236" s="497"/>
      <c r="L236" s="497"/>
      <c r="M236" s="497"/>
      <c r="N236" s="497"/>
      <c r="O236" s="497"/>
      <c r="P236" s="497"/>
      <c r="Q236" s="497"/>
      <c r="R236" s="497"/>
      <c r="S236" s="497"/>
      <c r="T236" s="172">
        <f>ROW(W236)&gt;ROW(W$236)</f>
        <v>0</v>
      </c>
      <c r="U236" s="1461"/>
      <c r="V236" s="176"/>
      <c r="W236" s="172" t="s">
        <v>233</v>
      </c>
      <c r="X236" s="1461"/>
      <c r="Y236" s="1461"/>
      <c r="Z236" s="1461"/>
      <c r="AA236" s="914" t="s">
        <v>217</v>
      </c>
      <c r="AB236" s="1752"/>
      <c r="AC236" s="1750"/>
      <c r="AD236" s="1750"/>
      <c r="AE236" s="1750"/>
      <c r="AF236" s="1750"/>
      <c r="AG236" s="1750"/>
      <c r="AH236" s="1750"/>
      <c r="AI236" s="1480"/>
      <c r="AJ236" s="1480"/>
      <c r="AK236" s="1480"/>
      <c r="AL236" s="1480"/>
      <c r="AM236" s="1480"/>
      <c r="AN236" s="1750"/>
      <c r="AO236" s="1750"/>
      <c r="AP236" s="1750"/>
      <c r="AQ236" s="1750"/>
      <c r="AR236" s="1750"/>
      <c r="AS236" s="1480"/>
      <c r="AT236" s="1480"/>
      <c r="AU236" s="1480"/>
      <c r="AV236" s="1480"/>
      <c r="AW236" s="1480"/>
      <c r="AX236" s="1750"/>
      <c r="AY236" s="1750"/>
      <c r="AZ236" s="1750"/>
      <c r="BA236" s="1750"/>
      <c r="BB236" s="1750"/>
      <c r="BC236" s="1753"/>
      <c r="BD236" s="497"/>
      <c r="BE236" s="497"/>
      <c r="BF236" s="1145"/>
    </row>
    <row customHeight="1" ht="14.625">
      <c r="E237" s="794">
        <v>15</v>
      </c>
      <c r="W237" s="168" t="s">
        <v>234</v>
      </c>
      <c r="AB237" s="1475" t="s">
        <v>701</v>
      </c>
      <c r="AC237" s="1476"/>
      <c r="AD237" s="380"/>
      <c r="AE237" s="381"/>
      <c r="AF237" s="381"/>
      <c r="AG237" s="381"/>
      <c r="AH237" s="381"/>
      <c r="AI237" s="381"/>
      <c r="AJ237" s="381"/>
      <c r="AK237" s="381"/>
      <c r="AL237" s="381"/>
      <c r="AM237" s="381"/>
      <c r="AN237" s="381"/>
      <c r="AO237" s="381"/>
      <c r="AP237" s="381"/>
      <c r="AQ237" s="381"/>
      <c r="AR237" s="381"/>
      <c r="AS237" s="381"/>
      <c r="AT237" s="381"/>
      <c r="AU237" s="381"/>
      <c r="AV237" s="381"/>
      <c r="AW237" s="381"/>
      <c r="AX237" s="381"/>
      <c r="AY237" s="381"/>
      <c r="AZ237" s="381"/>
      <c r="BA237" s="381"/>
      <c r="BB237" s="381"/>
      <c r="BC237" s="347"/>
    </row>
    <row customHeight="1" ht="11.25">
      <c r="AI238" s="497"/>
      <c r="AJ238" s="497"/>
      <c r="AK238" s="497"/>
      <c r="AL238" s="497"/>
      <c r="AM238" s="497"/>
      <c r="AN238" s="497"/>
      <c r="AO238" s="497"/>
      <c r="AP238" s="497"/>
      <c r="AQ238" s="497"/>
      <c r="AR238" s="497"/>
      <c r="AS238" s="497"/>
      <c r="AT238" s="497"/>
      <c r="AU238" s="497"/>
      <c r="AV238" s="497"/>
      <c r="AW238" s="497"/>
      <c r="AX238" s="497"/>
      <c r="AY238" s="497"/>
      <c r="AZ238" s="497"/>
      <c r="BA238" s="497"/>
      <c r="BB238" s="497"/>
      <c r="BD238" s="210"/>
    </row>
  </sheetData>
  <sheetProtection formatColumns="0" formatRows="0" insertRows="0" deleteColumns="0" deleteRows="0" sort="0" autoFilter="0" insertColumns="1"/>
  <mergeCells count="15">
    <mergeCell ref="X28:X95"/>
    <mergeCell ref="Z28:Z95"/>
    <mergeCell ref="AB237:AC237"/>
    <mergeCell ref="AB234:BC234"/>
    <mergeCell ref="AB235:BC235"/>
    <mergeCell ref="AB236:BC236"/>
    <mergeCell ref="AB24:BC24"/>
    <mergeCell ref="AD25:AD26"/>
    <mergeCell ref="BC25:BC26"/>
    <mergeCell ref="AB25:AB26"/>
    <mergeCell ref="AC25:AC26"/>
    <mergeCell ref="X96:X163"/>
    <mergeCell ref="Z96:Z163"/>
    <mergeCell ref="X164:X231"/>
    <mergeCell ref="Z164:Z231"/>
  </mergeCells>
  <dataValidations count="2">
    <dataValidation allowBlank="1" showInputMessage="1" showErrorMessage="1" sqref="AC90 AC95 AC158 AC163 AC226 AC231"/>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66 AF166 AG166 AH166 AI166 AJ166 AK166 AL166 AM166 AN166 AO166 AP166 AQ166 AR166 AS166 AT166 AU166 AV166 AW166 AX166 AY166 AZ166 BA166 BB166 AE167 AF167 AG167 AH167 AI167 AJ167 AK167 AL167 AM167 AN167 AO167 AP167 AQ167 AR167 AS167 AT167 AU167 AV167 AW167 AX167 AY167 AZ167 BA167 BB167 AE168 AF168 AG168 AH168 AI168 AJ168 AK168 AL168 AM168 AN168 AO168 AP168 AQ168 AR168 AS168 AT168 AU168 AV168 AW168 AX168 AY168 AZ168 BA168 BB168 AE169 AF169 AG169 AH169 AI169 AJ169 AK169 AL169 AM169 AN169 AO169 AP169 AQ169 AR169 AS169 AT169 AU169 AV169 AW169 AX169 AY169 AZ169 BA169 BB169 AE170 AF170 AG170 AH170 AI170 AJ170 AK170 AL170 AM170 AN170 AO170 AP170 AQ170 AR170 AS170 AT170 AU170 AV170 AW170 AX170 AY170 AZ170 BA170 BB170 AE171 AF171 AG171 AH171 AI171 AJ171 AK171 AL171 AM171 AN171 AO171 AP171 AQ171 AR171 AS171 AT171 AU171 AV171 AW171 AX171 AY171 AZ171 BA171 BB171 AE174 AF174 AG174 AH174 AI174 AJ174 AK174 AL174 AM174 AN174 AO174 AP174 AQ174 AR174 AS174 AT174 AU174 AV174 AW174 AX174 AY174 AZ174 BA174 BB174 AE175 AF175 AG175 AH175 AI175 AJ175 AK175 AL175 AM175 AN175 AO175 AP175 AQ175 AR175 AS175 AT175 AU175 AV175 AW175 AX175 AY175 AZ175 BA175 BB175 AE176 AF176 AG176 AH176 AI176 AJ176 AK176 AL176 AM176 AN176 AO176 AP176 AQ176 AR176 AS176 AT176 AU176 AV176 AW176 AX176 AY176 AZ176 BA176 BB176 AE177 AF177 AG177 AH177 AI177 AJ177 AK177 AL177 AM177 AN177 AO177 AP177 AQ177 AR177 AS177 AT177 AU177 AV177 AW177 AX177 AY177 AZ177 BA177 BB177 AE178 AF178 AG178 AH178 AI178 AJ178 AK178 AL178 AM178 AN178 AO178 AP178 AQ178 AR178 AS178 AT178 AU178 AV178 AW178 AX178 AY178 AZ178 BA178 BB178 AE179 AF179 AG179 AH179 AI179 AJ179 AK179 AL179 AM179 AN179 AO179 AP179 AQ179 AR179 AS179 AT179 AU179 AV179 AW179 AX179 AY179 AZ179 BA179 BB179">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45358-9F67-987B-FF6E-7901F4719677}" mc:Ignorable="x14ac xr xr2 xr3">
  <sheetPr>
    <tabColor theme="6" tint="0.4"/>
    <outlinePr summaryRight="0" summaryBelow="0"/>
  </sheetPr>
  <dimension ref="A1:BF5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9" style="497" width="13.1328125" customWidth="1"/>
    <col min="40" max="44" style="497" width="13.1328125" hidden="1" customWidth="1"/>
    <col min="45" max="49" style="497" width="13.1328125" customWidth="1"/>
    <col min="50"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OR(T27:T49)</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376</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377</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430</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431</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432</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390</v>
      </c>
      <c r="AC25" s="1473" t="s">
        <v>433</v>
      </c>
      <c r="AD25" s="1465" t="s">
        <v>434</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587</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407</v>
      </c>
      <c r="AF26" s="1353" t="s">
        <v>588</v>
      </c>
      <c r="AG26" s="167" t="s">
        <v>589</v>
      </c>
      <c r="AH26" s="167" t="s">
        <v>407</v>
      </c>
      <c r="AI26" s="1354" t="s">
        <v>408</v>
      </c>
      <c r="AJ26" s="1354" t="s">
        <v>408</v>
      </c>
      <c r="AK26" s="1354" t="s">
        <v>408</v>
      </c>
      <c r="AL26" s="1354" t="s">
        <v>408</v>
      </c>
      <c r="AM26" s="1354" t="s">
        <v>408</v>
      </c>
      <c r="AN26" s="1354" t="s">
        <v>408</v>
      </c>
      <c r="AO26" s="1354" t="s">
        <v>408</v>
      </c>
      <c r="AP26" s="1354" t="s">
        <v>408</v>
      </c>
      <c r="AQ26" s="1354" t="s">
        <v>408</v>
      </c>
      <c r="AR26" s="1354" t="s">
        <v>408</v>
      </c>
      <c r="AS26" s="410" t="s">
        <v>407</v>
      </c>
      <c r="AT26" s="410" t="s">
        <v>407</v>
      </c>
      <c r="AU26" s="410" t="s">
        <v>407</v>
      </c>
      <c r="AV26" s="410" t="s">
        <v>407</v>
      </c>
      <c r="AW26" s="410" t="s">
        <v>407</v>
      </c>
      <c r="AX26" s="410" t="s">
        <v>407</v>
      </c>
      <c r="AY26" s="410" t="s">
        <v>407</v>
      </c>
      <c r="AZ26" s="410" t="s">
        <v>407</v>
      </c>
      <c r="BA26" s="410" t="s">
        <v>407</v>
      </c>
      <c r="BB26" s="410" t="s">
        <v>407</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сведения'!$AL$169:$AL$218,MATCH($F28,'Общие сведения'!$Z$169:$Z$218,0))</f>
        <v>0</v>
      </c>
      <c r="T28" s="805">
        <f>AND(X28&gt;0,G28="передача тепловой энергии")</f>
        <v>0</v>
      </c>
      <c r="V28" s="172" t="s">
        <v>309</v>
      </c>
      <c r="X28" s="172">
        <v>0</v>
      </c>
      <c r="AB28" s="463" cm="1" t="str">
        <f t="array" ref="AB28:AB28">INDEX('Общие сведения'!$AG$169:$AG$218,MATCH($F28,'Общие сведения'!$Z$169:$Z$218,0))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335</v>
      </c>
      <c r="AC29" s="566" t="s">
        <v>702</v>
      </c>
      <c r="AD29" s="167" t="s">
        <v>591</v>
      </c>
      <c r="AE29" s="77"/>
      <c r="AF29" s="77"/>
      <c r="AG29" s="77"/>
      <c r="AH29" s="77"/>
      <c r="AI29" s="482"/>
      <c r="AJ29" s="482"/>
      <c r="AK29" s="482"/>
      <c r="AL29" s="482"/>
      <c r="AM29" s="482"/>
      <c r="AN29" s="77"/>
      <c r="AO29" s="77"/>
      <c r="AP29" s="77"/>
      <c r="AQ29" s="77"/>
      <c r="AR29" s="77"/>
      <c r="AS29" s="482"/>
      <c r="AT29" s="482"/>
      <c r="AU29" s="482"/>
      <c r="AV29" s="482"/>
      <c r="AW29" s="482"/>
      <c r="AX29" s="77"/>
      <c r="AY29" s="77"/>
      <c r="AZ29" s="77"/>
      <c r="BA29" s="77"/>
      <c r="BB29" s="77"/>
      <c r="BC29" s="73"/>
      <c r="BF29" s="1207" t="s">
        <v>703</v>
      </c>
    </row>
    <row customHeight="1" ht="16.672500000000003" hidden="1">
      <c r="E30" s="794">
        <v>17.1</v>
      </c>
      <c r="F30" s="919" cm="1" t="str">
        <f t="array" ref="F30:F30">OFFSET(G30,-1,-1)</f>
        <v>0</v>
      </c>
      <c r="T30" s="805" cm="1" t="str">
        <f t="array" ref="T30:T30">T29</f>
        <v>false</v>
      </c>
      <c r="AB30" s="565" t="s">
        <v>343</v>
      </c>
      <c r="AC30" s="566" t="s">
        <v>704</v>
      </c>
      <c r="AD30" s="167" t="s">
        <v>591</v>
      </c>
      <c r="AE30" s="85"/>
      <c r="AF30" s="85"/>
      <c r="AG30" s="85"/>
      <c r="AH30" s="85"/>
      <c r="AI30" s="481"/>
      <c r="AJ30" s="481"/>
      <c r="AK30" s="481"/>
      <c r="AL30" s="481"/>
      <c r="AM30" s="481"/>
      <c r="AN30" s="85"/>
      <c r="AO30" s="85"/>
      <c r="AP30" s="85"/>
      <c r="AQ30" s="85"/>
      <c r="AR30" s="85"/>
      <c r="AS30" s="481"/>
      <c r="AT30" s="481"/>
      <c r="AU30" s="481"/>
      <c r="AV30" s="481"/>
      <c r="AW30" s="481"/>
      <c r="AX30" s="85"/>
      <c r="AY30" s="85"/>
      <c r="AZ30" s="85"/>
      <c r="BA30" s="85"/>
      <c r="BB30" s="85"/>
      <c r="BC30" s="73"/>
      <c r="BF30" s="1207" t="s">
        <v>705</v>
      </c>
    </row>
    <row customHeight="1" ht="16.672500000000003" hidden="1">
      <c r="E31" s="794">
        <v>17.1</v>
      </c>
      <c r="F31" s="919" cm="1" t="str">
        <f t="array" ref="F31:F31">OFFSET(G31,-1,-1)</f>
        <v>0</v>
      </c>
      <c r="T31" s="805" cm="1" t="str">
        <f t="array" ref="T31:T31">T30</f>
        <v>false</v>
      </c>
      <c r="AB31" s="485" t="s">
        <v>448</v>
      </c>
      <c r="AC31" s="501" t="s">
        <v>706</v>
      </c>
      <c r="AD31" s="167" t="s">
        <v>490</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3"/>
      <c r="BF31" s="1207" t="s">
        <v>707</v>
      </c>
    </row>
    <row customHeight="1" ht="16.672500000000003" hidden="1">
      <c r="E32" s="794">
        <v>17.1</v>
      </c>
      <c r="F32" s="919" cm="1" t="str">
        <f t="array" ref="F32:F32">OFFSET(G32,-1,-1)</f>
        <v>0</v>
      </c>
      <c r="T32" s="805" cm="1" t="str">
        <f t="array" ref="T32:T32">T31</f>
        <v>false</v>
      </c>
      <c r="AB32" s="479" t="s">
        <v>614</v>
      </c>
      <c r="AC32" s="567" t="s">
        <v>708</v>
      </c>
      <c r="AD32" s="167" t="s">
        <v>591</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3"/>
      <c r="BF32" s="1207" t="s">
        <v>709</v>
      </c>
    </row>
    <row customHeight="1" ht="16.672500000000003" hidden="1">
      <c r="E33" s="794">
        <v>17.1</v>
      </c>
      <c r="F33" s="919" cm="1" t="str">
        <f t="array" ref="F33:F33">OFFSET(G33,-1,-1)</f>
        <v>0</v>
      </c>
      <c r="T33" s="805" cm="1" t="str">
        <f t="array" ref="T33:T33">T32</f>
        <v>false</v>
      </c>
      <c r="AB33" s="484" t="s">
        <v>710</v>
      </c>
      <c r="AC33" s="550" t="s">
        <v>711</v>
      </c>
      <c r="AD33" s="167" t="s">
        <v>591</v>
      </c>
      <c r="AE33" s="77"/>
      <c r="AF33" s="77"/>
      <c r="AG33" s="77"/>
      <c r="AH33" s="77"/>
      <c r="AI33" s="482"/>
      <c r="AJ33" s="482"/>
      <c r="AK33" s="482"/>
      <c r="AL33" s="482"/>
      <c r="AM33" s="482"/>
      <c r="AN33" s="77"/>
      <c r="AO33" s="77"/>
      <c r="AP33" s="77"/>
      <c r="AQ33" s="77"/>
      <c r="AR33" s="77"/>
      <c r="AS33" s="482"/>
      <c r="AT33" s="482"/>
      <c r="AU33" s="482"/>
      <c r="AV33" s="482"/>
      <c r="AW33" s="482"/>
      <c r="AX33" s="77"/>
      <c r="AY33" s="77"/>
      <c r="AZ33" s="77"/>
      <c r="BA33" s="77"/>
      <c r="BB33" s="77"/>
      <c r="BC33" s="73"/>
      <c r="BF33" s="1207" t="s">
        <v>712</v>
      </c>
    </row>
    <row customHeight="1" ht="16.672500000000003" hidden="1">
      <c r="E34" s="794">
        <v>17.1</v>
      </c>
      <c r="F34" s="919" cm="1" t="str">
        <f t="array" ref="F34:F34">OFFSET(G34,-1,-1)</f>
        <v>0</v>
      </c>
      <c r="T34" s="805" cm="1" t="str">
        <f t="array" ref="T34:T34">T33</f>
        <v>false</v>
      </c>
      <c r="AB34" s="484" t="s">
        <v>713</v>
      </c>
      <c r="AC34" s="550" t="s">
        <v>640</v>
      </c>
      <c r="AD34" s="167" t="s">
        <v>591</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3"/>
      <c r="BF34" s="1207" t="s">
        <v>714</v>
      </c>
    </row>
    <row s="1619" customFormat="1" customHeight="1" ht="10.5" hidden="1">
      <c r="A35" s="1183"/>
      <c r="B35" s="924"/>
      <c r="C35" s="1461"/>
      <c r="D35" s="1461"/>
      <c r="E35" s="794">
        <v>11.4</v>
      </c>
      <c r="F35" s="172" cm="1" t="str">
        <f t="array" ref="F35:F35">X35</f>
        <v>1</v>
      </c>
      <c r="G35" s="210" cm="1" t="str">
        <f t="array" ref="G35:G35">INDEX('Общие сведения'!$AL$169:$AL$218,MATCH($F35,'Общие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35" s="497"/>
      <c r="I35" s="497"/>
      <c r="J35" s="497"/>
      <c r="K35" s="497"/>
      <c r="L35" s="497"/>
      <c r="M35" s="497"/>
      <c r="N35" s="497"/>
      <c r="O35" s="497"/>
      <c r="P35" s="497"/>
      <c r="Q35" s="497"/>
      <c r="R35" s="497"/>
      <c r="S35" s="497"/>
      <c r="T35" s="805">
        <f>AND(X35&gt;0,G35="передача тепловой энергии")</f>
        <v>0</v>
      </c>
      <c r="U35" s="1461"/>
      <c r="V35" s="172" cm="1" t="str">
        <f t="array" ref="V35:V35">'Баланс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W35" s="1461"/>
      <c r="X35" s="172" t="s">
        <v>335</v>
      </c>
      <c r="Y35" s="1461"/>
      <c r="Z35" s="1461"/>
      <c r="AA35" s="497"/>
      <c r="AB35" s="463" cm="1" t="str">
        <f t="array" ref="AB35:AB35">IF(ISBLANK('Баланс Пр'!$AB$96),"",'Баланс Пр'!$AB$96)</f>
        <v>Тариф 1 (Теплоснабжение) - Тариф на тепловую энергию (мощность), поставляемую потребителям (Тариф: Носитель - горячая вода (Т); Носитель - горячая вода (Т))</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19" customFormat="1" customHeight="1" ht="16.5" hidden="1">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false</v>
      </c>
      <c r="U36" s="1461"/>
      <c r="V36" s="1461"/>
      <c r="W36" s="1461"/>
      <c r="X36" s="1461"/>
      <c r="Y36" s="1461"/>
      <c r="Z36" s="1461"/>
      <c r="AA36" s="497"/>
      <c r="AB36" s="565" t="s">
        <v>335</v>
      </c>
      <c r="AC36" s="566" t="s">
        <v>702</v>
      </c>
      <c r="AD36" s="167" t="s">
        <v>591</v>
      </c>
      <c r="AE36" s="77"/>
      <c r="AF36" s="77"/>
      <c r="AG36" s="77"/>
      <c r="AH36" s="77"/>
      <c r="AI36" s="482"/>
      <c r="AJ36" s="482"/>
      <c r="AK36" s="482"/>
      <c r="AL36" s="482"/>
      <c r="AM36" s="482"/>
      <c r="AN36" s="77"/>
      <c r="AO36" s="77"/>
      <c r="AP36" s="77"/>
      <c r="AQ36" s="77"/>
      <c r="AR36" s="77"/>
      <c r="AS36" s="482"/>
      <c r="AT36" s="482"/>
      <c r="AU36" s="482"/>
      <c r="AV36" s="482"/>
      <c r="AW36" s="482"/>
      <c r="AX36" s="77"/>
      <c r="AY36" s="77"/>
      <c r="AZ36" s="77"/>
      <c r="BA36" s="77"/>
      <c r="BB36" s="77"/>
      <c r="BC36" s="73"/>
      <c r="BD36" s="497"/>
      <c r="BE36" s="497"/>
      <c r="BF36" s="1207" t="s">
        <v>703</v>
      </c>
    </row>
    <row s="1619" customFormat="1" customHeight="1" ht="16.5" hidden="1">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false</v>
      </c>
      <c r="U37" s="1461"/>
      <c r="V37" s="1461"/>
      <c r="W37" s="1461"/>
      <c r="X37" s="1461"/>
      <c r="Y37" s="1461"/>
      <c r="Z37" s="1461"/>
      <c r="AA37" s="497"/>
      <c r="AB37" s="565" t="s">
        <v>343</v>
      </c>
      <c r="AC37" s="566" t="s">
        <v>704</v>
      </c>
      <c r="AD37" s="167" t="s">
        <v>591</v>
      </c>
      <c r="AE37" s="85"/>
      <c r="AF37" s="85"/>
      <c r="AG37" s="85"/>
      <c r="AH37" s="85"/>
      <c r="AI37" s="481"/>
      <c r="AJ37" s="481"/>
      <c r="AK37" s="481"/>
      <c r="AL37" s="481"/>
      <c r="AM37" s="481"/>
      <c r="AN37" s="85"/>
      <c r="AO37" s="85"/>
      <c r="AP37" s="85"/>
      <c r="AQ37" s="85"/>
      <c r="AR37" s="85"/>
      <c r="AS37" s="481"/>
      <c r="AT37" s="481"/>
      <c r="AU37" s="481"/>
      <c r="AV37" s="481"/>
      <c r="AW37" s="481"/>
      <c r="AX37" s="85"/>
      <c r="AY37" s="85"/>
      <c r="AZ37" s="85"/>
      <c r="BA37" s="85"/>
      <c r="BB37" s="85"/>
      <c r="BC37" s="73"/>
      <c r="BD37" s="497"/>
      <c r="BE37" s="497"/>
      <c r="BF37" s="1207" t="s">
        <v>705</v>
      </c>
    </row>
    <row s="1619" customFormat="1" customHeight="1" ht="16.5" hidden="1">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false</v>
      </c>
      <c r="U38" s="1461"/>
      <c r="V38" s="1461"/>
      <c r="W38" s="1461"/>
      <c r="X38" s="1461"/>
      <c r="Y38" s="1461"/>
      <c r="Z38" s="1461"/>
      <c r="AA38" s="497"/>
      <c r="AB38" s="485" t="s">
        <v>448</v>
      </c>
      <c r="AC38" s="501" t="s">
        <v>706</v>
      </c>
      <c r="AD38" s="167" t="s">
        <v>490</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3"/>
      <c r="BD38" s="497"/>
      <c r="BE38" s="497"/>
      <c r="BF38" s="1207" t="s">
        <v>707</v>
      </c>
    </row>
    <row s="1619" customFormat="1" customHeight="1" ht="16.5" hidden="1">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false</v>
      </c>
      <c r="U39" s="1461"/>
      <c r="V39" s="1461"/>
      <c r="W39" s="1461"/>
      <c r="X39" s="1461"/>
      <c r="Y39" s="1461"/>
      <c r="Z39" s="1461"/>
      <c r="AA39" s="497"/>
      <c r="AB39" s="479" t="s">
        <v>614</v>
      </c>
      <c r="AC39" s="567" t="s">
        <v>708</v>
      </c>
      <c r="AD39" s="167" t="s">
        <v>591</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3"/>
      <c r="BD39" s="497"/>
      <c r="BE39" s="497"/>
      <c r="BF39" s="1207" t="s">
        <v>709</v>
      </c>
    </row>
    <row s="1619" customFormat="1" customHeight="1" ht="16.5" hidden="1">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false</v>
      </c>
      <c r="U40" s="1461"/>
      <c r="V40" s="1461"/>
      <c r="W40" s="1461"/>
      <c r="X40" s="1461"/>
      <c r="Y40" s="1461"/>
      <c r="Z40" s="1461"/>
      <c r="AA40" s="497"/>
      <c r="AB40" s="484" t="s">
        <v>710</v>
      </c>
      <c r="AC40" s="550" t="s">
        <v>711</v>
      </c>
      <c r="AD40" s="167" t="s">
        <v>591</v>
      </c>
      <c r="AE40" s="77"/>
      <c r="AF40" s="77"/>
      <c r="AG40" s="77"/>
      <c r="AH40" s="77"/>
      <c r="AI40" s="482"/>
      <c r="AJ40" s="482"/>
      <c r="AK40" s="482"/>
      <c r="AL40" s="482"/>
      <c r="AM40" s="482"/>
      <c r="AN40" s="77"/>
      <c r="AO40" s="77"/>
      <c r="AP40" s="77"/>
      <c r="AQ40" s="77"/>
      <c r="AR40" s="77"/>
      <c r="AS40" s="482"/>
      <c r="AT40" s="482"/>
      <c r="AU40" s="482"/>
      <c r="AV40" s="482"/>
      <c r="AW40" s="482"/>
      <c r="AX40" s="77"/>
      <c r="AY40" s="77"/>
      <c r="AZ40" s="77"/>
      <c r="BA40" s="77"/>
      <c r="BB40" s="77"/>
      <c r="BC40" s="73"/>
      <c r="BD40" s="497"/>
      <c r="BE40" s="497"/>
      <c r="BF40" s="1207" t="s">
        <v>712</v>
      </c>
    </row>
    <row s="1619" customFormat="1" customHeight="1" ht="16.5" hidden="1">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false</v>
      </c>
      <c r="U41" s="1461"/>
      <c r="V41" s="1461"/>
      <c r="W41" s="1461"/>
      <c r="X41" s="1461"/>
      <c r="Y41" s="1461"/>
      <c r="Z41" s="1461"/>
      <c r="AA41" s="497"/>
      <c r="AB41" s="484" t="s">
        <v>713</v>
      </c>
      <c r="AC41" s="550" t="s">
        <v>640</v>
      </c>
      <c r="AD41" s="167" t="s">
        <v>591</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3"/>
      <c r="BD41" s="497"/>
      <c r="BE41" s="497"/>
      <c r="BF41" s="1207" t="s">
        <v>714</v>
      </c>
    </row>
    <row s="1619" customFormat="1" customHeight="1" ht="10.5" hidden="1">
      <c r="A42" s="1183"/>
      <c r="B42" s="924"/>
      <c r="C42" s="1461"/>
      <c r="D42" s="1461"/>
      <c r="E42" s="794">
        <v>11.4</v>
      </c>
      <c r="F42" s="172" cm="1" t="str">
        <f t="array" ref="F42:F42">X42</f>
        <v>2</v>
      </c>
      <c r="G42" s="210" cm="1" t="str">
        <f t="array" ref="G42:G42">INDEX('Общие сведения'!$AL$169:$AL$218,MATCH($F42,'Общие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H42" s="497"/>
      <c r="I42" s="497"/>
      <c r="J42" s="497"/>
      <c r="K42" s="497"/>
      <c r="L42" s="497"/>
      <c r="M42" s="497"/>
      <c r="N42" s="497"/>
      <c r="O42" s="497"/>
      <c r="P42" s="497"/>
      <c r="Q42" s="497"/>
      <c r="R42" s="497"/>
      <c r="S42" s="497"/>
      <c r="T42" s="805">
        <f>AND(X42&gt;0,G42="передача тепловой энергии")</f>
        <v>0</v>
      </c>
      <c r="U42" s="1461"/>
      <c r="V42" s="172" cm="1" t="str">
        <f t="array" ref="V42:V42">'Баланс Пр'!$AB$164</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42" s="1461"/>
      <c r="X42" s="172" t="s">
        <v>343</v>
      </c>
      <c r="Y42" s="1461"/>
      <c r="Z42" s="1461"/>
      <c r="AA42" s="497"/>
      <c r="AB42" s="463" cm="1" t="str">
        <f t="array" ref="AB42:AB42">IF(ISBLANK('Баланс Пр'!$AB$164),"",'Баланс Пр'!$AB$164)</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497"/>
      <c r="BE42" s="497"/>
      <c r="BF42" s="1217"/>
    </row>
    <row s="1619" customFormat="1" customHeight="1" ht="16.5" hidden="1">
      <c r="A43" s="1183"/>
      <c r="B43" s="924"/>
      <c r="C43" s="1461"/>
      <c r="D43" s="1461"/>
      <c r="E43" s="794">
        <v>17.1</v>
      </c>
      <c r="F43" s="919" cm="1" t="str">
        <f t="array" ref="F43:F43">OFFSET(G43,-1,-1)</f>
        <v>2</v>
      </c>
      <c r="G43" s="497"/>
      <c r="H43" s="497"/>
      <c r="I43" s="497"/>
      <c r="J43" s="497"/>
      <c r="K43" s="497"/>
      <c r="L43" s="497"/>
      <c r="M43" s="497"/>
      <c r="N43" s="497"/>
      <c r="O43" s="497"/>
      <c r="P43" s="497"/>
      <c r="Q43" s="497"/>
      <c r="R43" s="497"/>
      <c r="S43" s="497"/>
      <c r="T43" s="805" cm="1" t="str">
        <f t="array" ref="T43:T43">T42</f>
        <v>false</v>
      </c>
      <c r="U43" s="1461"/>
      <c r="V43" s="1461"/>
      <c r="W43" s="1461"/>
      <c r="X43" s="1461"/>
      <c r="Y43" s="1461"/>
      <c r="Z43" s="1461"/>
      <c r="AA43" s="497"/>
      <c r="AB43" s="565" t="s">
        <v>335</v>
      </c>
      <c r="AC43" s="566" t="s">
        <v>702</v>
      </c>
      <c r="AD43" s="167" t="s">
        <v>591</v>
      </c>
      <c r="AE43" s="77"/>
      <c r="AF43" s="77"/>
      <c r="AG43" s="77"/>
      <c r="AH43" s="77"/>
      <c r="AI43" s="482"/>
      <c r="AJ43" s="482"/>
      <c r="AK43" s="482"/>
      <c r="AL43" s="482"/>
      <c r="AM43" s="482"/>
      <c r="AN43" s="77"/>
      <c r="AO43" s="77"/>
      <c r="AP43" s="77"/>
      <c r="AQ43" s="77"/>
      <c r="AR43" s="77"/>
      <c r="AS43" s="482"/>
      <c r="AT43" s="482"/>
      <c r="AU43" s="482"/>
      <c r="AV43" s="482"/>
      <c r="AW43" s="482"/>
      <c r="AX43" s="77"/>
      <c r="AY43" s="77"/>
      <c r="AZ43" s="77"/>
      <c r="BA43" s="77"/>
      <c r="BB43" s="77"/>
      <c r="BC43" s="73"/>
      <c r="BD43" s="497"/>
      <c r="BE43" s="497"/>
      <c r="BF43" s="1207" t="s">
        <v>703</v>
      </c>
    </row>
    <row s="1619" customFormat="1" customHeight="1" ht="16.5" hidden="1">
      <c r="A44" s="1183"/>
      <c r="B44" s="924"/>
      <c r="C44" s="1461"/>
      <c r="D44" s="1461"/>
      <c r="E44" s="794">
        <v>17.1</v>
      </c>
      <c r="F44" s="919" cm="1" t="str">
        <f t="array" ref="F44:F44">OFFSET(G44,-1,-1)</f>
        <v>2</v>
      </c>
      <c r="G44" s="497"/>
      <c r="H44" s="497"/>
      <c r="I44" s="497"/>
      <c r="J44" s="497"/>
      <c r="K44" s="497"/>
      <c r="L44" s="497"/>
      <c r="M44" s="497"/>
      <c r="N44" s="497"/>
      <c r="O44" s="497"/>
      <c r="P44" s="497"/>
      <c r="Q44" s="497"/>
      <c r="R44" s="497"/>
      <c r="S44" s="497"/>
      <c r="T44" s="805" cm="1" t="str">
        <f t="array" ref="T44:T44">T43</f>
        <v>false</v>
      </c>
      <c r="U44" s="1461"/>
      <c r="V44" s="1461"/>
      <c r="W44" s="1461"/>
      <c r="X44" s="1461"/>
      <c r="Y44" s="1461"/>
      <c r="Z44" s="1461"/>
      <c r="AA44" s="497"/>
      <c r="AB44" s="565" t="s">
        <v>343</v>
      </c>
      <c r="AC44" s="566" t="s">
        <v>704</v>
      </c>
      <c r="AD44" s="167" t="s">
        <v>591</v>
      </c>
      <c r="AE44" s="85"/>
      <c r="AF44" s="85"/>
      <c r="AG44" s="85"/>
      <c r="AH44" s="85"/>
      <c r="AI44" s="481"/>
      <c r="AJ44" s="481"/>
      <c r="AK44" s="481"/>
      <c r="AL44" s="481"/>
      <c r="AM44" s="481"/>
      <c r="AN44" s="85"/>
      <c r="AO44" s="85"/>
      <c r="AP44" s="85"/>
      <c r="AQ44" s="85"/>
      <c r="AR44" s="85"/>
      <c r="AS44" s="481"/>
      <c r="AT44" s="481"/>
      <c r="AU44" s="481"/>
      <c r="AV44" s="481"/>
      <c r="AW44" s="481"/>
      <c r="AX44" s="85"/>
      <c r="AY44" s="85"/>
      <c r="AZ44" s="85"/>
      <c r="BA44" s="85"/>
      <c r="BB44" s="85"/>
      <c r="BC44" s="73"/>
      <c r="BD44" s="497"/>
      <c r="BE44" s="497"/>
      <c r="BF44" s="1207" t="s">
        <v>705</v>
      </c>
    </row>
    <row s="1619" customFormat="1" customHeight="1" ht="16.5" hidden="1">
      <c r="A45" s="1183"/>
      <c r="B45" s="924"/>
      <c r="C45" s="1461"/>
      <c r="D45" s="1461"/>
      <c r="E45" s="794">
        <v>17.1</v>
      </c>
      <c r="F45" s="919" cm="1" t="str">
        <f t="array" ref="F45:F45">OFFSET(G45,-1,-1)</f>
        <v>2</v>
      </c>
      <c r="G45" s="497"/>
      <c r="H45" s="497"/>
      <c r="I45" s="497"/>
      <c r="J45" s="497"/>
      <c r="K45" s="497"/>
      <c r="L45" s="497"/>
      <c r="M45" s="497"/>
      <c r="N45" s="497"/>
      <c r="O45" s="497"/>
      <c r="P45" s="497"/>
      <c r="Q45" s="497"/>
      <c r="R45" s="497"/>
      <c r="S45" s="497"/>
      <c r="T45" s="805" cm="1" t="str">
        <f t="array" ref="T45:T45">T44</f>
        <v>false</v>
      </c>
      <c r="U45" s="1461"/>
      <c r="V45" s="1461"/>
      <c r="W45" s="1461"/>
      <c r="X45" s="1461"/>
      <c r="Y45" s="1461"/>
      <c r="Z45" s="1461"/>
      <c r="AA45" s="497"/>
      <c r="AB45" s="485" t="s">
        <v>448</v>
      </c>
      <c r="AC45" s="501" t="s">
        <v>706</v>
      </c>
      <c r="AD45" s="167" t="s">
        <v>490</v>
      </c>
      <c r="AE45" s="568">
        <f>IF(AE43=0,0,AE44/AE43)</f>
        <v>0</v>
      </c>
      <c r="AF45" s="568">
        <f>IF(AF43=0,0,AF44/AF43)</f>
        <v>0</v>
      </c>
      <c r="AG45" s="568">
        <f>IF(AG43=0,0,AG44/AG43)</f>
        <v>0</v>
      </c>
      <c r="AH45" s="568">
        <f>IF(AH43=0,0,AH44/AH43)</f>
        <v>0</v>
      </c>
      <c r="AI45" s="568">
        <f>IF(AI43=0,0,AI44/AI43)</f>
        <v>0</v>
      </c>
      <c r="AJ45" s="568">
        <f>IF(AJ43=0,0,AJ44/AJ43)</f>
        <v>0</v>
      </c>
      <c r="AK45" s="568">
        <f>IF(AK43=0,0,AK44/AK43)</f>
        <v>0</v>
      </c>
      <c r="AL45" s="568">
        <f>IF(AL43=0,0,AL44/AL43)</f>
        <v>0</v>
      </c>
      <c r="AM45" s="568">
        <f>IF(AM43=0,0,AM44/AM43)</f>
        <v>0</v>
      </c>
      <c r="AN45" s="568">
        <f>IF(AN43=0,0,AN44/AN43)</f>
        <v>0</v>
      </c>
      <c r="AO45" s="568">
        <f>IF(AO43=0,0,AO44/AO43)</f>
        <v>0</v>
      </c>
      <c r="AP45" s="568">
        <f>IF(AP43=0,0,AP44/AP43)</f>
        <v>0</v>
      </c>
      <c r="AQ45" s="568">
        <f>IF(AQ43=0,0,AQ44/AQ43)</f>
        <v>0</v>
      </c>
      <c r="AR45" s="568">
        <f>IF(AR43=0,0,AR44/AR43)</f>
        <v>0</v>
      </c>
      <c r="AS45" s="568">
        <f>IF(AS43=0,0,AS44/AS43)</f>
        <v>0</v>
      </c>
      <c r="AT45" s="568">
        <f>IF(AT43=0,0,AT44/AT43)</f>
        <v>0</v>
      </c>
      <c r="AU45" s="568">
        <f>IF(AU43=0,0,AU44/AU43)</f>
        <v>0</v>
      </c>
      <c r="AV45" s="568">
        <f>IF(AV43=0,0,AV44/AV43)</f>
        <v>0</v>
      </c>
      <c r="AW45" s="568">
        <f>IF(AW43=0,0,AW44/AW43)</f>
        <v>0</v>
      </c>
      <c r="AX45" s="568">
        <f>IF(AX43=0,0,AX44/AX43)</f>
        <v>0</v>
      </c>
      <c r="AY45" s="568">
        <f>IF(AY43=0,0,AY44/AY43)</f>
        <v>0</v>
      </c>
      <c r="AZ45" s="568">
        <f>IF(AZ43=0,0,AZ44/AZ43)</f>
        <v>0</v>
      </c>
      <c r="BA45" s="568">
        <f>IF(BA43=0,0,BA44/BA43)</f>
        <v>0</v>
      </c>
      <c r="BB45" s="568">
        <f>IF(BB43=0,0,BB44/BB43)</f>
        <v>0</v>
      </c>
      <c r="BC45" s="73"/>
      <c r="BD45" s="497"/>
      <c r="BE45" s="497"/>
      <c r="BF45" s="1207" t="s">
        <v>707</v>
      </c>
    </row>
    <row s="1619" customFormat="1" customHeight="1" ht="16.5" hidden="1">
      <c r="A46" s="1183"/>
      <c r="B46" s="924"/>
      <c r="C46" s="1461"/>
      <c r="D46" s="1461"/>
      <c r="E46" s="794">
        <v>17.1</v>
      </c>
      <c r="F46" s="919" cm="1" t="str">
        <f t="array" ref="F46:F46">OFFSET(G46,-1,-1)</f>
        <v>2</v>
      </c>
      <c r="G46" s="497"/>
      <c r="H46" s="497"/>
      <c r="I46" s="497"/>
      <c r="J46" s="497"/>
      <c r="K46" s="497"/>
      <c r="L46" s="497"/>
      <c r="M46" s="497"/>
      <c r="N46" s="497"/>
      <c r="O46" s="497"/>
      <c r="P46" s="497"/>
      <c r="Q46" s="497"/>
      <c r="R46" s="497"/>
      <c r="S46" s="497"/>
      <c r="T46" s="805" cm="1" t="str">
        <f t="array" ref="T46:T46">T45</f>
        <v>false</v>
      </c>
      <c r="U46" s="1461"/>
      <c r="V46" s="1461"/>
      <c r="W46" s="1461"/>
      <c r="X46" s="1461"/>
      <c r="Y46" s="1461"/>
      <c r="Z46" s="1461"/>
      <c r="AA46" s="497"/>
      <c r="AB46" s="479" t="s">
        <v>614</v>
      </c>
      <c r="AC46" s="567" t="s">
        <v>708</v>
      </c>
      <c r="AD46" s="167" t="s">
        <v>591</v>
      </c>
      <c r="AE46" s="483">
        <f>AE43-AE44</f>
        <v>0</v>
      </c>
      <c r="AF46" s="483">
        <f>AF43-AF44</f>
        <v>0</v>
      </c>
      <c r="AG46" s="483">
        <f>AG43-AG44</f>
        <v>0</v>
      </c>
      <c r="AH46" s="483">
        <f>AH43-AH44</f>
        <v>0</v>
      </c>
      <c r="AI46" s="483">
        <f>AI43-AI44</f>
        <v>0</v>
      </c>
      <c r="AJ46" s="483">
        <f>AJ43-AJ44</f>
        <v>0</v>
      </c>
      <c r="AK46" s="483">
        <f>AK43-AK44</f>
        <v>0</v>
      </c>
      <c r="AL46" s="483">
        <f>AL43-AL44</f>
        <v>0</v>
      </c>
      <c r="AM46" s="483">
        <f>AM43-AM44</f>
        <v>0</v>
      </c>
      <c r="AN46" s="483">
        <f>AN43-AN44</f>
        <v>0</v>
      </c>
      <c r="AO46" s="483">
        <f>AO43-AO44</f>
        <v>0</v>
      </c>
      <c r="AP46" s="483">
        <f>AP43-AP44</f>
        <v>0</v>
      </c>
      <c r="AQ46" s="483">
        <f>AQ43-AQ44</f>
        <v>0</v>
      </c>
      <c r="AR46" s="483">
        <f>AR43-AR44</f>
        <v>0</v>
      </c>
      <c r="AS46" s="483">
        <f>AS43-AS44</f>
        <v>0</v>
      </c>
      <c r="AT46" s="483">
        <f>AT43-AT44</f>
        <v>0</v>
      </c>
      <c r="AU46" s="483">
        <f>AU43-AU44</f>
        <v>0</v>
      </c>
      <c r="AV46" s="483">
        <f>AV43-AV44</f>
        <v>0</v>
      </c>
      <c r="AW46" s="483">
        <f>AW43-AW44</f>
        <v>0</v>
      </c>
      <c r="AX46" s="483">
        <f>AX43-AX44</f>
        <v>0</v>
      </c>
      <c r="AY46" s="483">
        <f>AY43-AY44</f>
        <v>0</v>
      </c>
      <c r="AZ46" s="483">
        <f>AZ43-AZ44</f>
        <v>0</v>
      </c>
      <c r="BA46" s="483">
        <f>BA43-BA44</f>
        <v>0</v>
      </c>
      <c r="BB46" s="483">
        <f>BB43-BB44</f>
        <v>0</v>
      </c>
      <c r="BC46" s="73"/>
      <c r="BD46" s="497"/>
      <c r="BE46" s="497"/>
      <c r="BF46" s="1207" t="s">
        <v>709</v>
      </c>
    </row>
    <row s="1619" customFormat="1" customHeight="1" ht="16.5" hidden="1">
      <c r="A47" s="1183"/>
      <c r="B47" s="924"/>
      <c r="C47" s="1461"/>
      <c r="D47" s="1461"/>
      <c r="E47" s="794">
        <v>17.1</v>
      </c>
      <c r="F47" s="919" cm="1" t="str">
        <f t="array" ref="F47:F47">OFFSET(G47,-1,-1)</f>
        <v>2</v>
      </c>
      <c r="G47" s="497"/>
      <c r="H47" s="497"/>
      <c r="I47" s="497"/>
      <c r="J47" s="497"/>
      <c r="K47" s="497"/>
      <c r="L47" s="497"/>
      <c r="M47" s="497"/>
      <c r="N47" s="497"/>
      <c r="O47" s="497"/>
      <c r="P47" s="497"/>
      <c r="Q47" s="497"/>
      <c r="R47" s="497"/>
      <c r="S47" s="497"/>
      <c r="T47" s="805" cm="1" t="str">
        <f t="array" ref="T47:T47">T46</f>
        <v>false</v>
      </c>
      <c r="U47" s="1461"/>
      <c r="V47" s="1461"/>
      <c r="W47" s="1461"/>
      <c r="X47" s="1461"/>
      <c r="Y47" s="1461"/>
      <c r="Z47" s="1461"/>
      <c r="AA47" s="497"/>
      <c r="AB47" s="484" t="s">
        <v>710</v>
      </c>
      <c r="AC47" s="550" t="s">
        <v>711</v>
      </c>
      <c r="AD47" s="167" t="s">
        <v>591</v>
      </c>
      <c r="AE47" s="77"/>
      <c r="AF47" s="77"/>
      <c r="AG47" s="77"/>
      <c r="AH47" s="77"/>
      <c r="AI47" s="482"/>
      <c r="AJ47" s="482"/>
      <c r="AK47" s="482"/>
      <c r="AL47" s="482"/>
      <c r="AM47" s="482"/>
      <c r="AN47" s="77"/>
      <c r="AO47" s="77"/>
      <c r="AP47" s="77"/>
      <c r="AQ47" s="77"/>
      <c r="AR47" s="77"/>
      <c r="AS47" s="482"/>
      <c r="AT47" s="482"/>
      <c r="AU47" s="482"/>
      <c r="AV47" s="482"/>
      <c r="AW47" s="482"/>
      <c r="AX47" s="77"/>
      <c r="AY47" s="77"/>
      <c r="AZ47" s="77"/>
      <c r="BA47" s="77"/>
      <c r="BB47" s="77"/>
      <c r="BC47" s="73"/>
      <c r="BD47" s="497"/>
      <c r="BE47" s="497"/>
      <c r="BF47" s="1207" t="s">
        <v>712</v>
      </c>
    </row>
    <row s="1619" customFormat="1" customHeight="1" ht="16.5" hidden="1">
      <c r="A48" s="1183"/>
      <c r="B48" s="924"/>
      <c r="C48" s="1461"/>
      <c r="D48" s="1461"/>
      <c r="E48" s="794">
        <v>17.1</v>
      </c>
      <c r="F48" s="919" cm="1" t="str">
        <f t="array" ref="F48:F48">OFFSET(G48,-1,-1)</f>
        <v>2</v>
      </c>
      <c r="G48" s="497"/>
      <c r="H48" s="497"/>
      <c r="I48" s="497"/>
      <c r="J48" s="497"/>
      <c r="K48" s="497"/>
      <c r="L48" s="497"/>
      <c r="M48" s="497"/>
      <c r="N48" s="497"/>
      <c r="O48" s="497"/>
      <c r="P48" s="497"/>
      <c r="Q48" s="497"/>
      <c r="R48" s="497"/>
      <c r="S48" s="497"/>
      <c r="T48" s="805" cm="1" t="str">
        <f t="array" ref="T48:T48">T47</f>
        <v>false</v>
      </c>
      <c r="U48" s="1461"/>
      <c r="V48" s="1461"/>
      <c r="W48" s="1461"/>
      <c r="X48" s="1461"/>
      <c r="Y48" s="1461"/>
      <c r="Z48" s="1461"/>
      <c r="AA48" s="497"/>
      <c r="AB48" s="484" t="s">
        <v>713</v>
      </c>
      <c r="AC48" s="550" t="s">
        <v>640</v>
      </c>
      <c r="AD48" s="167" t="s">
        <v>591</v>
      </c>
      <c r="AE48" s="523">
        <f>AE46-AE47</f>
        <v>0</v>
      </c>
      <c r="AF48" s="523">
        <f>AF46-AF47</f>
        <v>0</v>
      </c>
      <c r="AG48" s="523">
        <f>AG46-AG47</f>
        <v>0</v>
      </c>
      <c r="AH48" s="523">
        <f>AH46-AH47</f>
        <v>0</v>
      </c>
      <c r="AI48" s="523">
        <f>AI46-AI47</f>
        <v>0</v>
      </c>
      <c r="AJ48" s="523">
        <f>AJ46-AJ47</f>
        <v>0</v>
      </c>
      <c r="AK48" s="523">
        <f>AK46-AK47</f>
        <v>0</v>
      </c>
      <c r="AL48" s="523">
        <f>AL46-AL47</f>
        <v>0</v>
      </c>
      <c r="AM48" s="523">
        <f>AM46-AM47</f>
        <v>0</v>
      </c>
      <c r="AN48" s="523">
        <f>AN46-AN47</f>
        <v>0</v>
      </c>
      <c r="AO48" s="523">
        <f>AO46-AO47</f>
        <v>0</v>
      </c>
      <c r="AP48" s="523">
        <f>AP46-AP47</f>
        <v>0</v>
      </c>
      <c r="AQ48" s="523">
        <f>AQ46-AQ47</f>
        <v>0</v>
      </c>
      <c r="AR48" s="523">
        <f>AR46-AR47</f>
        <v>0</v>
      </c>
      <c r="AS48" s="523">
        <f>AS46-AS47</f>
        <v>0</v>
      </c>
      <c r="AT48" s="523">
        <f>AT46-AT47</f>
        <v>0</v>
      </c>
      <c r="AU48" s="523">
        <f>AU46-AU47</f>
        <v>0</v>
      </c>
      <c r="AV48" s="523">
        <f>AV46-AV47</f>
        <v>0</v>
      </c>
      <c r="AW48" s="523">
        <f>AW46-AW47</f>
        <v>0</v>
      </c>
      <c r="AX48" s="523">
        <f>AX46-AX47</f>
        <v>0</v>
      </c>
      <c r="AY48" s="523">
        <f>AY46-AY47</f>
        <v>0</v>
      </c>
      <c r="AZ48" s="523">
        <f>AZ46-AZ47</f>
        <v>0</v>
      </c>
      <c r="BA48" s="523">
        <f>BA46-BA47</f>
        <v>0</v>
      </c>
      <c r="BB48" s="523">
        <f>BB46-BB47</f>
        <v>0</v>
      </c>
      <c r="BC48" s="73"/>
      <c r="BD48" s="497"/>
      <c r="BE48" s="497"/>
      <c r="BF48" s="1207" t="s">
        <v>714</v>
      </c>
    </row>
    <row customHeight="1" ht="11.115">
      <c r="E49" s="794">
        <v>11.4</v>
      </c>
      <c r="U49" s="172" t="s">
        <v>235</v>
      </c>
      <c r="V49" s="168" t="s">
        <v>715</v>
      </c>
      <c r="AI49" s="497"/>
      <c r="AJ49" s="497"/>
      <c r="AK49" s="497"/>
      <c r="AL49" s="497"/>
      <c r="AM49" s="497"/>
      <c r="AN49" s="497"/>
      <c r="AO49" s="497"/>
      <c r="AP49" s="497"/>
      <c r="AQ49" s="497"/>
      <c r="AR49" s="497"/>
      <c r="AS49" s="497"/>
      <c r="AT49" s="497"/>
      <c r="AU49" s="497"/>
      <c r="AV49" s="497"/>
      <c r="AW49" s="497"/>
      <c r="AX49" s="497"/>
      <c r="AY49" s="497"/>
      <c r="AZ49" s="497"/>
      <c r="BA49" s="497"/>
      <c r="BB49" s="497"/>
    </row>
    <row customHeight="1" ht="11.25" hidden="1">
      <c r="E50" s="794">
        <v>0</v>
      </c>
      <c r="V50" s="176"/>
      <c r="AI50" s="497"/>
      <c r="AJ50" s="497"/>
      <c r="AK50" s="497"/>
      <c r="AL50" s="497"/>
      <c r="AM50" s="497"/>
      <c r="AN50" s="497"/>
      <c r="AO50" s="497"/>
      <c r="AP50" s="497"/>
      <c r="AQ50" s="497"/>
      <c r="AR50" s="497"/>
      <c r="AS50" s="497"/>
      <c r="AT50" s="497"/>
      <c r="AU50" s="497"/>
      <c r="AV50" s="497"/>
      <c r="AW50" s="497"/>
      <c r="AX50" s="497"/>
      <c r="AY50" s="497"/>
      <c r="AZ50" s="497"/>
      <c r="BA50" s="497"/>
      <c r="BB50" s="497"/>
    </row>
    <row customHeight="1" ht="14.625">
      <c r="E51" s="794">
        <v>15</v>
      </c>
      <c r="V51" s="176"/>
      <c r="AB51" s="1477" t="s">
        <v>700</v>
      </c>
      <c r="AC51" s="1477"/>
      <c r="AD51" s="1477"/>
      <c r="AE51" s="1478"/>
      <c r="AF51" s="1478"/>
      <c r="AG51" s="1478"/>
      <c r="AH51" s="1478"/>
      <c r="AI51" s="1478"/>
      <c r="AJ51" s="1478"/>
      <c r="AK51" s="1478"/>
      <c r="AL51" s="1478"/>
      <c r="AM51" s="1478"/>
      <c r="AN51" s="1478"/>
      <c r="AO51" s="1478"/>
      <c r="AP51" s="1478"/>
      <c r="AQ51" s="1478"/>
      <c r="AR51" s="1478"/>
      <c r="AS51" s="1478"/>
      <c r="AT51" s="1478"/>
      <c r="AU51" s="1478"/>
      <c r="AV51" s="1478"/>
      <c r="AW51" s="1478"/>
      <c r="AX51" s="1478"/>
      <c r="AY51" s="1478"/>
      <c r="AZ51" s="1478"/>
      <c r="BA51" s="1478"/>
      <c r="BB51" s="1478"/>
      <c r="BC51" s="1478"/>
    </row>
    <row customHeight="1" ht="14.625">
      <c r="E52" s="794">
        <v>15</v>
      </c>
      <c r="V52" s="176"/>
      <c r="AA52" s="918"/>
      <c r="AB52" s="1479"/>
      <c r="AC52" s="1480"/>
      <c r="AD52" s="1480"/>
      <c r="AE52" s="1480"/>
      <c r="AF52" s="1480"/>
      <c r="AG52" s="1480"/>
      <c r="AH52" s="1480"/>
      <c r="AI52" s="1480"/>
      <c r="AJ52" s="1480"/>
      <c r="AK52" s="1480"/>
      <c r="AL52" s="1480"/>
      <c r="AM52" s="1480"/>
      <c r="AN52" s="1750"/>
      <c r="AO52" s="1750"/>
      <c r="AP52" s="1750"/>
      <c r="AQ52" s="1750"/>
      <c r="AR52" s="1750"/>
      <c r="AS52" s="1480"/>
      <c r="AT52" s="1480"/>
      <c r="AU52" s="1480"/>
      <c r="AV52" s="1480"/>
      <c r="AW52" s="1480"/>
      <c r="AX52" s="1750"/>
      <c r="AY52" s="1750"/>
      <c r="AZ52" s="1750"/>
      <c r="BA52" s="1750"/>
      <c r="BB52" s="1750"/>
      <c r="BC52" s="1481"/>
    </row>
    <row customHeight="1" ht="14.625" hidden="1">
      <c r="A53" s="1183"/>
      <c r="B53" s="924"/>
      <c r="C53" s="1461"/>
      <c r="D53" s="1461"/>
      <c r="E53" s="794">
        <v>15</v>
      </c>
      <c r="F53" s="1461"/>
      <c r="G53" s="497"/>
      <c r="H53" s="497"/>
      <c r="I53" s="497"/>
      <c r="J53" s="497"/>
      <c r="K53" s="497"/>
      <c r="L53" s="497"/>
      <c r="M53" s="497"/>
      <c r="N53" s="497"/>
      <c r="O53" s="497"/>
      <c r="P53" s="497"/>
      <c r="Q53" s="497"/>
      <c r="R53" s="497"/>
      <c r="S53" s="497"/>
      <c r="T53" s="805">
        <f>ROW(W53)&gt;ROW(W$53)</f>
        <v>0</v>
      </c>
      <c r="U53" s="1461"/>
      <c r="V53" s="176"/>
      <c r="W53" s="172" t="s">
        <v>233</v>
      </c>
      <c r="X53" s="1461"/>
      <c r="Y53" s="1461"/>
      <c r="Z53" s="1461"/>
      <c r="AA53" s="914" t="s">
        <v>217</v>
      </c>
      <c r="AB53" s="1752"/>
      <c r="AC53" s="1750"/>
      <c r="AD53" s="1750"/>
      <c r="AE53" s="1750"/>
      <c r="AF53" s="1750"/>
      <c r="AG53" s="1750"/>
      <c r="AH53" s="1750"/>
      <c r="AI53" s="1480"/>
      <c r="AJ53" s="1480"/>
      <c r="AK53" s="1480"/>
      <c r="AL53" s="1480"/>
      <c r="AM53" s="1480"/>
      <c r="AN53" s="1750"/>
      <c r="AO53" s="1750"/>
      <c r="AP53" s="1750"/>
      <c r="AQ53" s="1750"/>
      <c r="AR53" s="1750"/>
      <c r="AS53" s="1480"/>
      <c r="AT53" s="1480"/>
      <c r="AU53" s="1480"/>
      <c r="AV53" s="1480"/>
      <c r="AW53" s="1480"/>
      <c r="AX53" s="1750"/>
      <c r="AY53" s="1750"/>
      <c r="AZ53" s="1750"/>
      <c r="BA53" s="1750"/>
      <c r="BB53" s="1750"/>
      <c r="BC53" s="1753"/>
      <c r="BD53" s="497"/>
      <c r="BE53" s="497"/>
      <c r="BF53" s="1217"/>
    </row>
    <row customHeight="1" ht="14.625">
      <c r="E54" s="794">
        <v>15</v>
      </c>
      <c r="W54" s="168" t="s">
        <v>234</v>
      </c>
      <c r="AB54" s="1475" t="s">
        <v>701</v>
      </c>
      <c r="AC54" s="1476"/>
      <c r="AD54" s="380"/>
      <c r="AE54" s="381"/>
      <c r="AF54" s="381"/>
      <c r="AG54" s="381"/>
      <c r="AH54" s="381"/>
      <c r="AI54" s="381"/>
      <c r="AJ54" s="381"/>
      <c r="AK54" s="381"/>
      <c r="AL54" s="381"/>
      <c r="AM54" s="381"/>
      <c r="AN54" s="381"/>
      <c r="AO54" s="381"/>
      <c r="AP54" s="381"/>
      <c r="AQ54" s="381"/>
      <c r="AR54" s="381"/>
      <c r="AS54" s="381"/>
      <c r="AT54" s="381"/>
      <c r="AU54" s="381"/>
      <c r="AV54" s="381"/>
      <c r="AW54" s="381"/>
      <c r="AX54" s="381"/>
      <c r="AY54" s="381"/>
      <c r="AZ54" s="381"/>
      <c r="BA54" s="381"/>
      <c r="BB54" s="381"/>
      <c r="BC54" s="347"/>
    </row>
    <row customHeight="1" ht="11.25">
      <c r="AI55" s="497"/>
      <c r="AJ55" s="497"/>
      <c r="AK55" s="497"/>
      <c r="AL55" s="497"/>
      <c r="AM55" s="497"/>
      <c r="AN55" s="497"/>
      <c r="AO55" s="497"/>
      <c r="AP55" s="497"/>
      <c r="AQ55" s="497"/>
      <c r="AR55" s="497"/>
      <c r="AS55" s="497"/>
      <c r="AT55" s="497"/>
      <c r="AU55" s="497"/>
      <c r="AV55" s="497"/>
      <c r="AW55" s="497"/>
      <c r="AX55" s="497"/>
      <c r="AY55" s="497"/>
      <c r="AZ55" s="497"/>
      <c r="BA55" s="497"/>
      <c r="BB55" s="497"/>
      <c r="BD55" s="210"/>
    </row>
  </sheetData>
  <sheetProtection formatColumns="0" formatRows="0" insertRows="0" deleteColumns="0" deleteRows="0" sort="0" autoFilter="0" insertColumns="1"/>
  <mergeCells count="15">
    <mergeCell ref="AB53:BC53"/>
    <mergeCell ref="X28:X34"/>
    <mergeCell ref="Z28:Z34"/>
    <mergeCell ref="AB54:AC54"/>
    <mergeCell ref="AB52:BC52"/>
    <mergeCell ref="AB51:BC51"/>
    <mergeCell ref="AB24:BC24"/>
    <mergeCell ref="AB25:AB26"/>
    <mergeCell ref="AC25:AC26"/>
    <mergeCell ref="AD25:AD26"/>
    <mergeCell ref="BC25:BC26"/>
    <mergeCell ref="X35:X41"/>
    <mergeCell ref="Z35:Z41"/>
    <mergeCell ref="X42:X48"/>
    <mergeCell ref="Z42:Z48"/>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7BA5D6-BF88-DB18-BD18-11A70E0C167D}" mc:Ignorable="x14ac xr xr2 xr3">
  <sheetPr>
    <tabColor rgb="FFFFC000"/>
    <outlinePr summaryBelow="0"/>
  </sheetPr>
  <dimension ref="A1:DB411"/>
  <sheetViews>
    <sheetView showGridLines="0" zoomScale="77" workbookViewId="0">
      <pane xSplit="33" ySplit="26" topLeftCell="BT303" activePane="bottomRight" state="frozen"/>
      <selection pane="bottomLeft" activeCell="A27" sqref="A27"/>
      <selection pane="topRight" activeCell="AH1" sqref="AH1"/>
      <selection pane="bottomRight" activeCell="CC323" sqref="CC323:CD323"/>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716</v>
      </c>
      <c r="T1" s="946" t="s">
        <v>717</v>
      </c>
      <c r="U1" s="805" t="s">
        <v>86</v>
      </c>
      <c r="V1" s="805" t="s">
        <v>91</v>
      </c>
      <c r="W1" s="805" t="s">
        <v>87</v>
      </c>
      <c r="X1" s="805" t="s">
        <v>88</v>
      </c>
      <c r="Y1" s="805" t="s">
        <v>89</v>
      </c>
      <c r="Z1" s="805" t="s">
        <v>93</v>
      </c>
      <c r="AC1" s="816" t="s">
        <v>90</v>
      </c>
      <c r="AD1" s="816" t="s">
        <v>376</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377</v>
      </c>
      <c r="CX1" s="1169" t="s">
        <v>378</v>
      </c>
      <c r="CY1" s="1169" t="s">
        <v>379</v>
      </c>
      <c r="CZ1" s="1169" t="s">
        <v>718</v>
      </c>
      <c r="DA1" s="1172" t="s">
        <v>382</v>
      </c>
      <c r="DB1" s="1172" t="s">
        <v>383</v>
      </c>
    </row>
    <row s="924" customFormat="1" customHeight="1" ht="12" hidden="1">
      <c r="B2" s="907" t="s">
        <v>15</v>
      </c>
      <c r="G2" s="927"/>
      <c r="H2" s="927"/>
      <c r="I2" s="927"/>
      <c r="J2" s="927"/>
      <c r="K2" s="927"/>
      <c r="L2" s="927"/>
      <c r="M2" s="927"/>
      <c r="N2" s="927"/>
      <c r="O2" s="927"/>
      <c r="P2" s="927"/>
      <c r="Q2" s="927"/>
      <c r="AO2" s="806">
        <f>AO6&lt;=last_year_vis</f>
        <v>1</v>
      </c>
      <c r="AP2" s="806">
        <f>AP6&lt;=last_year_vis</f>
        <v>1</v>
      </c>
      <c r="AQ2" s="806">
        <f>AQ6&lt;=last_year_vis</f>
        <v>1</v>
      </c>
      <c r="AR2" s="806">
        <f>AR6&lt;=last_year_vis</f>
        <v>1</v>
      </c>
      <c r="AS2" s="806">
        <f>AS6&lt;=last_year_vis</f>
        <v>1</v>
      </c>
      <c r="AT2" s="806">
        <f>AT6&lt;=last_year_vis</f>
        <v>1</v>
      </c>
      <c r="AU2" s="806">
        <f>AU6&lt;=last_year_vis</f>
        <v>1</v>
      </c>
      <c r="AV2" s="806">
        <f>AV6&lt;=last_year_vis</f>
        <v>1</v>
      </c>
      <c r="AW2" s="806">
        <f>AW6&lt;=last_year_vis</f>
        <v>1</v>
      </c>
      <c r="AX2" s="806">
        <f>AX6&lt;=last_year_vis</f>
        <v>1</v>
      </c>
      <c r="AY2" s="806">
        <f>AY6&lt;=last_year_vis</f>
        <v>1</v>
      </c>
      <c r="AZ2" s="806">
        <f>AZ6&lt;=last_year_vis</f>
        <v>1</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1</v>
      </c>
      <c r="BT2" s="806">
        <f>BT6&lt;=last_year_vis</f>
        <v>1</v>
      </c>
      <c r="BU2" s="806">
        <f>BU6&lt;=last_year_vis</f>
        <v>1</v>
      </c>
      <c r="BV2" s="806">
        <f>BV6&lt;=last_year_vis</f>
        <v>1</v>
      </c>
      <c r="BW2" s="806">
        <f>BW6&lt;=last_year_vis</f>
        <v>1</v>
      </c>
      <c r="BX2" s="806">
        <f>BX6&lt;=last_year_vis</f>
        <v>1</v>
      </c>
      <c r="BY2" s="806">
        <f>BY6&lt;=last_year_vis</f>
        <v>1</v>
      </c>
      <c r="BZ2" s="806">
        <f>BZ6&lt;=last_year_vis</f>
        <v>1</v>
      </c>
      <c r="CA2" s="806">
        <f>CA6&lt;=last_year_vis</f>
        <v>1</v>
      </c>
      <c r="CB2" s="806">
        <f>CB6&lt;=last_year_vis</f>
        <v>1</v>
      </c>
      <c r="CC2" s="806">
        <f>CC6&lt;=last_year_vis</f>
        <v>1</v>
      </c>
      <c r="CD2" s="806">
        <f>CD6&lt;=last_year_vis</f>
        <v>1</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430</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431</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432</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388</v>
      </c>
      <c r="B12" s="1151"/>
      <c r="E12" s="1151"/>
      <c r="G12" s="1171"/>
      <c r="H12" s="1171"/>
      <c r="I12" s="1171"/>
      <c r="J12" s="1171"/>
      <c r="K12" s="1171"/>
      <c r="L12" s="1171"/>
      <c r="M12" s="1171"/>
      <c r="N12" s="1171"/>
      <c r="O12" s="1171"/>
      <c r="P12" s="1171"/>
      <c r="Q12" s="1171"/>
      <c r="S12" s="1160"/>
      <c r="AE12" s="1169" t="s">
        <v>379</v>
      </c>
      <c r="AF12" s="1169" t="s">
        <v>718</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487</v>
      </c>
      <c r="B18" s="785"/>
      <c r="E18" s="794"/>
      <c r="G18" s="733"/>
      <c r="H18" s="733"/>
      <c r="I18" s="733"/>
      <c r="J18" s="733"/>
      <c r="K18" s="733"/>
      <c r="L18" s="733"/>
      <c r="M18" s="733"/>
      <c r="N18" s="733"/>
      <c r="O18" s="733"/>
      <c r="P18" s="733"/>
      <c r="Q18" s="733"/>
      <c r="S18" s="919"/>
      <c r="AE18" s="156" t="s">
        <v>719</v>
      </c>
      <c r="AF18" s="156" t="s">
        <v>720</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760"/>
      <c r="AP23" s="1760"/>
      <c r="AQ23" s="1760"/>
      <c r="AR23" s="1760"/>
      <c r="AS23" s="1760"/>
      <c r="AT23" s="1760"/>
      <c r="AU23" s="1760"/>
      <c r="AV23" s="1760"/>
      <c r="AW23" s="1760"/>
      <c r="AX23" s="1760"/>
      <c r="AY23" s="1760"/>
      <c r="AZ23" s="1760"/>
      <c r="BA23" s="1760"/>
      <c r="BB23" s="1760"/>
      <c r="BC23" s="1760"/>
      <c r="BD23" s="1760"/>
      <c r="BE23" s="1760"/>
      <c r="BF23" s="1760"/>
      <c r="BG23" s="1760"/>
      <c r="BH23" s="1760"/>
      <c r="BI23" s="1760"/>
      <c r="BJ23" s="1760"/>
      <c r="BK23" s="1760"/>
      <c r="BL23" s="1760"/>
      <c r="BM23" s="1760"/>
      <c r="BN23" s="1760"/>
      <c r="BO23" s="1760"/>
      <c r="BP23" s="1760"/>
      <c r="BQ23" s="1760"/>
      <c r="BR23" s="1760"/>
      <c r="BS23" s="1760"/>
      <c r="BT23" s="1760"/>
      <c r="BU23" s="1760"/>
      <c r="BV23" s="1760"/>
      <c r="BW23" s="1760"/>
      <c r="BX23" s="1760"/>
      <c r="BY23" s="1760"/>
      <c r="BZ23" s="1760"/>
      <c r="CA23" s="1760"/>
      <c r="CB23" s="1760"/>
      <c r="CC23" s="1760"/>
      <c r="CD23" s="1760"/>
      <c r="CE23" s="1760"/>
      <c r="CF23" s="1760"/>
      <c r="CG23" s="1760"/>
      <c r="CH23" s="1760"/>
      <c r="CI23" s="1760"/>
      <c r="CJ23" s="1760"/>
      <c r="CK23" s="1760"/>
      <c r="CL23" s="1760"/>
      <c r="CM23" s="1760"/>
      <c r="CN23" s="1760"/>
      <c r="CO23" s="1760"/>
      <c r="CP23" s="1760"/>
      <c r="CQ23" s="1760"/>
      <c r="CR23" s="1760"/>
      <c r="CS23" s="1760"/>
    </row>
    <row customHeight="1" ht="15.405000000000001">
      <c r="E24" s="794">
        <v>15.8</v>
      </c>
      <c r="AB24" s="1509" t="s">
        <v>721</v>
      </c>
      <c r="AC24" s="1509"/>
      <c r="AD24" s="1509"/>
      <c r="AE24" s="1509" t="s">
        <v>722</v>
      </c>
      <c r="AF24" s="1509"/>
      <c r="AG24" s="1509" t="s">
        <v>434</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587</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723</v>
      </c>
      <c r="AT25" s="1354" t="s">
        <v>724</v>
      </c>
      <c r="AU25" s="1358" t="s">
        <v>119</v>
      </c>
      <c r="AV25" s="1354" t="s">
        <v>723</v>
      </c>
      <c r="AW25" s="1354" t="s">
        <v>724</v>
      </c>
      <c r="AX25" s="1358" t="s">
        <v>119</v>
      </c>
      <c r="AY25" s="1354" t="s">
        <v>723</v>
      </c>
      <c r="AZ25" s="1354" t="s">
        <v>724</v>
      </c>
      <c r="BA25" s="1358" t="s">
        <v>119</v>
      </c>
      <c r="BB25" s="1354" t="s">
        <v>723</v>
      </c>
      <c r="BC25" s="1354" t="s">
        <v>724</v>
      </c>
      <c r="BD25" s="1358" t="s">
        <v>119</v>
      </c>
      <c r="BE25" s="1354" t="s">
        <v>723</v>
      </c>
      <c r="BF25" s="1354" t="s">
        <v>724</v>
      </c>
      <c r="BG25" s="1358" t="s">
        <v>119</v>
      </c>
      <c r="BH25" s="1354" t="s">
        <v>723</v>
      </c>
      <c r="BI25" s="1354" t="s">
        <v>724</v>
      </c>
      <c r="BJ25" s="1358" t="s">
        <v>119</v>
      </c>
      <c r="BK25" s="1354" t="s">
        <v>723</v>
      </c>
      <c r="BL25" s="1354" t="s">
        <v>724</v>
      </c>
      <c r="BM25" s="1358" t="s">
        <v>119</v>
      </c>
      <c r="BN25" s="1354" t="s">
        <v>723</v>
      </c>
      <c r="BO25" s="1354" t="s">
        <v>724</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723</v>
      </c>
      <c r="BX25" s="410" t="s">
        <v>724</v>
      </c>
      <c r="BY25" s="409" t="s">
        <v>119</v>
      </c>
      <c r="BZ25" s="410" t="s">
        <v>723</v>
      </c>
      <c r="CA25" s="410" t="s">
        <v>724</v>
      </c>
      <c r="CB25" s="409" t="s">
        <v>119</v>
      </c>
      <c r="CC25" s="410" t="s">
        <v>723</v>
      </c>
      <c r="CD25" s="409" t="s">
        <v>724</v>
      </c>
      <c r="CE25" s="409" t="s">
        <v>119</v>
      </c>
      <c r="CF25" s="410" t="s">
        <v>723</v>
      </c>
      <c r="CG25" s="410" t="s">
        <v>724</v>
      </c>
      <c r="CH25" s="409" t="s">
        <v>119</v>
      </c>
      <c r="CI25" s="410" t="s">
        <v>723</v>
      </c>
      <c r="CJ25" s="410" t="s">
        <v>724</v>
      </c>
      <c r="CK25" s="409" t="s">
        <v>119</v>
      </c>
      <c r="CL25" s="410" t="s">
        <v>723</v>
      </c>
      <c r="CM25" s="410" t="s">
        <v>724</v>
      </c>
      <c r="CN25" s="409" t="s">
        <v>119</v>
      </c>
      <c r="CO25" s="410" t="s">
        <v>723</v>
      </c>
      <c r="CP25" s="410" t="s">
        <v>724</v>
      </c>
      <c r="CQ25" s="409" t="s">
        <v>119</v>
      </c>
      <c r="CR25" s="410" t="s">
        <v>723</v>
      </c>
      <c r="CS25" s="410" t="s">
        <v>724</v>
      </c>
      <c r="CT25" s="1471"/>
    </row>
    <row customHeight="1" ht="52.650000000000006">
      <c r="E26" s="794">
        <v>54</v>
      </c>
      <c r="AB26" s="1509"/>
      <c r="AC26" s="1509"/>
      <c r="AD26" s="1509"/>
      <c r="AE26" s="1509"/>
      <c r="AF26" s="1509"/>
      <c r="AG26" s="1509"/>
      <c r="AH26" s="623" t="s">
        <v>407</v>
      </c>
      <c r="AI26" s="1353" t="s">
        <v>588</v>
      </c>
      <c r="AJ26" s="167" t="s">
        <v>589</v>
      </c>
      <c r="AK26" s="167" t="s">
        <v>407</v>
      </c>
      <c r="AL26" s="1354" t="s">
        <v>408</v>
      </c>
      <c r="AM26" s="1354" t="s">
        <v>408</v>
      </c>
      <c r="AN26" s="1354" t="s">
        <v>408</v>
      </c>
      <c r="AO26" s="1354" t="s">
        <v>408</v>
      </c>
      <c r="AP26" s="1354" t="s">
        <v>408</v>
      </c>
      <c r="AQ26" s="1354" t="s">
        <v>408</v>
      </c>
      <c r="AR26" s="1354" t="s">
        <v>408</v>
      </c>
      <c r="AS26" s="1354" t="s">
        <v>408</v>
      </c>
      <c r="AT26" s="1354" t="s">
        <v>408</v>
      </c>
      <c r="AU26" s="1354" t="s">
        <v>408</v>
      </c>
      <c r="AV26" s="1354" t="s">
        <v>408</v>
      </c>
      <c r="AW26" s="1354" t="s">
        <v>408</v>
      </c>
      <c r="AX26" s="1354" t="s">
        <v>408</v>
      </c>
      <c r="AY26" s="1354" t="s">
        <v>408</v>
      </c>
      <c r="AZ26" s="1354" t="s">
        <v>408</v>
      </c>
      <c r="BA26" s="1354" t="s">
        <v>408</v>
      </c>
      <c r="BB26" s="1354" t="s">
        <v>408</v>
      </c>
      <c r="BC26" s="1354" t="s">
        <v>408</v>
      </c>
      <c r="BD26" s="1354" t="s">
        <v>408</v>
      </c>
      <c r="BE26" s="1354" t="s">
        <v>408</v>
      </c>
      <c r="BF26" s="1354" t="s">
        <v>408</v>
      </c>
      <c r="BG26" s="1354" t="s">
        <v>408</v>
      </c>
      <c r="BH26" s="1354" t="s">
        <v>408</v>
      </c>
      <c r="BI26" s="1354" t="s">
        <v>408</v>
      </c>
      <c r="BJ26" s="1354" t="s">
        <v>408</v>
      </c>
      <c r="BK26" s="1354" t="s">
        <v>408</v>
      </c>
      <c r="BL26" s="1354" t="s">
        <v>408</v>
      </c>
      <c r="BM26" s="1354" t="s">
        <v>408</v>
      </c>
      <c r="BN26" s="1354" t="s">
        <v>408</v>
      </c>
      <c r="BO26" s="1354" t="s">
        <v>408</v>
      </c>
      <c r="BP26" s="410" t="s">
        <v>407</v>
      </c>
      <c r="BQ26" s="410" t="s">
        <v>407</v>
      </c>
      <c r="BR26" s="410" t="s">
        <v>407</v>
      </c>
      <c r="BS26" s="410" t="s">
        <v>407</v>
      </c>
      <c r="BT26" s="410" t="s">
        <v>407</v>
      </c>
      <c r="BU26" s="410" t="s">
        <v>407</v>
      </c>
      <c r="BV26" s="410" t="s">
        <v>407</v>
      </c>
      <c r="BW26" s="410" t="s">
        <v>407</v>
      </c>
      <c r="BX26" s="410" t="s">
        <v>407</v>
      </c>
      <c r="BY26" s="410" t="s">
        <v>407</v>
      </c>
      <c r="BZ26" s="410" t="s">
        <v>407</v>
      </c>
      <c r="CA26" s="410" t="s">
        <v>407</v>
      </c>
      <c r="CB26" s="410" t="s">
        <v>407</v>
      </c>
      <c r="CC26" s="410" t="s">
        <v>407</v>
      </c>
      <c r="CD26" s="410" t="s">
        <v>407</v>
      </c>
      <c r="CE26" s="410" t="s">
        <v>407</v>
      </c>
      <c r="CF26" s="410" t="s">
        <v>407</v>
      </c>
      <c r="CG26" s="410" t="s">
        <v>407</v>
      </c>
      <c r="CH26" s="410" t="s">
        <v>407</v>
      </c>
      <c r="CI26" s="410" t="s">
        <v>407</v>
      </c>
      <c r="CJ26" s="410" t="s">
        <v>407</v>
      </c>
      <c r="CK26" s="410" t="s">
        <v>407</v>
      </c>
      <c r="CL26" s="410" t="s">
        <v>407</v>
      </c>
      <c r="CM26" s="410" t="s">
        <v>407</v>
      </c>
      <c r="CN26" s="410" t="s">
        <v>407</v>
      </c>
      <c r="CO26" s="410" t="s">
        <v>407</v>
      </c>
      <c r="CP26" s="410" t="s">
        <v>407</v>
      </c>
      <c r="CQ26" s="410" t="s">
        <v>407</v>
      </c>
      <c r="CR26" s="410" t="s">
        <v>407</v>
      </c>
      <c r="CS26" s="410" t="s">
        <v>407</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сведения'!$AE$169:$AE$218,MATCH($F28,'Общие сведения'!$Z$169:$Z$218,0))</f>
        <v>Теплоснабжение</v>
      </c>
      <c r="H28" s="210" cm="1" t="str">
        <f t="array" ref="H28:H28">INDEX('Общие сведения'!$AK$169:$AK$218,MATCH($F28,'Общие сведения'!$Z$169:$Z$218,0))</f>
        <v>0</v>
      </c>
      <c r="I28" s="210" cm="1" t="str">
        <f t="array" ref="I28:I28">INDEX('Общие сведения'!$AH$169:$AH$218,MATCH($F28,'Общие сведения'!$Z$169:$Z$218,0))</f>
        <v>0</v>
      </c>
      <c r="J28" s="210" cm="1" t="str">
        <f t="array" ref="J28:J28">INDEX('Общие сведения'!$AI$169:$AI$218,MATCH($F28,'Общие сведения'!$Z$169:$Z$218,0))</f>
        <v>0</v>
      </c>
      <c r="K28" s="210" cm="1" t="str">
        <f t="array" ref="K28:K28">INDEX('Общие сведения'!$AJ$169:$AJ$218,MATCH($F28,'Общие сведения'!$Z$169:$Z$218,0))</f>
        <v>0</v>
      </c>
      <c r="L28" s="211" cm="1" t="str">
        <f t="array" ref="L28:L28">INDEX('Общие сведения'!$AN$169:$AN$218,MATCH($F28,'Общие сведения'!$Z$169:$Z$218,0))</f>
        <v>false</v>
      </c>
      <c r="S28" s="156">
        <f>Y28&gt;0</f>
        <v>0</v>
      </c>
      <c r="U28" s="816">
        <f>AND(S28,IF(ISBLANK(T28),TRUE,T28))</f>
        <v>0</v>
      </c>
      <c r="W28" s="172" t="s">
        <v>309</v>
      </c>
      <c r="Y28" s="1518">
        <v>0</v>
      </c>
      <c r="AB28" s="463" cm="1" t="str">
        <f t="array" ref="AB28:AB28">INDEX('Общие сведения'!$AG$169:$AG$218,MATCH(F28,'Общие сведения'!$Z$169:$Z$218,0))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725</v>
      </c>
      <c r="S29" s="156" cm="1" t="str">
        <f t="array" ref="S29:S29">OFFSET(T29,-1,-1)</f>
        <v>false</v>
      </c>
      <c r="T29" s="156" cm="1" t="str">
        <f t="array" ref="T29:T29">L29</f>
        <v>false</v>
      </c>
      <c r="U29" s="816">
        <f>AND(S29,IF(ISBLANK(T29),TRUE,T29))</f>
        <v>0</v>
      </c>
      <c r="AB29" s="1519" t="s">
        <v>726</v>
      </c>
      <c r="AD29" s="157">
        <v>1</v>
      </c>
      <c r="AE29" s="1495" t="s">
        <v>727</v>
      </c>
      <c r="AF29" s="165"/>
      <c r="AG29" s="157" t="s">
        <v>728</v>
      </c>
      <c r="AH29" s="86"/>
      <c r="AI29" s="87"/>
      <c r="AJ29" s="87"/>
      <c r="AK29" s="87"/>
      <c r="AL29" s="859">
        <f>AM29+AN29</f>
        <v>0</v>
      </c>
      <c r="AM29" s="87"/>
      <c r="AN29" s="87"/>
      <c r="AO29" s="859">
        <f>AP29+AQ29</f>
        <v>0</v>
      </c>
      <c r="AP29" s="976"/>
      <c r="AQ29" s="976"/>
      <c r="AR29" s="859">
        <f>AS29+AT29</f>
        <v>0</v>
      </c>
      <c r="AS29" s="976"/>
      <c r="AT29" s="976"/>
      <c r="AU29" s="859">
        <f>AV29+AW29</f>
        <v>0</v>
      </c>
      <c r="AV29" s="976"/>
      <c r="AW29" s="976"/>
      <c r="AX29" s="859">
        <f>AY29+AZ29</f>
        <v>0</v>
      </c>
      <c r="AY29" s="976"/>
      <c r="AZ29" s="976"/>
      <c r="BA29" s="859">
        <f>BB29+BC29</f>
        <v>0</v>
      </c>
      <c r="BB29" s="87"/>
      <c r="BC29" s="87"/>
      <c r="BD29" s="859">
        <f>BE29+BF29</f>
        <v>0</v>
      </c>
      <c r="BE29" s="87"/>
      <c r="BF29" s="87"/>
      <c r="BG29" s="859">
        <f>BH29+BI29</f>
        <v>0</v>
      </c>
      <c r="BH29" s="87"/>
      <c r="BI29" s="87"/>
      <c r="BJ29" s="859">
        <f>BK29+BL29</f>
        <v>0</v>
      </c>
      <c r="BK29" s="87"/>
      <c r="BL29" s="87"/>
      <c r="BM29" s="859">
        <f>BN29+BO29</f>
        <v>0</v>
      </c>
      <c r="BN29" s="87"/>
      <c r="BO29" s="87"/>
      <c r="BP29" s="859">
        <f>BQ29+BR29</f>
        <v>0</v>
      </c>
      <c r="BQ29" s="976"/>
      <c r="BR29" s="976"/>
      <c r="BS29" s="859">
        <f>BT29+BU29</f>
        <v>0</v>
      </c>
      <c r="BT29" s="976"/>
      <c r="BU29" s="976"/>
      <c r="BV29" s="859">
        <f>BW29+BX29</f>
        <v>0</v>
      </c>
      <c r="BW29" s="976"/>
      <c r="BX29" s="976"/>
      <c r="BY29" s="859">
        <f>BZ29+CA29</f>
        <v>0</v>
      </c>
      <c r="BZ29" s="976"/>
      <c r="CA29" s="976"/>
      <c r="CB29" s="859">
        <f>CC29+CD29</f>
        <v>0</v>
      </c>
      <c r="CC29" s="976"/>
      <c r="CD29" s="976"/>
      <c r="CE29" s="859">
        <f>CF29+CG29</f>
        <v>0</v>
      </c>
      <c r="CF29" s="87"/>
      <c r="CG29" s="87"/>
      <c r="CH29" s="859">
        <f>CI29+CJ29</f>
        <v>0</v>
      </c>
      <c r="CI29" s="87"/>
      <c r="CJ29" s="87"/>
      <c r="CK29" s="859">
        <f>CL29+CM29</f>
        <v>0</v>
      </c>
      <c r="CL29" s="87"/>
      <c r="CM29" s="87"/>
      <c r="CN29" s="859">
        <f>CO29+CP29</f>
        <v>0</v>
      </c>
      <c r="CO29" s="87"/>
      <c r="CP29" s="87"/>
      <c r="CQ29" s="859">
        <f>CR29+CS29</f>
        <v>0</v>
      </c>
      <c r="CR29" s="87"/>
      <c r="CS29" s="87"/>
      <c r="CT29" s="73"/>
      <c r="CW29" s="1170" t="s">
        <v>729</v>
      </c>
    </row>
    <row customHeight="1" ht="16.672500000000003" hidden="1">
      <c r="E30" s="794">
        <v>17.1</v>
      </c>
      <c r="F30" s="919" cm="1" t="str">
        <f t="array" ref="F30:F30">OFFSET(G30,-1,-1)</f>
        <v>0</v>
      </c>
      <c r="L30" s="919" cm="1" t="str">
        <f t="array" ref="L30:L30">OFFSET(M30,-1,-1)</f>
        <v>false</v>
      </c>
      <c r="R30" s="919" t="s">
        <v>725</v>
      </c>
      <c r="S30" s="156" cm="1" t="str">
        <f t="array" ref="S30:S30">OFFSET(T30,-1,-1)</f>
        <v>false</v>
      </c>
      <c r="T30" s="156" cm="1" t="str">
        <f t="array" ref="T30:T30">T29</f>
        <v>false</v>
      </c>
      <c r="U30" s="816">
        <f>AND(S30,IF(ISBLANK(T30),TRUE,T30))</f>
        <v>0</v>
      </c>
      <c r="AB30" s="1520"/>
      <c r="AD30" s="157">
        <v>2</v>
      </c>
      <c r="AE30" s="1495" t="s">
        <v>730</v>
      </c>
      <c r="AF30" s="165"/>
      <c r="AG30" s="157" t="s">
        <v>728</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3"/>
      <c r="CW30" s="1170" t="s">
        <v>731</v>
      </c>
    </row>
    <row customHeight="1" ht="16.672500000000003" hidden="1">
      <c r="E31" s="794">
        <v>17.1</v>
      </c>
      <c r="F31" s="919" cm="1" t="str">
        <f t="array" ref="F31:F31">OFFSET(G31,-1,-1)</f>
        <v>0</v>
      </c>
      <c r="L31" s="919" cm="1" t="str">
        <f t="array" ref="L31:L31">OFFSET(M31,-1,-1)</f>
        <v>false</v>
      </c>
      <c r="R31" s="919" t="s">
        <v>725</v>
      </c>
      <c r="S31" s="156" cm="1" t="str">
        <f t="array" ref="S31:S31">OFFSET(T31,-1,-1)</f>
        <v>false</v>
      </c>
      <c r="T31" s="156" cm="1" t="str">
        <f t="array" ref="T31:T31">T30</f>
        <v>false</v>
      </c>
      <c r="U31" s="816">
        <f>AND(S31,IF(ISBLANK(T31),TRUE,T31))</f>
        <v>0</v>
      </c>
      <c r="AB31" s="1520"/>
      <c r="AD31" s="157" t="s">
        <v>448</v>
      </c>
      <c r="AE31" s="1507" t="s">
        <v>732</v>
      </c>
      <c r="AF31" s="162"/>
      <c r="AG31" s="157" t="s">
        <v>728</v>
      </c>
      <c r="AH31" s="86"/>
      <c r="AI31" s="87"/>
      <c r="AJ31" s="87"/>
      <c r="AK31" s="87"/>
      <c r="AL31" s="859">
        <f>AM31+AN31</f>
        <v>0</v>
      </c>
      <c r="AM31" s="87"/>
      <c r="AN31" s="87"/>
      <c r="AO31" s="859">
        <f>AP31+AQ31</f>
        <v>0</v>
      </c>
      <c r="AP31" s="976"/>
      <c r="AQ31" s="976"/>
      <c r="AR31" s="859">
        <f>AS31+AT31</f>
        <v>0</v>
      </c>
      <c r="AS31" s="976"/>
      <c r="AT31" s="976"/>
      <c r="AU31" s="859">
        <f>AV31+AW31</f>
        <v>0</v>
      </c>
      <c r="AV31" s="976"/>
      <c r="AW31" s="976"/>
      <c r="AX31" s="859">
        <f>AY31+AZ31</f>
        <v>0</v>
      </c>
      <c r="AY31" s="976"/>
      <c r="AZ31" s="976"/>
      <c r="BA31" s="859">
        <f>BB31+BC31</f>
        <v>0</v>
      </c>
      <c r="BB31" s="87"/>
      <c r="BC31" s="87"/>
      <c r="BD31" s="859">
        <f>BE31+BF31</f>
        <v>0</v>
      </c>
      <c r="BE31" s="87"/>
      <c r="BF31" s="87"/>
      <c r="BG31" s="859">
        <f>BH31+BI31</f>
        <v>0</v>
      </c>
      <c r="BH31" s="87"/>
      <c r="BI31" s="87"/>
      <c r="BJ31" s="859">
        <f>BK31+BL31</f>
        <v>0</v>
      </c>
      <c r="BK31" s="87"/>
      <c r="BL31" s="87"/>
      <c r="BM31" s="859">
        <f>BN31+BO31</f>
        <v>0</v>
      </c>
      <c r="BN31" s="87"/>
      <c r="BO31" s="87"/>
      <c r="BP31" s="859">
        <f>BQ31+BR31</f>
        <v>0</v>
      </c>
      <c r="BQ31" s="976"/>
      <c r="BR31" s="976"/>
      <c r="BS31" s="859">
        <f>BT31+BU31</f>
        <v>0</v>
      </c>
      <c r="BT31" s="976"/>
      <c r="BU31" s="976"/>
      <c r="BV31" s="859">
        <f>BW31+BX31</f>
        <v>0</v>
      </c>
      <c r="BW31" s="976"/>
      <c r="BX31" s="976"/>
      <c r="BY31" s="859">
        <f>BZ31+CA31</f>
        <v>0</v>
      </c>
      <c r="BZ31" s="976"/>
      <c r="CA31" s="976"/>
      <c r="CB31" s="859">
        <f>CC31+CD31</f>
        <v>0</v>
      </c>
      <c r="CC31" s="976"/>
      <c r="CD31" s="976"/>
      <c r="CE31" s="859">
        <f>CF31+CG31</f>
        <v>0</v>
      </c>
      <c r="CF31" s="87"/>
      <c r="CG31" s="87"/>
      <c r="CH31" s="859">
        <f>CI31+CJ31</f>
        <v>0</v>
      </c>
      <c r="CI31" s="87"/>
      <c r="CJ31" s="87"/>
      <c r="CK31" s="859">
        <f>CL31+CM31</f>
        <v>0</v>
      </c>
      <c r="CL31" s="87"/>
      <c r="CM31" s="87"/>
      <c r="CN31" s="859">
        <f>CO31+CP31</f>
        <v>0</v>
      </c>
      <c r="CO31" s="87"/>
      <c r="CP31" s="87"/>
      <c r="CQ31" s="859">
        <f>CR31+CS31</f>
        <v>0</v>
      </c>
      <c r="CR31" s="87"/>
      <c r="CS31" s="87"/>
      <c r="CT31" s="73"/>
      <c r="CW31" s="1170" t="s">
        <v>733</v>
      </c>
    </row>
    <row customHeight="1" ht="16.672500000000003" hidden="1">
      <c r="E32" s="794">
        <v>17.1</v>
      </c>
      <c r="F32" s="919" cm="1" t="str">
        <f t="array" ref="F32:F32">OFFSET(G32,-1,-1)</f>
        <v>0</v>
      </c>
      <c r="L32" s="919" cm="1" t="str">
        <f t="array" ref="L32:L32">OFFSET(M32,-1,-1)</f>
        <v>false</v>
      </c>
      <c r="R32" s="919" t="s">
        <v>725</v>
      </c>
      <c r="S32" s="156" cm="1" t="str">
        <f t="array" ref="S32:S32">OFFSET(T32,-1,-1)</f>
        <v>false</v>
      </c>
      <c r="T32" s="156" cm="1" t="str">
        <f t="array" ref="T32:T32">T31</f>
        <v>false</v>
      </c>
      <c r="U32" s="816">
        <f>AND(S32,IF(ISBLANK(T32),TRUE,T32))</f>
        <v>0</v>
      </c>
      <c r="AB32" s="1520"/>
      <c r="AD32" s="157" t="s">
        <v>451</v>
      </c>
      <c r="AE32" s="1512" t="s">
        <v>734</v>
      </c>
      <c r="AF32" s="163"/>
      <c r="AG32" s="157" t="s">
        <v>490</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3"/>
      <c r="CW32" s="1170" t="s">
        <v>735</v>
      </c>
    </row>
    <row customHeight="1" ht="16.672500000000003" hidden="1">
      <c r="E33" s="794">
        <v>17.1</v>
      </c>
      <c r="F33" s="919" cm="1" t="str">
        <f t="array" ref="F33:F33">OFFSET(G33,-1,-1)</f>
        <v>0</v>
      </c>
      <c r="L33" s="919" cm="1" t="str">
        <f t="array" ref="L33:L33">OFFSET(M33,-1,-1)</f>
        <v>false</v>
      </c>
      <c r="R33" s="919" t="s">
        <v>725</v>
      </c>
      <c r="S33" s="156" cm="1" t="str">
        <f t="array" ref="S33:S33">OFFSET(T33,-1,-1)</f>
        <v>false</v>
      </c>
      <c r="T33" s="156" cm="1" t="str">
        <f t="array" ref="T33:T33">T32</f>
        <v>false</v>
      </c>
      <c r="U33" s="816">
        <f>AND(S33,IF(ISBLANK(T33),TRUE,T33))</f>
        <v>0</v>
      </c>
      <c r="AB33" s="1520"/>
      <c r="AD33" s="157" t="s">
        <v>475</v>
      </c>
      <c r="AE33" s="1507" t="s">
        <v>736</v>
      </c>
      <c r="AF33" s="162"/>
      <c r="AG33" s="157" t="s">
        <v>728</v>
      </c>
      <c r="AH33" s="86"/>
      <c r="AI33" s="87"/>
      <c r="AJ33" s="87"/>
      <c r="AK33" s="87"/>
      <c r="AL33" s="859">
        <f>AM33+AN33</f>
        <v>0</v>
      </c>
      <c r="AM33" s="87"/>
      <c r="AN33" s="87"/>
      <c r="AO33" s="859">
        <f>AP33+AQ33</f>
        <v>0</v>
      </c>
      <c r="AP33" s="976"/>
      <c r="AQ33" s="976"/>
      <c r="AR33" s="859">
        <f>AS33+AT33</f>
        <v>0</v>
      </c>
      <c r="AS33" s="976"/>
      <c r="AT33" s="976"/>
      <c r="AU33" s="859">
        <f>AV33+AW33</f>
        <v>0</v>
      </c>
      <c r="AV33" s="976"/>
      <c r="AW33" s="976"/>
      <c r="AX33" s="859">
        <f>AY33+AZ33</f>
        <v>0</v>
      </c>
      <c r="AY33" s="976"/>
      <c r="AZ33" s="976"/>
      <c r="BA33" s="859">
        <f>BB33+BC33</f>
        <v>0</v>
      </c>
      <c r="BB33" s="87"/>
      <c r="BC33" s="87"/>
      <c r="BD33" s="859">
        <f>BE33+BF33</f>
        <v>0</v>
      </c>
      <c r="BE33" s="87"/>
      <c r="BF33" s="87"/>
      <c r="BG33" s="859">
        <f>BH33+BI33</f>
        <v>0</v>
      </c>
      <c r="BH33" s="87"/>
      <c r="BI33" s="87"/>
      <c r="BJ33" s="859">
        <f>BK33+BL33</f>
        <v>0</v>
      </c>
      <c r="BK33" s="87"/>
      <c r="BL33" s="87"/>
      <c r="BM33" s="859">
        <f>BN33+BO33</f>
        <v>0</v>
      </c>
      <c r="BN33" s="87"/>
      <c r="BO33" s="87"/>
      <c r="BP33" s="859">
        <f>BQ33+BR33</f>
        <v>0</v>
      </c>
      <c r="BQ33" s="976"/>
      <c r="BR33" s="976"/>
      <c r="BS33" s="859">
        <f>BT33+BU33</f>
        <v>0</v>
      </c>
      <c r="BT33" s="976"/>
      <c r="BU33" s="976"/>
      <c r="BV33" s="859">
        <f>BW33+BX33</f>
        <v>0</v>
      </c>
      <c r="BW33" s="976"/>
      <c r="BX33" s="976"/>
      <c r="BY33" s="859">
        <f>BZ33+CA33</f>
        <v>0</v>
      </c>
      <c r="BZ33" s="976"/>
      <c r="CA33" s="976"/>
      <c r="CB33" s="859">
        <f>CC33+CD33</f>
        <v>0</v>
      </c>
      <c r="CC33" s="976"/>
      <c r="CD33" s="976"/>
      <c r="CE33" s="859">
        <f>CF33+CG33</f>
        <v>0</v>
      </c>
      <c r="CF33" s="87"/>
      <c r="CG33" s="87"/>
      <c r="CH33" s="859">
        <f>CI33+CJ33</f>
        <v>0</v>
      </c>
      <c r="CI33" s="87"/>
      <c r="CJ33" s="87"/>
      <c r="CK33" s="859">
        <f>CL33+CM33</f>
        <v>0</v>
      </c>
      <c r="CL33" s="87"/>
      <c r="CM33" s="87"/>
      <c r="CN33" s="859">
        <f>CO33+CP33</f>
        <v>0</v>
      </c>
      <c r="CO33" s="87"/>
      <c r="CP33" s="87"/>
      <c r="CQ33" s="859">
        <f>CR33+CS33</f>
        <v>0</v>
      </c>
      <c r="CR33" s="87"/>
      <c r="CS33" s="87"/>
      <c r="CT33" s="73"/>
      <c r="CW33" s="1170" t="s">
        <v>737</v>
      </c>
    </row>
    <row customHeight="1" ht="16.672500000000003" hidden="1">
      <c r="E34" s="794">
        <v>17.1</v>
      </c>
      <c r="F34" s="919" cm="1" t="str">
        <f t="array" ref="F34:F34">OFFSET(G34,-1,-1)</f>
        <v>0</v>
      </c>
      <c r="L34" s="919" cm="1" t="str">
        <f t="array" ref="L34:L34">OFFSET(M34,-1,-1)</f>
        <v>false</v>
      </c>
      <c r="R34" s="919" t="s">
        <v>725</v>
      </c>
      <c r="S34" s="156" cm="1" t="str">
        <f t="array" ref="S34:S34">OFFSET(T34,-1,-1)</f>
        <v>false</v>
      </c>
      <c r="T34" s="156" cm="1" t="str">
        <f t="array" ref="T34:T34">T33</f>
        <v>false</v>
      </c>
      <c r="U34" s="816">
        <f>AND(S34,IF(ISBLANK(T34),TRUE,T34))</f>
        <v>0</v>
      </c>
      <c r="AB34" s="1520"/>
      <c r="AD34" s="157" t="s">
        <v>738</v>
      </c>
      <c r="AE34" s="1512" t="s">
        <v>739</v>
      </c>
      <c r="AF34" s="163"/>
      <c r="AG34" s="157" t="s">
        <v>740</v>
      </c>
      <c r="AH34" s="86"/>
      <c r="AI34" s="87"/>
      <c r="AJ34" s="87"/>
      <c r="AK34" s="87"/>
      <c r="AL34" s="87"/>
      <c r="AM34" s="87"/>
      <c r="AN34" s="87"/>
      <c r="AO34" s="976"/>
      <c r="AP34" s="976"/>
      <c r="AQ34" s="976"/>
      <c r="AR34" s="976"/>
      <c r="AS34" s="976"/>
      <c r="AT34" s="976"/>
      <c r="AU34" s="976"/>
      <c r="AV34" s="976"/>
      <c r="AW34" s="976"/>
      <c r="AX34" s="976"/>
      <c r="AY34" s="976"/>
      <c r="AZ34" s="976"/>
      <c r="BA34" s="87"/>
      <c r="BB34" s="87"/>
      <c r="BC34" s="87"/>
      <c r="BD34" s="87"/>
      <c r="BE34" s="87"/>
      <c r="BF34" s="87"/>
      <c r="BG34" s="87"/>
      <c r="BH34" s="87"/>
      <c r="BI34" s="87"/>
      <c r="BJ34" s="87"/>
      <c r="BK34" s="87"/>
      <c r="BL34" s="87"/>
      <c r="BM34" s="87"/>
      <c r="BN34" s="87"/>
      <c r="BO34" s="87"/>
      <c r="BP34" s="976"/>
      <c r="BQ34" s="976"/>
      <c r="BR34" s="976"/>
      <c r="BS34" s="976"/>
      <c r="BT34" s="976"/>
      <c r="BU34" s="976"/>
      <c r="BV34" s="976"/>
      <c r="BW34" s="976"/>
      <c r="BX34" s="976"/>
      <c r="BY34" s="976"/>
      <c r="BZ34" s="976"/>
      <c r="CA34" s="976"/>
      <c r="CB34" s="976"/>
      <c r="CC34" s="976"/>
      <c r="CD34" s="976"/>
      <c r="CE34" s="87"/>
      <c r="CF34" s="87"/>
      <c r="CG34" s="87"/>
      <c r="CH34" s="87"/>
      <c r="CI34" s="87"/>
      <c r="CJ34" s="87"/>
      <c r="CK34" s="87"/>
      <c r="CL34" s="87"/>
      <c r="CM34" s="87"/>
      <c r="CN34" s="87"/>
      <c r="CO34" s="87"/>
      <c r="CP34" s="87"/>
      <c r="CQ34" s="87"/>
      <c r="CR34" s="87"/>
      <c r="CS34" s="87"/>
      <c r="CT34" s="73"/>
      <c r="CW34" s="1170" t="s">
        <v>741</v>
      </c>
    </row>
    <row customHeight="1" ht="16.672500000000003" hidden="1">
      <c r="E35" s="794">
        <v>17.1</v>
      </c>
      <c r="F35" s="919" cm="1" t="str">
        <f t="array" ref="F35:F35">OFFSET(G35,-1,-1)</f>
        <v>0</v>
      </c>
      <c r="L35" s="919" cm="1" t="str">
        <f t="array" ref="L35:L35">OFFSET(M35,-1,-1)</f>
        <v>false</v>
      </c>
      <c r="R35" s="919" t="s">
        <v>725</v>
      </c>
      <c r="S35" s="156" cm="1" t="str">
        <f t="array" ref="S35:S35">OFFSET(T35,-1,-1)</f>
        <v>false</v>
      </c>
      <c r="T35" s="156" cm="1" t="str">
        <f t="array" ref="T35:T35">T34</f>
        <v>false</v>
      </c>
      <c r="U35" s="816">
        <f>AND(S35,IF(ISBLANK(T35),TRUE,T35))</f>
        <v>0</v>
      </c>
      <c r="AB35" s="1520"/>
      <c r="AD35" s="157">
        <v>3</v>
      </c>
      <c r="AE35" s="1495" t="s">
        <v>742</v>
      </c>
      <c r="AF35" s="165"/>
      <c r="AG35" s="157" t="s">
        <v>728</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3"/>
      <c r="CW35" s="1170" t="s">
        <v>743</v>
      </c>
    </row>
    <row customHeight="1" ht="16.672500000000003" hidden="1">
      <c r="E36" s="794">
        <v>17.1</v>
      </c>
      <c r="F36" s="919" cm="1" t="str">
        <f t="array" ref="F36:F36">OFFSET(G36,-1,-1)</f>
        <v>0</v>
      </c>
      <c r="L36" s="919" cm="1" t="str">
        <f t="array" ref="L36:L36">OFFSET(M36,-1,-1)</f>
        <v>false</v>
      </c>
      <c r="R36" s="919" t="s">
        <v>725</v>
      </c>
      <c r="S36" s="156" cm="1" t="str">
        <f t="array" ref="S36:S36">OFFSET(T36,-1,-1)</f>
        <v>false</v>
      </c>
      <c r="T36" s="156" cm="1" t="str">
        <f t="array" ref="T36:T36">T35</f>
        <v>false</v>
      </c>
      <c r="U36" s="816">
        <f>AND(S36,IF(ISBLANK(T36),TRUE,T36))</f>
        <v>0</v>
      </c>
      <c r="AB36" s="1520"/>
      <c r="AD36" s="157">
        <v>4</v>
      </c>
      <c r="AE36" s="1495" t="s">
        <v>744</v>
      </c>
      <c r="AF36" s="165"/>
      <c r="AG36" s="157" t="s">
        <v>728</v>
      </c>
      <c r="AH36" s="86"/>
      <c r="AI36" s="87"/>
      <c r="AJ36" s="87"/>
      <c r="AK36" s="87"/>
      <c r="AL36" s="859">
        <f>AM36+AN36</f>
        <v>0</v>
      </c>
      <c r="AM36" s="87"/>
      <c r="AN36" s="87"/>
      <c r="AO36" s="859">
        <f>AP36+AQ36</f>
        <v>0</v>
      </c>
      <c r="AP36" s="976"/>
      <c r="AQ36" s="976"/>
      <c r="AR36" s="859">
        <f>AS36+AT36</f>
        <v>0</v>
      </c>
      <c r="AS36" s="976"/>
      <c r="AT36" s="976"/>
      <c r="AU36" s="859">
        <f>AV36+AW36</f>
        <v>0</v>
      </c>
      <c r="AV36" s="976"/>
      <c r="AW36" s="976"/>
      <c r="AX36" s="859">
        <f>AY36+AZ36</f>
        <v>0</v>
      </c>
      <c r="AY36" s="976"/>
      <c r="AZ36" s="976"/>
      <c r="BA36" s="859">
        <f>BB36+BC36</f>
        <v>0</v>
      </c>
      <c r="BB36" s="87"/>
      <c r="BC36" s="87"/>
      <c r="BD36" s="859">
        <f>BE36+BF36</f>
        <v>0</v>
      </c>
      <c r="BE36" s="87"/>
      <c r="BF36" s="87"/>
      <c r="BG36" s="859">
        <f>BH36+BI36</f>
        <v>0</v>
      </c>
      <c r="BH36" s="87"/>
      <c r="BI36" s="87"/>
      <c r="BJ36" s="859">
        <f>BK36+BL36</f>
        <v>0</v>
      </c>
      <c r="BK36" s="87"/>
      <c r="BL36" s="87"/>
      <c r="BM36" s="859">
        <f>BN36+BO36</f>
        <v>0</v>
      </c>
      <c r="BN36" s="87"/>
      <c r="BO36" s="87"/>
      <c r="BP36" s="859">
        <f>BQ36+BR36</f>
        <v>0</v>
      </c>
      <c r="BQ36" s="976"/>
      <c r="BR36" s="976"/>
      <c r="BS36" s="859">
        <f>BT36+BU36</f>
        <v>0</v>
      </c>
      <c r="BT36" s="976"/>
      <c r="BU36" s="976"/>
      <c r="BV36" s="859">
        <f>BW36+BX36</f>
        <v>0</v>
      </c>
      <c r="BW36" s="976"/>
      <c r="BX36" s="976"/>
      <c r="BY36" s="859">
        <f>BZ36+CA36</f>
        <v>0</v>
      </c>
      <c r="BZ36" s="976"/>
      <c r="CA36" s="976"/>
      <c r="CB36" s="859">
        <f>CC36+CD36</f>
        <v>0</v>
      </c>
      <c r="CC36" s="976"/>
      <c r="CD36" s="976"/>
      <c r="CE36" s="859">
        <f>CF36+CG36</f>
        <v>0</v>
      </c>
      <c r="CF36" s="87"/>
      <c r="CG36" s="87"/>
      <c r="CH36" s="859">
        <f>CI36+CJ36</f>
        <v>0</v>
      </c>
      <c r="CI36" s="87"/>
      <c r="CJ36" s="87"/>
      <c r="CK36" s="859">
        <f>CL36+CM36</f>
        <v>0</v>
      </c>
      <c r="CL36" s="87"/>
      <c r="CM36" s="87"/>
      <c r="CN36" s="859">
        <f>CO36+CP36</f>
        <v>0</v>
      </c>
      <c r="CO36" s="87"/>
      <c r="CP36" s="87"/>
      <c r="CQ36" s="859">
        <f>CR36+CS36</f>
        <v>0</v>
      </c>
      <c r="CR36" s="87"/>
      <c r="CS36" s="87"/>
      <c r="CT36" s="73"/>
      <c r="CW36" s="1170" t="s">
        <v>745</v>
      </c>
    </row>
    <row customHeight="1" ht="16.672500000000003" hidden="1">
      <c r="E37" s="794">
        <v>17.1</v>
      </c>
      <c r="F37" s="919" cm="1" t="str">
        <f t="array" ref="F37:F37">OFFSET(G37,-1,-1)</f>
        <v>0</v>
      </c>
      <c r="L37" s="919" cm="1" t="str">
        <f t="array" ref="L37:L37">OFFSET(M37,-1,-1)</f>
        <v>false</v>
      </c>
      <c r="R37" s="919" t="s">
        <v>725</v>
      </c>
      <c r="S37" s="156" cm="1" t="str">
        <f t="array" ref="S37:S37">OFFSET(T37,-1,-1)</f>
        <v>false</v>
      </c>
      <c r="T37" s="156" cm="1" t="str">
        <f t="array" ref="T37:T37">T36</f>
        <v>false</v>
      </c>
      <c r="U37" s="816">
        <f>AND(S37,IF(ISBLANK(T37),TRUE,T37))</f>
        <v>0</v>
      </c>
      <c r="AB37" s="1520"/>
      <c r="AD37" s="157" t="s">
        <v>746</v>
      </c>
      <c r="AE37" s="1507" t="s">
        <v>747</v>
      </c>
      <c r="AF37" s="162"/>
      <c r="AG37" s="157" t="s">
        <v>490</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3"/>
      <c r="CW37" s="1170" t="s">
        <v>748</v>
      </c>
    </row>
    <row customHeight="1" ht="16.672500000000003" hidden="1">
      <c r="E38" s="794">
        <v>17.1</v>
      </c>
      <c r="F38" s="919" cm="1" t="str">
        <f t="array" ref="F38:F38">OFFSET(G38,-1,-1)</f>
        <v>0</v>
      </c>
      <c r="L38" s="919" cm="1" t="str">
        <f t="array" ref="L38:L38">OFFSET(M38,-1,-1)</f>
        <v>false</v>
      </c>
      <c r="R38" s="919" t="s">
        <v>725</v>
      </c>
      <c r="S38" s="156" cm="1" t="str">
        <f t="array" ref="S38:S38">OFFSET(T38,-1,-1)</f>
        <v>false</v>
      </c>
      <c r="T38" s="156" cm="1" t="str">
        <f t="array" ref="T38:T38">T37</f>
        <v>false</v>
      </c>
      <c r="U38" s="816">
        <f>AND(S38,IF(ISBLANK(T38),TRUE,T38))</f>
        <v>0</v>
      </c>
      <c r="AB38" s="1520"/>
      <c r="AD38" s="157">
        <v>5</v>
      </c>
      <c r="AE38" s="1514" t="s">
        <v>749</v>
      </c>
      <c r="AF38" s="1515"/>
      <c r="AG38" s="157" t="s">
        <v>728</v>
      </c>
      <c r="AH38" s="86"/>
      <c r="AI38" s="87"/>
      <c r="AJ38" s="87"/>
      <c r="AK38" s="87"/>
      <c r="AL38" s="859">
        <f>AM38+AN38</f>
        <v>0</v>
      </c>
      <c r="AM38" s="87"/>
      <c r="AN38" s="87"/>
      <c r="AO38" s="859">
        <f>AP38+AQ38</f>
        <v>0</v>
      </c>
      <c r="AP38" s="976"/>
      <c r="AQ38" s="976"/>
      <c r="AR38" s="859">
        <f>AS38+AT38</f>
        <v>0</v>
      </c>
      <c r="AS38" s="976"/>
      <c r="AT38" s="976"/>
      <c r="AU38" s="859">
        <f>AV38+AW38</f>
        <v>0</v>
      </c>
      <c r="AV38" s="976"/>
      <c r="AW38" s="976"/>
      <c r="AX38" s="859">
        <f>AY38+AZ38</f>
        <v>0</v>
      </c>
      <c r="AY38" s="976"/>
      <c r="AZ38" s="976"/>
      <c r="BA38" s="859">
        <f>BB38+BC38</f>
        <v>0</v>
      </c>
      <c r="BB38" s="87"/>
      <c r="BC38" s="87"/>
      <c r="BD38" s="859">
        <f>BE38+BF38</f>
        <v>0</v>
      </c>
      <c r="BE38" s="87"/>
      <c r="BF38" s="87"/>
      <c r="BG38" s="859">
        <f>BH38+BI38</f>
        <v>0</v>
      </c>
      <c r="BH38" s="87"/>
      <c r="BI38" s="87"/>
      <c r="BJ38" s="859">
        <f>BK38+BL38</f>
        <v>0</v>
      </c>
      <c r="BK38" s="87"/>
      <c r="BL38" s="87"/>
      <c r="BM38" s="859">
        <f>BN38+BO38</f>
        <v>0</v>
      </c>
      <c r="BN38" s="87"/>
      <c r="BO38" s="87"/>
      <c r="BP38" s="859">
        <f>BQ38+BR38</f>
        <v>0</v>
      </c>
      <c r="BQ38" s="976"/>
      <c r="BR38" s="976"/>
      <c r="BS38" s="859">
        <f>BT38+BU38</f>
        <v>0</v>
      </c>
      <c r="BT38" s="976"/>
      <c r="BU38" s="976"/>
      <c r="BV38" s="859">
        <f>BW38+BX38</f>
        <v>0</v>
      </c>
      <c r="BW38" s="976"/>
      <c r="BX38" s="976"/>
      <c r="BY38" s="859">
        <f>BZ38+CA38</f>
        <v>0</v>
      </c>
      <c r="BZ38" s="976"/>
      <c r="CA38" s="976"/>
      <c r="CB38" s="859">
        <f>CC38+CD38</f>
        <v>0</v>
      </c>
      <c r="CC38" s="976"/>
      <c r="CD38" s="976"/>
      <c r="CE38" s="859">
        <f>CF38+CG38</f>
        <v>0</v>
      </c>
      <c r="CF38" s="87"/>
      <c r="CG38" s="87"/>
      <c r="CH38" s="859">
        <f>CI38+CJ38</f>
        <v>0</v>
      </c>
      <c r="CI38" s="87"/>
      <c r="CJ38" s="87"/>
      <c r="CK38" s="859">
        <f>CL38+CM38</f>
        <v>0</v>
      </c>
      <c r="CL38" s="87"/>
      <c r="CM38" s="87"/>
      <c r="CN38" s="859">
        <f>CO38+CP38</f>
        <v>0</v>
      </c>
      <c r="CO38" s="87"/>
      <c r="CP38" s="87"/>
      <c r="CQ38" s="859">
        <f>CR38+CS38</f>
        <v>0</v>
      </c>
      <c r="CR38" s="87"/>
      <c r="CS38" s="87"/>
      <c r="CT38" s="73"/>
      <c r="CW38" s="1170" t="s">
        <v>750</v>
      </c>
    </row>
    <row customHeight="1" ht="16.672500000000003" hidden="1">
      <c r="E39" s="794">
        <v>17.1</v>
      </c>
      <c r="F39" s="919" cm="1" t="str">
        <f t="array" ref="F39:F39">OFFSET(G39,-1,-1)</f>
        <v>0</v>
      </c>
      <c r="L39" s="919" cm="1" t="str">
        <f t="array" ref="L39:L39">OFFSET(M39,-1,-1)</f>
        <v>false</v>
      </c>
      <c r="R39" s="919" t="s">
        <v>725</v>
      </c>
      <c r="S39" s="156" cm="1" t="str">
        <f t="array" ref="S39:S39">OFFSET(T39,-1,-1)</f>
        <v>false</v>
      </c>
      <c r="T39" s="156" cm="1" t="str">
        <f t="array" ref="T39:T39">T38</f>
        <v>false</v>
      </c>
      <c r="U39" s="816">
        <f>AND(S39,IF(ISBLANK(T39),TRUE,T39))</f>
        <v>0</v>
      </c>
      <c r="AB39" s="1520"/>
      <c r="AD39" s="157" t="s">
        <v>751</v>
      </c>
      <c r="AE39" s="1507" t="s">
        <v>747</v>
      </c>
      <c r="AF39" s="162"/>
      <c r="AG39" s="157" t="s">
        <v>490</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3"/>
      <c r="CW39" s="1170" t="s">
        <v>752</v>
      </c>
    </row>
    <row customHeight="1" ht="16.672500000000003" hidden="1">
      <c r="E40" s="794">
        <v>17.1</v>
      </c>
      <c r="F40" s="919" cm="1" t="str">
        <f t="array" ref="F40:F40">OFFSET(G40,-1,-1)</f>
        <v>0</v>
      </c>
      <c r="L40" s="919" cm="1" t="str">
        <f t="array" ref="L40:L40">OFFSET(M40,-1,-1)</f>
        <v>false</v>
      </c>
      <c r="R40" s="919" t="s">
        <v>725</v>
      </c>
      <c r="S40" s="156" cm="1" t="str">
        <f t="array" ref="S40:S40">OFFSET(T40,-1,-1)</f>
        <v>false</v>
      </c>
      <c r="T40" s="156" cm="1" t="str">
        <f t="array" ref="T40:T40">T39</f>
        <v>false</v>
      </c>
      <c r="U40" s="816">
        <f>AND(S40,IF(ISBLANK(T40),TRUE,T40))</f>
        <v>0</v>
      </c>
      <c r="AB40" s="1520"/>
      <c r="AD40" s="157">
        <v>6</v>
      </c>
      <c r="AE40" s="1514" t="s">
        <v>753</v>
      </c>
      <c r="AF40" s="1515"/>
      <c r="AG40" s="157" t="s">
        <v>728</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3"/>
      <c r="CW40" s="1170" t="s">
        <v>754</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755</v>
      </c>
      <c r="AF41" s="164"/>
      <c r="AG41" s="869" t="s">
        <v>591</v>
      </c>
      <c r="AH41" s="857">
        <f>_xlfn.SUMIFS('Баланс Пр'!AE$27:AE$233,'Баланс Пр'!$AB$27:$AB$233,"3.1",'Баланс Пр'!$F$27:$F$233,$F41)+_xlfn.SUMIFS('Баланс Пр'!AE$27:AE$233,'Баланс Пр'!$AB$27:$AB$233,"3.2",'Баланс Пр'!$F$27:$F$233,$F41)</f>
        <v>0</v>
      </c>
      <c r="AI41" s="857">
        <f>_xlfn.SUMIFS('Баланс Пр'!AF$27:AF$233,'Баланс Пр'!$AB$27:$AB$233,"3.1",'Баланс Пр'!$F$27:$F$233,$F41)+_xlfn.SUMIFS('Баланс Пр'!AF$27:AF$233,'Баланс Пр'!$AB$27:$AB$233,"3.2",'Баланс Пр'!$F$27:$F$233,$F41)</f>
        <v>0</v>
      </c>
      <c r="AJ41" s="857">
        <f>_xlfn.SUMIFS('Баланс Пр'!AG$27:AG$233,'Баланс Пр'!$AB$27:$AB$233,"3.1",'Баланс Пр'!$F$27:$F$233,$F41)+_xlfn.SUMIFS('Баланс Пр'!AG$27:AG$233,'Баланс Пр'!$AB$27:$AB$233,"3.2",'Баланс Пр'!$F$27:$F$233,$F41)</f>
        <v>0</v>
      </c>
      <c r="AK41" s="857">
        <f>_xlfn.SUMIFS('Баланс Пр'!AH$27:AH$233,'Баланс Пр'!$AB$27:$AB$233,"3.1",'Баланс Пр'!$F$27:$F$233,$F41)+_xlfn.SUMIFS('Баланс Пр'!AH$27:AH$233,'Баланс Пр'!$AB$27:$AB$233,"3.2",'Баланс Пр'!$F$27:$F$233,$F41)</f>
        <v>0</v>
      </c>
      <c r="AL41" s="857">
        <f>_xlfn.SUMIFS('Баланс Пр'!AI$27:AI$233,'Баланс Пр'!$AB$27:$AB$233,"3.1",'Баланс Пр'!$F$27:$F$233,$F41)+_xlfn.SUMIFS('Баланс Пр'!AI$27:AI$233,'Баланс Пр'!$AB$27:$AB$233,"3.2",'Баланс Пр'!$F$27:$F$233,$F41)</f>
        <v>0</v>
      </c>
      <c r="AM41" s="87"/>
      <c r="AN41" s="859">
        <f>AL41-AM41</f>
        <v>0</v>
      </c>
      <c r="AO41" s="857">
        <f>_xlfn.SUMIFS('Баланс Пр'!AJ$27:AJ$233,'Баланс Пр'!$AB$27:$AB$233,"3.1",'Баланс Пр'!$F$27:$F$233,$F41)+_xlfn.SUMIFS('Баланс Пр'!AJ$27:AJ$233,'Баланс Пр'!$AB$27:$AB$233,"3.2",'Баланс Пр'!$F$27:$F$233,$F41)</f>
        <v>0</v>
      </c>
      <c r="AP41" s="976"/>
      <c r="AQ41" s="859">
        <f>AO41-AP41</f>
        <v>0</v>
      </c>
      <c r="AR41" s="857">
        <f>_xlfn.SUMIFS('Баланс Пр'!AK$27:AK$233,'Баланс Пр'!$AB$27:$AB$233,"3.1",'Баланс Пр'!$F$27:$F$233,$F41)+_xlfn.SUMIFS('Баланс Пр'!AK$27:AK$233,'Баланс Пр'!$AB$27:$AB$233,"3.2",'Баланс Пр'!$F$27:$F$233,$F41)</f>
        <v>0</v>
      </c>
      <c r="AS41" s="976"/>
      <c r="AT41" s="859">
        <f>AR41-AS41</f>
        <v>0</v>
      </c>
      <c r="AU41" s="857">
        <f>_xlfn.SUMIFS('Баланс Пр'!AL$27:AL$233,'Баланс Пр'!$AB$27:$AB$233,"3.1",'Баланс Пр'!$F$27:$F$233,$F41)+_xlfn.SUMIFS('Баланс Пр'!AL$27:AL$233,'Баланс Пр'!$AB$27:$AB$233,"3.2",'Баланс Пр'!$F$27:$F$233,$F41)</f>
        <v>0</v>
      </c>
      <c r="AV41" s="976"/>
      <c r="AW41" s="859">
        <f>AU41-AV41</f>
        <v>0</v>
      </c>
      <c r="AX41" s="857">
        <f>_xlfn.SUMIFS('Баланс Пр'!AM$27:AM$233,'Баланс Пр'!$AB$27:$AB$233,"3.1",'Баланс Пр'!$F$27:$F$233,$F41)+_xlfn.SUMIFS('Баланс Пр'!AM$27:AM$233,'Баланс Пр'!$AB$27:$AB$233,"3.2",'Баланс Пр'!$F$27:$F$233,$F41)</f>
        <v>0</v>
      </c>
      <c r="AY41" s="976"/>
      <c r="AZ41" s="859">
        <f>AX41-AY41</f>
        <v>0</v>
      </c>
      <c r="BA41" s="857">
        <f>_xlfn.SUMIFS('Баланс Пр'!AN$27:AN$233,'Баланс Пр'!$AB$27:$AB$233,"3.1",'Баланс Пр'!$F$27:$F$233,$F41)+_xlfn.SUMIFS('Баланс Пр'!AN$27:AN$233,'Баланс Пр'!$AB$27:$AB$233,"3.2",'Баланс Пр'!$F$27:$F$233,$F41)</f>
        <v>0</v>
      </c>
      <c r="BB41" s="87"/>
      <c r="BC41" s="859">
        <f>BA41-BB41</f>
        <v>0</v>
      </c>
      <c r="BD41" s="857">
        <f>_xlfn.SUMIFS('Баланс Пр'!AO$27:AO$233,'Баланс Пр'!$AB$27:$AB$233,"3.1",'Баланс Пр'!$F$27:$F$233,$F41)+_xlfn.SUMIFS('Баланс Пр'!AO$27:AO$233,'Баланс Пр'!$AB$27:$AB$233,"3.2",'Баланс Пр'!$F$27:$F$233,$F41)</f>
        <v>0</v>
      </c>
      <c r="BE41" s="87"/>
      <c r="BF41" s="859">
        <f>BD41-BE41</f>
        <v>0</v>
      </c>
      <c r="BG41" s="857">
        <f>_xlfn.SUMIFS('Баланс Пр'!AP$27:AP$233,'Баланс Пр'!$AB$27:$AB$233,"3.1",'Баланс Пр'!$F$27:$F$233,$F41)+_xlfn.SUMIFS('Баланс Пр'!AP$27:AP$233,'Баланс Пр'!$AB$27:$AB$233,"3.2",'Баланс Пр'!$F$27:$F$233,$F41)</f>
        <v>0</v>
      </c>
      <c r="BH41" s="87"/>
      <c r="BI41" s="859">
        <f>BG41-BH41</f>
        <v>0</v>
      </c>
      <c r="BJ41" s="857">
        <f>_xlfn.SUMIFS('Баланс Пр'!AQ$27:AQ$233,'Баланс Пр'!$AB$27:$AB$233,"3.1",'Баланс Пр'!$F$27:$F$233,$F41)+_xlfn.SUMIFS('Баланс Пр'!AQ$27:AQ$233,'Баланс Пр'!$AB$27:$AB$233,"3.2",'Баланс Пр'!$F$27:$F$233,$F41)</f>
        <v>0</v>
      </c>
      <c r="BK41" s="87"/>
      <c r="BL41" s="859">
        <f>BJ41-BK41</f>
        <v>0</v>
      </c>
      <c r="BM41" s="857">
        <f>_xlfn.SUMIFS('Баланс Пр'!AR$27:AR$233,'Баланс Пр'!$AB$27:$AB$233,"3.1",'Баланс Пр'!$F$27:$F$233,$F41)+_xlfn.SUMIFS('Баланс Пр'!AR$27:AR$233,'Баланс Пр'!$AB$27:$AB$233,"3.2",'Баланс Пр'!$F$27:$F$233,$F41)</f>
        <v>0</v>
      </c>
      <c r="BN41" s="87"/>
      <c r="BO41" s="859">
        <f>BM41-BN41</f>
        <v>0</v>
      </c>
      <c r="BP41" s="857">
        <f>_xlfn.SUMIFS('Баланс Пр'!AS$27:AS$233,'Баланс Пр'!$AB$27:$AB$233,"3.1",'Баланс Пр'!$F$27:$F$233,$F41)+_xlfn.SUMIFS('Баланс Пр'!AS$27:AS$233,'Баланс Пр'!$AB$27:$AB$233,"3.2",'Баланс Пр'!$F$27:$F$233,$F41)</f>
        <v>0</v>
      </c>
      <c r="BQ41" s="976"/>
      <c r="BR41" s="859">
        <f>BP41-BQ41</f>
        <v>0</v>
      </c>
      <c r="BS41" s="857">
        <f>_xlfn.SUMIFS('Баланс Пр'!AT$27:AT$233,'Баланс Пр'!$AB$27:$AB$233,"3.1",'Баланс Пр'!$F$27:$F$233,$F41)+_xlfn.SUMIFS('Баланс Пр'!AT$27:AT$233,'Баланс Пр'!$AB$27:$AB$233,"3.2",'Баланс Пр'!$F$27:$F$233,$F41)</f>
        <v>0</v>
      </c>
      <c r="BT41" s="976"/>
      <c r="BU41" s="859">
        <f>BS41-BT41</f>
        <v>0</v>
      </c>
      <c r="BV41" s="857">
        <f>_xlfn.SUMIFS('Баланс Пр'!AU$27:AU$233,'Баланс Пр'!$AB$27:$AB$233,"3.1",'Баланс Пр'!$F$27:$F$233,$F41)+_xlfn.SUMIFS('Баланс Пр'!AU$27:AU$233,'Баланс Пр'!$AB$27:$AB$233,"3.2",'Баланс Пр'!$F$27:$F$233,$F41)</f>
        <v>0</v>
      </c>
      <c r="BW41" s="976"/>
      <c r="BX41" s="859">
        <f>BV41-BW41</f>
        <v>0</v>
      </c>
      <c r="BY41" s="857">
        <f>_xlfn.SUMIFS('Баланс Пр'!AV$27:AV$233,'Баланс Пр'!$AB$27:$AB$233,"3.1",'Баланс Пр'!$F$27:$F$233,$F41)+_xlfn.SUMIFS('Баланс Пр'!AV$27:AV$233,'Баланс Пр'!$AB$27:$AB$233,"3.2",'Баланс Пр'!$F$27:$F$233,$F41)</f>
        <v>0</v>
      </c>
      <c r="BZ41" s="976"/>
      <c r="CA41" s="859">
        <f>BY41-BZ41</f>
        <v>0</v>
      </c>
      <c r="CB41" s="857">
        <f>_xlfn.SUMIFS('Баланс Пр'!AW$27:AW$233,'Баланс Пр'!$AB$27:$AB$233,"3.1",'Баланс Пр'!$F$27:$F$233,$F41)+_xlfn.SUMIFS('Баланс Пр'!AW$27:AW$233,'Баланс Пр'!$AB$27:$AB$233,"3.2",'Баланс Пр'!$F$27:$F$233,$F41)</f>
        <v>0</v>
      </c>
      <c r="CC41" s="976"/>
      <c r="CD41" s="859">
        <f>CB41-CC41</f>
        <v>0</v>
      </c>
      <c r="CE41" s="857">
        <f>_xlfn.SUMIFS('Баланс Пр'!AX$27:AX$233,'Баланс Пр'!$AB$27:$AB$233,"3.1",'Баланс Пр'!$F$27:$F$233,$F41)+_xlfn.SUMIFS('Баланс Пр'!AX$27:AX$233,'Баланс Пр'!$AB$27:$AB$233,"3.2",'Баланс Пр'!$F$27:$F$233,$F41)</f>
        <v>0</v>
      </c>
      <c r="CF41" s="87"/>
      <c r="CG41" s="859">
        <f>CE41-CF41</f>
        <v>0</v>
      </c>
      <c r="CH41" s="857">
        <f>_xlfn.SUMIFS('Баланс Пр'!AY$27:AY$233,'Баланс Пр'!$AB$27:$AB$233,"3.1",'Баланс Пр'!$F$27:$F$233,$F41)+_xlfn.SUMIFS('Баланс Пр'!AY$27:AY$233,'Баланс Пр'!$AB$27:$AB$233,"3.2",'Баланс Пр'!$F$27:$F$233,$F41)</f>
        <v>0</v>
      </c>
      <c r="CI41" s="87"/>
      <c r="CJ41" s="859">
        <f>CH41-CI41</f>
        <v>0</v>
      </c>
      <c r="CK41" s="857">
        <f>_xlfn.SUMIFS('Баланс Пр'!AZ$27:AZ$233,'Баланс Пр'!$AB$27:$AB$233,"3.1",'Баланс Пр'!$F$27:$F$233,$F41)+_xlfn.SUMIFS('Баланс Пр'!AZ$27:AZ$233,'Баланс Пр'!$AB$27:$AB$233,"3.2",'Баланс Пр'!$F$27:$F$233,$F41)</f>
        <v>0</v>
      </c>
      <c r="CL41" s="87"/>
      <c r="CM41" s="859">
        <f>CK41-CL41</f>
        <v>0</v>
      </c>
      <c r="CN41" s="857">
        <f>_xlfn.SUMIFS('Баланс Пр'!BA$27:BA$233,'Баланс Пр'!$AB$27:$AB$233,"3.1",'Баланс Пр'!$F$27:$F$233,$F41)+_xlfn.SUMIFS('Баланс Пр'!BA$27:BA$233,'Баланс Пр'!$AB$27:$AB$233,"3.2",'Баланс Пр'!$F$27:$F$233,$F41)</f>
        <v>0</v>
      </c>
      <c r="CO41" s="87"/>
      <c r="CP41" s="859">
        <f>CN41-CO41</f>
        <v>0</v>
      </c>
      <c r="CQ41" s="857">
        <f>_xlfn.SUMIFS('Баланс Пр'!BB$27:BB$233,'Баланс Пр'!$AB$27:$AB$233,"3.1",'Баланс Пр'!$F$27:$F$233,$F41)+_xlfn.SUMIFS('Баланс Пр'!BB$27:BB$233,'Баланс Пр'!$AB$27:$AB$233,"3.2",'Баланс Пр'!$F$27:$F$233,$F41)</f>
        <v>0</v>
      </c>
      <c r="CR41" s="87"/>
      <c r="CS41" s="859">
        <f>CQ41-CR41</f>
        <v>0</v>
      </c>
      <c r="CT41" s="73"/>
      <c r="CW41" s="1170" t="s">
        <v>756</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757</v>
      </c>
      <c r="AF42" s="164"/>
      <c r="AG42" s="869" t="s">
        <v>591</v>
      </c>
      <c r="AH42" s="857">
        <f>_xlfn.SUMIFS('Баланс Пр'!AE$27:AE$233,'Баланс Пр'!$AB$27:$AB$233,"5",'Баланс Пр'!$F$27:$F$233,$F41)</f>
        <v>0</v>
      </c>
      <c r="AI42" s="857">
        <f>_xlfn.SUMIFS('Баланс Пр'!AF$27:AF$233,'Баланс Пр'!$AB$27:$AB$233,"5",'Баланс Пр'!$F$27:$F$233,$F41)</f>
        <v>0</v>
      </c>
      <c r="AJ42" s="857">
        <f>_xlfn.SUMIFS('Баланс Пр'!AG$27:AG$233,'Баланс Пр'!$AB$27:$AB$233,"5",'Баланс Пр'!$F$27:$F$233,$F41)</f>
        <v>0</v>
      </c>
      <c r="AK42" s="857">
        <f>_xlfn.SUMIFS('Баланс Пр'!AH$27:AH$233,'Баланс Пр'!$AB$27:$AB$233,"5",'Баланс Пр'!$F$27:$F$233,$F41)</f>
        <v>0</v>
      </c>
      <c r="AL42" s="857">
        <f>_xlfn.SUMIFS('Баланс Пр'!AI$27:AI$233,'Баланс Пр'!$AB$27:$AB$233,"5",'Баланс Пр'!$F$27:$F$233,$F41)</f>
        <v>0</v>
      </c>
      <c r="AM42" s="87"/>
      <c r="AN42" s="859">
        <f>AL42-AM42</f>
        <v>0</v>
      </c>
      <c r="AO42" s="857">
        <f>_xlfn.SUMIFS('Баланс Пр'!AJ$27:AJ$233,'Баланс Пр'!$AB$27:$AB$233,"5",'Баланс Пр'!$F$27:$F$233,$F41)</f>
        <v>0</v>
      </c>
      <c r="AP42" s="976"/>
      <c r="AQ42" s="859">
        <f>AO42-AP42</f>
        <v>0</v>
      </c>
      <c r="AR42" s="857">
        <f>_xlfn.SUMIFS('Баланс Пр'!AK$27:AK$233,'Баланс Пр'!$AB$27:$AB$233,"5",'Баланс Пр'!$F$27:$F$233,$F41)</f>
        <v>0</v>
      </c>
      <c r="AS42" s="976"/>
      <c r="AT42" s="859">
        <f>AR42-AS42</f>
        <v>0</v>
      </c>
      <c r="AU42" s="857">
        <f>_xlfn.SUMIFS('Баланс Пр'!AL$27:AL$233,'Баланс Пр'!$AB$27:$AB$233,"5",'Баланс Пр'!$F$27:$F$233,$F41)</f>
        <v>0</v>
      </c>
      <c r="AV42" s="976"/>
      <c r="AW42" s="859">
        <f>AU42-AV42</f>
        <v>0</v>
      </c>
      <c r="AX42" s="857">
        <f>_xlfn.SUMIFS('Баланс Пр'!AM$27:AM$233,'Баланс Пр'!$AB$27:$AB$233,"5",'Баланс Пр'!$F$27:$F$233,$F41)</f>
        <v>0</v>
      </c>
      <c r="AY42" s="976"/>
      <c r="AZ42" s="859">
        <f>AX42-AY42</f>
        <v>0</v>
      </c>
      <c r="BA42" s="857">
        <f>_xlfn.SUMIFS('Баланс Пр'!AN$27:AN$233,'Баланс Пр'!$AB$27:$AB$233,"5",'Баланс Пр'!$F$27:$F$233,$F41)</f>
        <v>0</v>
      </c>
      <c r="BB42" s="87"/>
      <c r="BC42" s="859">
        <f>BA42-BB42</f>
        <v>0</v>
      </c>
      <c r="BD42" s="857">
        <f>_xlfn.SUMIFS('Баланс Пр'!AO$27:AO$233,'Баланс Пр'!$AB$27:$AB$233,"5",'Баланс Пр'!$F$27:$F$233,$F41)</f>
        <v>0</v>
      </c>
      <c r="BE42" s="87"/>
      <c r="BF42" s="859">
        <f>BD42-BE42</f>
        <v>0</v>
      </c>
      <c r="BG42" s="857">
        <f>_xlfn.SUMIFS('Баланс Пр'!AP$27:AP$233,'Баланс Пр'!$AB$27:$AB$233,"5",'Баланс Пр'!$F$27:$F$233,$F41)</f>
        <v>0</v>
      </c>
      <c r="BH42" s="87"/>
      <c r="BI42" s="859">
        <f>BG42-BH42</f>
        <v>0</v>
      </c>
      <c r="BJ42" s="857">
        <f>_xlfn.SUMIFS('Баланс Пр'!AQ$27:AQ$233,'Баланс Пр'!$AB$27:$AB$233,"5",'Баланс Пр'!$F$27:$F$233,$F41)</f>
        <v>0</v>
      </c>
      <c r="BK42" s="87"/>
      <c r="BL42" s="859">
        <f>BJ42-BK42</f>
        <v>0</v>
      </c>
      <c r="BM42" s="857">
        <f>_xlfn.SUMIFS('Баланс Пр'!AR$27:AR$233,'Баланс Пр'!$AB$27:$AB$233,"5",'Баланс Пр'!$F$27:$F$233,$F41)</f>
        <v>0</v>
      </c>
      <c r="BN42" s="87"/>
      <c r="BO42" s="859">
        <f>BM42-BN42</f>
        <v>0</v>
      </c>
      <c r="BP42" s="857">
        <f>_xlfn.SUMIFS('Баланс Пр'!AS$27:AS$233,'Баланс Пр'!$AB$27:$AB$233,"5",'Баланс Пр'!$F$27:$F$233,$F41)</f>
        <v>0</v>
      </c>
      <c r="BQ42" s="976"/>
      <c r="BR42" s="859">
        <f>BP42-BQ42</f>
        <v>0</v>
      </c>
      <c r="BS42" s="857">
        <f>_xlfn.SUMIFS('Баланс Пр'!AT$27:AT$233,'Баланс Пр'!$AB$27:$AB$233,"5",'Баланс Пр'!$F$27:$F$233,$F41)</f>
        <v>0</v>
      </c>
      <c r="BT42" s="976"/>
      <c r="BU42" s="859">
        <f>BS42-BT42</f>
        <v>0</v>
      </c>
      <c r="BV42" s="857">
        <f>_xlfn.SUMIFS('Баланс Пр'!AU$27:AU$233,'Баланс Пр'!$AB$27:$AB$233,"5",'Баланс Пр'!$F$27:$F$233,$F41)</f>
        <v>0</v>
      </c>
      <c r="BW42" s="976"/>
      <c r="BX42" s="859">
        <f>BV42-BW42</f>
        <v>0</v>
      </c>
      <c r="BY42" s="857">
        <f>_xlfn.SUMIFS('Баланс Пр'!AV$27:AV$233,'Баланс Пр'!$AB$27:$AB$233,"5",'Баланс Пр'!$F$27:$F$233,$F41)</f>
        <v>0</v>
      </c>
      <c r="BZ42" s="976"/>
      <c r="CA42" s="859">
        <f>BY42-BZ42</f>
        <v>0</v>
      </c>
      <c r="CB42" s="857">
        <f>_xlfn.SUMIFS('Баланс Пр'!AW$27:AW$233,'Баланс Пр'!$AB$27:$AB$233,"5",'Баланс Пр'!$F$27:$F$233,$F41)</f>
        <v>0</v>
      </c>
      <c r="CC42" s="976"/>
      <c r="CD42" s="859">
        <f>CB42-CC42</f>
        <v>0</v>
      </c>
      <c r="CE42" s="857">
        <f>_xlfn.SUMIFS('Баланс Пр'!AX$27:AX$233,'Баланс Пр'!$AB$27:$AB$233,"5",'Баланс Пр'!$F$27:$F$233,$F41)</f>
        <v>0</v>
      </c>
      <c r="CF42" s="87"/>
      <c r="CG42" s="859">
        <f>CE42-CF42</f>
        <v>0</v>
      </c>
      <c r="CH42" s="857">
        <f>_xlfn.SUMIFS('Баланс Пр'!AY$27:AY$233,'Баланс Пр'!$AB$27:$AB$233,"5",'Баланс Пр'!$F$27:$F$233,$F41)</f>
        <v>0</v>
      </c>
      <c r="CI42" s="87"/>
      <c r="CJ42" s="859">
        <f>CH42-CI42</f>
        <v>0</v>
      </c>
      <c r="CK42" s="857">
        <f>_xlfn.SUMIFS('Баланс Пр'!AZ$27:AZ$233,'Баланс Пр'!$AB$27:$AB$233,"5",'Баланс Пр'!$F$27:$F$233,$F41)</f>
        <v>0</v>
      </c>
      <c r="CL42" s="87"/>
      <c r="CM42" s="859">
        <f>CK42-CL42</f>
        <v>0</v>
      </c>
      <c r="CN42" s="857">
        <f>_xlfn.SUMIFS('Баланс Пр'!BA$27:BA$233,'Баланс Пр'!$AB$27:$AB$233,"5",'Баланс Пр'!$F$27:$F$233,$F41)</f>
        <v>0</v>
      </c>
      <c r="CO42" s="87"/>
      <c r="CP42" s="859">
        <f>CN42-CO42</f>
        <v>0</v>
      </c>
      <c r="CQ42" s="857">
        <f>_xlfn.SUMIFS('Баланс Пр'!BB$27:BB$233,'Баланс Пр'!$AB$27:$AB$233,"5",'Баланс Пр'!$F$27:$F$233,$F41)</f>
        <v>0</v>
      </c>
      <c r="CR42" s="87"/>
      <c r="CS42" s="859">
        <f>CQ42-CR42</f>
        <v>0</v>
      </c>
      <c r="CT42" s="73"/>
      <c r="CW42" s="1170" t="s">
        <v>758</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759</v>
      </c>
      <c r="AE43" s="1516" t="s">
        <v>760</v>
      </c>
      <c r="AF43" s="1517"/>
      <c r="AG43" s="648" t="s">
        <v>490</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3"/>
      <c r="CW43" s="1170" t="s">
        <v>761</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762</v>
      </c>
      <c r="AF44" s="165"/>
      <c r="AG44" s="869" t="s">
        <v>591</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3"/>
      <c r="CW44" s="1170" t="s">
        <v>763</v>
      </c>
    </row>
    <row customHeight="1" ht="16.672500000000003" hidden="1">
      <c r="E45" s="794">
        <v>17.1</v>
      </c>
      <c r="F45" s="919" cm="1" t="str">
        <f t="array" ref="F45:F45">OFFSET(G45,-1,-1)</f>
        <v>0</v>
      </c>
      <c r="L45" s="919" cm="1" t="str">
        <f t="array" ref="L45:L45">OFFSET(M45,-1,-1)</f>
        <v>false</v>
      </c>
      <c r="R45" s="919" t="s">
        <v>725</v>
      </c>
      <c r="S45" s="156" cm="1" t="str">
        <f t="array" ref="S45:S45">OFFSET(T45,-1,-1)</f>
        <v>false</v>
      </c>
      <c r="T45" s="156" cm="1" t="str">
        <f t="array" ref="T45:T45">L45</f>
        <v>false</v>
      </c>
      <c r="U45" s="816">
        <f>AND(S45,IF(ISBLANK(T45),TRUE,T45))</f>
        <v>0</v>
      </c>
      <c r="AB45" s="1520"/>
      <c r="AD45" s="157">
        <v>10</v>
      </c>
      <c r="AE45" s="1495" t="s">
        <v>742</v>
      </c>
      <c r="AF45" s="165"/>
      <c r="AG45" s="648" t="s">
        <v>728</v>
      </c>
      <c r="AH45" s="86"/>
      <c r="AI45" s="87"/>
      <c r="AJ45" s="87"/>
      <c r="AK45" s="87"/>
      <c r="AL45" s="859">
        <f>AM45+AN45</f>
        <v>0</v>
      </c>
      <c r="AM45" s="87"/>
      <c r="AN45" s="87"/>
      <c r="AO45" s="859">
        <f>AP45+AQ45</f>
        <v>0</v>
      </c>
      <c r="AP45" s="976"/>
      <c r="AQ45" s="976"/>
      <c r="AR45" s="859">
        <f>AS45+AT45</f>
        <v>0</v>
      </c>
      <c r="AS45" s="976"/>
      <c r="AT45" s="976"/>
      <c r="AU45" s="859">
        <f>AV45+AW45</f>
        <v>0</v>
      </c>
      <c r="AV45" s="976"/>
      <c r="AW45" s="976"/>
      <c r="AX45" s="859">
        <f>AY45+AZ45</f>
        <v>0</v>
      </c>
      <c r="AY45" s="976"/>
      <c r="AZ45" s="976"/>
      <c r="BA45" s="859">
        <f>BB45+BC45</f>
        <v>0</v>
      </c>
      <c r="BB45" s="87"/>
      <c r="BC45" s="87"/>
      <c r="BD45" s="859">
        <f>BE45+BF45</f>
        <v>0</v>
      </c>
      <c r="BE45" s="87"/>
      <c r="BF45" s="87"/>
      <c r="BG45" s="859">
        <f>BH45+BI45</f>
        <v>0</v>
      </c>
      <c r="BH45" s="87"/>
      <c r="BI45" s="87"/>
      <c r="BJ45" s="859">
        <f>BK45+BL45</f>
        <v>0</v>
      </c>
      <c r="BK45" s="87"/>
      <c r="BL45" s="87"/>
      <c r="BM45" s="859">
        <f>BN45+BO45</f>
        <v>0</v>
      </c>
      <c r="BN45" s="87"/>
      <c r="BO45" s="87"/>
      <c r="BP45" s="859">
        <f>BQ45+BR45</f>
        <v>0</v>
      </c>
      <c r="BQ45" s="976"/>
      <c r="BR45" s="976"/>
      <c r="BS45" s="859">
        <f>BT45+BU45</f>
        <v>0</v>
      </c>
      <c r="BT45" s="976"/>
      <c r="BU45" s="976"/>
      <c r="BV45" s="859">
        <f>BW45+BX45</f>
        <v>0</v>
      </c>
      <c r="BW45" s="976"/>
      <c r="BX45" s="976"/>
      <c r="BY45" s="859">
        <f>BZ45+CA45</f>
        <v>0</v>
      </c>
      <c r="BZ45" s="976"/>
      <c r="CA45" s="976"/>
      <c r="CB45" s="859">
        <f>CC45+CD45</f>
        <v>0</v>
      </c>
      <c r="CC45" s="976"/>
      <c r="CD45" s="976"/>
      <c r="CE45" s="859">
        <f>CF45+CG45</f>
        <v>0</v>
      </c>
      <c r="CF45" s="87"/>
      <c r="CG45" s="87"/>
      <c r="CH45" s="859">
        <f>CI45+CJ45</f>
        <v>0</v>
      </c>
      <c r="CI45" s="87"/>
      <c r="CJ45" s="87"/>
      <c r="CK45" s="859">
        <f>CL45+CM45</f>
        <v>0</v>
      </c>
      <c r="CL45" s="87"/>
      <c r="CM45" s="87"/>
      <c r="CN45" s="859">
        <f>CO45+CP45</f>
        <v>0</v>
      </c>
      <c r="CO45" s="87"/>
      <c r="CP45" s="87"/>
      <c r="CQ45" s="859">
        <f>CR45+CS45</f>
        <v>0</v>
      </c>
      <c r="CR45" s="87"/>
      <c r="CS45" s="87"/>
      <c r="CT45" s="73"/>
      <c r="CW45" s="1170" t="s">
        <v>764</v>
      </c>
    </row>
    <row customHeight="1" ht="29.25" hidden="1">
      <c r="E46" s="794">
        <v>30</v>
      </c>
      <c r="F46" s="919" cm="1" t="str">
        <f t="array" ref="F46:F46">OFFSET(G46,-1,-1)</f>
        <v>0</v>
      </c>
      <c r="L46" s="919" cm="1" t="str">
        <f t="array" ref="L46:L46">OFFSET(M46,-1,-1)</f>
        <v>false</v>
      </c>
      <c r="R46" s="919" t="s">
        <v>725</v>
      </c>
      <c r="S46" s="156" cm="1" t="str">
        <f t="array" ref="S46:S46">OFFSET(T46,-1,-1)</f>
        <v>false</v>
      </c>
      <c r="T46" s="156" cm="1" t="str">
        <f t="array" ref="T46:T46">L46</f>
        <v>false</v>
      </c>
      <c r="U46" s="816">
        <f>AND(S46,IF(ISBLANK(T46),TRUE,T46))</f>
        <v>0</v>
      </c>
      <c r="AB46" s="1520"/>
      <c r="AD46" s="157">
        <v>11</v>
      </c>
      <c r="AE46" s="1495" t="s">
        <v>765</v>
      </c>
      <c r="AF46" s="165"/>
      <c r="AG46" s="648" t="s">
        <v>766</v>
      </c>
      <c r="AH46" s="86"/>
      <c r="AI46" s="87"/>
      <c r="AJ46" s="87"/>
      <c r="AK46" s="87"/>
      <c r="AL46" s="859">
        <f>_xlfn.IFERROR(AL47*1000/AL45,0)</f>
        <v>0</v>
      </c>
      <c r="AM46" s="87"/>
      <c r="AN46" s="87" cm="1" t="str">
        <f t="array" ref="AN46:AN46">AM46</f>
        <v>0</v>
      </c>
      <c r="AO46" s="859">
        <f>_xlfn.IFERROR(AO47*1000/AO45,0)</f>
        <v>0</v>
      </c>
      <c r="AP46" s="976"/>
      <c r="AQ46" s="976" cm="1" t="str">
        <f t="array" ref="AQ46:AQ46">AP46</f>
        <v>0</v>
      </c>
      <c r="AR46" s="859">
        <f>_xlfn.IFERROR(AR47*1000/AR45,0)</f>
        <v>0</v>
      </c>
      <c r="AS46" s="976"/>
      <c r="AT46" s="976" cm="1" t="str">
        <f t="array" ref="AT46:AT46">AS46</f>
        <v>0</v>
      </c>
      <c r="AU46" s="859">
        <f>_xlfn.IFERROR(AU47*1000/AU45,0)</f>
        <v>0</v>
      </c>
      <c r="AV46" s="976"/>
      <c r="AW46" s="976" cm="1" t="str">
        <f t="array" ref="AW46:AW46">AV46</f>
        <v>0</v>
      </c>
      <c r="AX46" s="859">
        <f>_xlfn.IFERROR(AX47*1000/AX45,0)</f>
        <v>0</v>
      </c>
      <c r="AY46" s="976"/>
      <c r="AZ46" s="976" cm="1" t="str">
        <f t="array" ref="AZ46:AZ46">AY46</f>
        <v>0</v>
      </c>
      <c r="BA46" s="859">
        <f>_xlfn.IFERROR(BA47*1000/BA45,0)</f>
        <v>0</v>
      </c>
      <c r="BB46" s="87"/>
      <c r="BC46" s="87" cm="1" t="str">
        <f t="array" ref="BC46:BC46">BB46</f>
        <v>0</v>
      </c>
      <c r="BD46" s="859">
        <f>_xlfn.IFERROR(BD47*1000/BD45,0)</f>
        <v>0</v>
      </c>
      <c r="BE46" s="87"/>
      <c r="BF46" s="87" cm="1" t="str">
        <f t="array" ref="BF46:BF46">BE46</f>
        <v>0</v>
      </c>
      <c r="BG46" s="859">
        <f>_xlfn.IFERROR(BG47*1000/BG45,0)</f>
        <v>0</v>
      </c>
      <c r="BH46" s="87"/>
      <c r="BI46" s="87" cm="1" t="str">
        <f t="array" ref="BI46:BI46">BH46</f>
        <v>0</v>
      </c>
      <c r="BJ46" s="859">
        <f>_xlfn.IFERROR(BJ47*1000/BJ45,0)</f>
        <v>0</v>
      </c>
      <c r="BK46" s="87"/>
      <c r="BL46" s="87" cm="1" t="str">
        <f t="array" ref="BL46:BL46">BK46</f>
        <v>0</v>
      </c>
      <c r="BM46" s="859">
        <f>_xlfn.IFERROR(BM47*1000/BM45,0)</f>
        <v>0</v>
      </c>
      <c r="BN46" s="87"/>
      <c r="BO46" s="87" cm="1" t="str">
        <f t="array" ref="BO46:BO46">BN46</f>
        <v>0</v>
      </c>
      <c r="BP46" s="859">
        <f>_xlfn.IFERROR(BP47*1000/BP45,0)</f>
        <v>0</v>
      </c>
      <c r="BQ46" s="976"/>
      <c r="BR46" s="976" cm="1" t="str">
        <f t="array" ref="BR46:BR46">BQ46</f>
        <v>0</v>
      </c>
      <c r="BS46" s="859">
        <f>_xlfn.IFERROR(BS47*1000/BS45,0)</f>
        <v>0</v>
      </c>
      <c r="BT46" s="976"/>
      <c r="BU46" s="976" cm="1" t="str">
        <f t="array" ref="BU46:BU46">BT46</f>
        <v>0</v>
      </c>
      <c r="BV46" s="859">
        <f>_xlfn.IFERROR(BV47*1000/BV45,0)</f>
        <v>0</v>
      </c>
      <c r="BW46" s="976"/>
      <c r="BX46" s="976" cm="1" t="str">
        <f t="array" ref="BX46:BX46">BW46</f>
        <v>0</v>
      </c>
      <c r="BY46" s="859">
        <f>_xlfn.IFERROR(BY47*1000/BY45,0)</f>
        <v>0</v>
      </c>
      <c r="BZ46" s="976"/>
      <c r="CA46" s="976" cm="1" t="str">
        <f t="array" ref="CA46:CA46">BZ46</f>
        <v>0</v>
      </c>
      <c r="CB46" s="859">
        <f>_xlfn.IFERROR(CB47*1000/CB45,0)</f>
        <v>0</v>
      </c>
      <c r="CC46" s="976"/>
      <c r="CD46" s="976" cm="1" t="str">
        <f t="array" ref="CD46:CD46">CC46</f>
        <v>0</v>
      </c>
      <c r="CE46" s="859">
        <f>_xlfn.IFERROR(CE47*1000/CE45,0)</f>
        <v>0</v>
      </c>
      <c r="CF46" s="87"/>
      <c r="CG46" s="87" cm="1" t="str">
        <f t="array" ref="CG46:CG46">CF46</f>
        <v>0</v>
      </c>
      <c r="CH46" s="859">
        <f>_xlfn.IFERROR(CH47*1000/CH45,0)</f>
        <v>0</v>
      </c>
      <c r="CI46" s="87"/>
      <c r="CJ46" s="87" cm="1" t="str">
        <f t="array" ref="CJ46:CJ46">CI46</f>
        <v>0</v>
      </c>
      <c r="CK46" s="859">
        <f>_xlfn.IFERROR(CK47*1000/CK45,0)</f>
        <v>0</v>
      </c>
      <c r="CL46" s="87"/>
      <c r="CM46" s="87" cm="1" t="str">
        <f t="array" ref="CM46:CM46">CL46</f>
        <v>0</v>
      </c>
      <c r="CN46" s="859">
        <f>_xlfn.IFERROR(CN47*1000/CN45,0)</f>
        <v>0</v>
      </c>
      <c r="CO46" s="87"/>
      <c r="CP46" s="87" cm="1" t="str">
        <f t="array" ref="CP46:CP46">CO46</f>
        <v>0</v>
      </c>
      <c r="CQ46" s="859">
        <f>_xlfn.IFERROR(CQ47*1000/CQ45,0)</f>
        <v>0</v>
      </c>
      <c r="CR46" s="87"/>
      <c r="CS46" s="87" cm="1" t="str">
        <f t="array" ref="CS46:CS46">CR46</f>
        <v>0</v>
      </c>
      <c r="CT46" s="73"/>
      <c r="CW46" s="1170" t="s">
        <v>767</v>
      </c>
    </row>
    <row customHeight="1" ht="16.672500000000003" hidden="1">
      <c r="E47" s="794">
        <v>17.1</v>
      </c>
      <c r="F47" s="919" cm="1" t="str">
        <f t="array" ref="F47:F47">OFFSET(G47,-1,-1)</f>
        <v>0</v>
      </c>
      <c r="L47" s="919" cm="1" t="str">
        <f t="array" ref="L47:L47">OFFSET(M47,-1,-1)</f>
        <v>false</v>
      </c>
      <c r="R47" s="919" t="s">
        <v>725</v>
      </c>
      <c r="S47" s="156" cm="1" t="str">
        <f t="array" ref="S47:S47">OFFSET(T47,-1,-1)</f>
        <v>false</v>
      </c>
      <c r="T47" s="156" cm="1" t="str">
        <f t="array" ref="T47:T47">L47</f>
        <v>false</v>
      </c>
      <c r="U47" s="816">
        <f>AND(S47,IF(ISBLANK(T47),TRUE,T47))</f>
        <v>0</v>
      </c>
      <c r="AB47" s="1520"/>
      <c r="AD47" s="157">
        <v>12</v>
      </c>
      <c r="AE47" s="1495" t="s">
        <v>768</v>
      </c>
      <c r="AF47" s="165"/>
      <c r="AG47" s="648" t="s">
        <v>769</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3"/>
      <c r="CW47" s="1170" t="s">
        <v>770</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755</v>
      </c>
      <c r="AF48" s="165"/>
      <c r="AG48" s="648" t="s">
        <v>591</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977" cm="1" t="str">
        <f t="array" ref="AO48:AO48">AO41</f>
        <v>0</v>
      </c>
      <c r="AP48" s="977" cm="1" t="str">
        <f t="array" ref="AP48:AP48">AP41</f>
        <v>0</v>
      </c>
      <c r="AQ48" s="977" cm="1" t="str">
        <f t="array" ref="AQ48:AQ48">AQ41</f>
        <v>0</v>
      </c>
      <c r="AR48" s="977" cm="1" t="str">
        <f t="array" ref="AR48:AR48">AR41</f>
        <v>0</v>
      </c>
      <c r="AS48" s="977" cm="1" t="str">
        <f t="array" ref="AS48:AS48">AS41</f>
        <v>0</v>
      </c>
      <c r="AT48" s="977" cm="1" t="str">
        <f t="array" ref="AT48:AT48">AT41</f>
        <v>0</v>
      </c>
      <c r="AU48" s="977" cm="1" t="str">
        <f t="array" ref="AU48:AU48">AU41</f>
        <v>0</v>
      </c>
      <c r="AV48" s="977" cm="1" t="str">
        <f t="array" ref="AV48:AV48">AV41</f>
        <v>0</v>
      </c>
      <c r="AW48" s="977" cm="1" t="str">
        <f t="array" ref="AW48:AW48">AW41</f>
        <v>0</v>
      </c>
      <c r="AX48" s="977" cm="1" t="str">
        <f t="array" ref="AX48:AX48">AX41</f>
        <v>0</v>
      </c>
      <c r="AY48" s="977" cm="1" t="str">
        <f t="array" ref="AY48:AY48">AY41</f>
        <v>0</v>
      </c>
      <c r="AZ48" s="977"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7" cm="1" t="str">
        <f t="array" ref="BP48:BP48">BP41</f>
        <v>0</v>
      </c>
      <c r="BQ48" s="977" cm="1" t="str">
        <f t="array" ref="BQ48:BQ48">BQ41</f>
        <v>0</v>
      </c>
      <c r="BR48" s="977" cm="1" t="str">
        <f t="array" ref="BR48:BR48">BR41</f>
        <v>0</v>
      </c>
      <c r="BS48" s="977" cm="1" t="str">
        <f t="array" ref="BS48:BS48">BS41</f>
        <v>0</v>
      </c>
      <c r="BT48" s="977" cm="1" t="str">
        <f t="array" ref="BT48:BT48">BT41</f>
        <v>0</v>
      </c>
      <c r="BU48" s="977" cm="1" t="str">
        <f t="array" ref="BU48:BU48">BU41</f>
        <v>0</v>
      </c>
      <c r="BV48" s="977" cm="1" t="str">
        <f t="array" ref="BV48:BV48">BV41</f>
        <v>0</v>
      </c>
      <c r="BW48" s="977" cm="1" t="str">
        <f t="array" ref="BW48:BW48">BW41</f>
        <v>0</v>
      </c>
      <c r="BX48" s="977" cm="1" t="str">
        <f t="array" ref="BX48:BX48">BX41</f>
        <v>0</v>
      </c>
      <c r="BY48" s="977" cm="1" t="str">
        <f t="array" ref="BY48:BY48">BY41</f>
        <v>0</v>
      </c>
      <c r="BZ48" s="977" cm="1" t="str">
        <f t="array" ref="BZ48:BZ48">BZ41</f>
        <v>0</v>
      </c>
      <c r="CA48" s="977" cm="1" t="str">
        <f t="array" ref="CA48:CA48">CA41</f>
        <v>0</v>
      </c>
      <c r="CB48" s="977" cm="1" t="str">
        <f t="array" ref="CB48:CB48">CB41</f>
        <v>0</v>
      </c>
      <c r="CC48" s="977" cm="1" t="str">
        <f t="array" ref="CC48:CC48">CC41</f>
        <v>0</v>
      </c>
      <c r="CD48" s="977"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0" t="s">
        <v>771</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772</v>
      </c>
      <c r="AF49" s="165"/>
      <c r="AG49" s="157" t="s">
        <v>773</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7"/>
      <c r="AP49" s="977" cm="1" t="str">
        <f t="array" ref="AP49:AP49">AO49</f>
        <v>0</v>
      </c>
      <c r="AQ49" s="977" cm="1" t="str">
        <f t="array" ref="AQ49:AQ49">AO49</f>
        <v>0</v>
      </c>
      <c r="AR49" s="977"/>
      <c r="AS49" s="977" cm="1" t="str">
        <f t="array" ref="AS49:AS49">AR49</f>
        <v>0</v>
      </c>
      <c r="AT49" s="977" cm="1" t="str">
        <f t="array" ref="AT49:AT49">AR49</f>
        <v>0</v>
      </c>
      <c r="AU49" s="977"/>
      <c r="AV49" s="977" cm="1" t="str">
        <f t="array" ref="AV49:AV49">AU49</f>
        <v>0</v>
      </c>
      <c r="AW49" s="977" cm="1" t="str">
        <f t="array" ref="AW49:AW49">AU49</f>
        <v>0</v>
      </c>
      <c r="AX49" s="977"/>
      <c r="AY49" s="977" cm="1" t="str">
        <f t="array" ref="AY49:AY49">AX49</f>
        <v>0</v>
      </c>
      <c r="AZ49" s="977"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7"/>
      <c r="BQ49" s="977" cm="1" t="str">
        <f t="array" ref="BQ49:BQ49">BP49</f>
        <v>0</v>
      </c>
      <c r="BR49" s="977" cm="1" t="str">
        <f t="array" ref="BR49:BR49">BP49</f>
        <v>0</v>
      </c>
      <c r="BS49" s="977"/>
      <c r="BT49" s="977" cm="1" t="str">
        <f t="array" ref="BT49:BT49">BS49</f>
        <v>0</v>
      </c>
      <c r="BU49" s="977" cm="1" t="str">
        <f t="array" ref="BU49:BU49">BS49</f>
        <v>0</v>
      </c>
      <c r="BV49" s="977"/>
      <c r="BW49" s="977" cm="1" t="str">
        <f t="array" ref="BW49:BW49">BV49</f>
        <v>0</v>
      </c>
      <c r="BX49" s="977" cm="1" t="str">
        <f t="array" ref="BX49:BX49">BV49</f>
        <v>0</v>
      </c>
      <c r="BY49" s="977"/>
      <c r="BZ49" s="977" cm="1" t="str">
        <f t="array" ref="BZ49:BZ49">BY49</f>
        <v>0</v>
      </c>
      <c r="CA49" s="977" cm="1" t="str">
        <f t="array" ref="CA49:CA49">BY49</f>
        <v>0</v>
      </c>
      <c r="CB49" s="977"/>
      <c r="CC49" s="977" cm="1" t="str">
        <f t="array" ref="CC49:CC49">CB49</f>
        <v>0</v>
      </c>
      <c r="CD49" s="977"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0" t="s">
        <v>774</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775</v>
      </c>
      <c r="AD50" s="157">
        <v>15</v>
      </c>
      <c r="AE50" s="1495" t="s">
        <v>776</v>
      </c>
      <c r="AF50" s="165"/>
      <c r="AG50" s="157" t="s">
        <v>769</v>
      </c>
      <c r="AH50" s="86"/>
      <c r="AI50" s="86"/>
      <c r="AJ50" s="86"/>
      <c r="AK50" s="86"/>
      <c r="AL50" s="857">
        <f>AM50+AN50</f>
        <v>0</v>
      </c>
      <c r="AM50" s="86">
        <f>AM49*AM48/1000</f>
        <v>0</v>
      </c>
      <c r="AN50" s="86">
        <f>AN49*AN48/1000</f>
        <v>0</v>
      </c>
      <c r="AO50" s="857">
        <f>AP50+AQ50</f>
        <v>0</v>
      </c>
      <c r="AP50" s="977">
        <f>AP49*AP48/1000</f>
        <v>0</v>
      </c>
      <c r="AQ50" s="977">
        <f>AQ49*AQ48/1000</f>
        <v>0</v>
      </c>
      <c r="AR50" s="857">
        <f>AS50+AT50</f>
        <v>0</v>
      </c>
      <c r="AS50" s="977">
        <f>AS49*AS48/1000</f>
        <v>0</v>
      </c>
      <c r="AT50" s="977">
        <f>AT49*AT48/1000</f>
        <v>0</v>
      </c>
      <c r="AU50" s="857">
        <f>AV50+AW50</f>
        <v>0</v>
      </c>
      <c r="AV50" s="977">
        <f>AV49*AV48/1000</f>
        <v>0</v>
      </c>
      <c r="AW50" s="977">
        <f>AW49*AW48/1000</f>
        <v>0</v>
      </c>
      <c r="AX50" s="857">
        <f>AY50+AZ50</f>
        <v>0</v>
      </c>
      <c r="AY50" s="977">
        <f>AY49*AY48/1000</f>
        <v>0</v>
      </c>
      <c r="AZ50" s="977">
        <f>AZ49*AZ48/1000</f>
        <v>0</v>
      </c>
      <c r="BA50" s="857">
        <f>BB50+BC50</f>
        <v>0</v>
      </c>
      <c r="BB50" s="86">
        <f>BB49*BB48/1000</f>
        <v>0</v>
      </c>
      <c r="BC50" s="86">
        <f>BC49*BC48/1000</f>
        <v>0</v>
      </c>
      <c r="BD50" s="857">
        <f>BE50+BF50</f>
        <v>0</v>
      </c>
      <c r="BE50" s="86">
        <f>BE49*BE48/1000</f>
        <v>0</v>
      </c>
      <c r="BF50" s="86">
        <f>BF49*BF48/1000</f>
        <v>0</v>
      </c>
      <c r="BG50" s="857">
        <f>BH50+BI50</f>
        <v>0</v>
      </c>
      <c r="BH50" s="86">
        <f>BH49*BH48/1000</f>
        <v>0</v>
      </c>
      <c r="BI50" s="86">
        <f>BI49*BI48/1000</f>
        <v>0</v>
      </c>
      <c r="BJ50" s="857">
        <f>BK50+BL50</f>
        <v>0</v>
      </c>
      <c r="BK50" s="86">
        <f>BK49*BK48/1000</f>
        <v>0</v>
      </c>
      <c r="BL50" s="86">
        <f>BL49*BL48/1000</f>
        <v>0</v>
      </c>
      <c r="BM50" s="857">
        <f>BN50+BO50</f>
        <v>0</v>
      </c>
      <c r="BN50" s="86">
        <f>BN49*BN48/1000</f>
        <v>0</v>
      </c>
      <c r="BO50" s="86">
        <f>BO49*BO48/1000</f>
        <v>0</v>
      </c>
      <c r="BP50" s="857">
        <f>BQ50+BR50</f>
        <v>0</v>
      </c>
      <c r="BQ50" s="977">
        <f>BQ49*BQ48/1000</f>
        <v>0</v>
      </c>
      <c r="BR50" s="977">
        <f>BR49*BR48/1000</f>
        <v>0</v>
      </c>
      <c r="BS50" s="857">
        <f>BT50+BU50</f>
        <v>0</v>
      </c>
      <c r="BT50" s="977">
        <f>BT49*BT48/1000</f>
        <v>0</v>
      </c>
      <c r="BU50" s="977">
        <f>BU49*BU48/1000</f>
        <v>0</v>
      </c>
      <c r="BV50" s="857">
        <f>BW50+BX50</f>
        <v>0</v>
      </c>
      <c r="BW50" s="977">
        <f>BW49*BW48/1000</f>
        <v>0</v>
      </c>
      <c r="BX50" s="977">
        <f>BX49*BX48/1000</f>
        <v>0</v>
      </c>
      <c r="BY50" s="857">
        <f>BZ50+CA50</f>
        <v>0</v>
      </c>
      <c r="BZ50" s="977">
        <f>BZ49*BZ48/1000</f>
        <v>0</v>
      </c>
      <c r="CA50" s="977">
        <f>CA49*CA48/1000</f>
        <v>0</v>
      </c>
      <c r="CB50" s="857">
        <f>CC50+CD50</f>
        <v>0</v>
      </c>
      <c r="CC50" s="977">
        <f>CC49*CC48/1000</f>
        <v>0</v>
      </c>
      <c r="CD50" s="977">
        <f>CD49*CD48/1000</f>
        <v>0</v>
      </c>
      <c r="CE50" s="857">
        <f>CF50+CG50</f>
        <v>0</v>
      </c>
      <c r="CF50" s="86">
        <f>CF49*CF48/1000</f>
        <v>0</v>
      </c>
      <c r="CG50" s="86">
        <f>CG49*CG48/1000</f>
        <v>0</v>
      </c>
      <c r="CH50" s="857">
        <f>CI50+CJ50</f>
        <v>0</v>
      </c>
      <c r="CI50" s="86">
        <f>CI49*CI48/1000</f>
        <v>0</v>
      </c>
      <c r="CJ50" s="86">
        <f>CJ49*CJ48/1000</f>
        <v>0</v>
      </c>
      <c r="CK50" s="857">
        <f>CL50+CM50</f>
        <v>0</v>
      </c>
      <c r="CL50" s="86">
        <f>CL49*CL48/1000</f>
        <v>0</v>
      </c>
      <c r="CM50" s="86">
        <f>CM49*CM48/1000</f>
        <v>0</v>
      </c>
      <c r="CN50" s="857">
        <f>CO50+CP50</f>
        <v>0</v>
      </c>
      <c r="CO50" s="86">
        <f>CO49*CO48/1000</f>
        <v>0</v>
      </c>
      <c r="CP50" s="86">
        <f>CP49*CP48/1000</f>
        <v>0</v>
      </c>
      <c r="CQ50" s="857">
        <f>CR50+CS50</f>
        <v>0</v>
      </c>
      <c r="CR50" s="86">
        <f>CR49*CR48/1000</f>
        <v>0</v>
      </c>
      <c r="CS50" s="86">
        <f>CS49*CS48/1000</f>
        <v>0</v>
      </c>
      <c r="CT50" s="73"/>
      <c r="CW50" s="1170" t="s">
        <v>777</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778</v>
      </c>
      <c r="AF51" s="165"/>
      <c r="AG51" s="157" t="s">
        <v>769</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3"/>
      <c r="CW51" s="1170" t="s">
        <v>779</v>
      </c>
    </row>
    <row customHeight="1" ht="16.672500000000003" hidden="1">
      <c r="E52" s="794">
        <v>17.1</v>
      </c>
      <c r="F52" s="919" cm="1" t="str">
        <f t="array" ref="F52:F52">OFFSET(G52,-1,-1)</f>
        <v>0</v>
      </c>
      <c r="L52" s="919" cm="1" t="str">
        <f t="array" ref="L52:L52">OFFSET(M52,-1,-1)</f>
        <v>false</v>
      </c>
      <c r="R52" s="919" t="s">
        <v>725</v>
      </c>
      <c r="S52" s="156" cm="1" t="str">
        <f t="array" ref="S52:S52">OFFSET(T52,-1,-1)</f>
        <v>false</v>
      </c>
      <c r="T52" s="156" cm="1" t="str">
        <f t="array" ref="T52:T52">L52</f>
        <v>false</v>
      </c>
      <c r="U52" s="816">
        <f>AND(S52,IF(ISBLANK(T52),TRUE,T52))</f>
        <v>0</v>
      </c>
      <c r="AB52" s="1486"/>
      <c r="AD52" s="157">
        <v>17</v>
      </c>
      <c r="AE52" s="1495" t="s">
        <v>780</v>
      </c>
      <c r="AF52" s="165"/>
      <c r="AG52" s="157" t="s">
        <v>490</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3"/>
      <c r="CW52" s="1170" t="s">
        <v>781</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782</v>
      </c>
      <c r="AF53" s="165"/>
      <c r="AG53" s="157" t="s">
        <v>769</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3"/>
      <c r="CW53" s="1170" t="s">
        <v>783</v>
      </c>
    </row>
    <row customHeight="1" ht="16.672500000000003" hidden="1">
      <c r="E54" s="794">
        <v>17.1</v>
      </c>
      <c r="F54" s="919" cm="1" t="str">
        <f t="array" ref="F54:F54">OFFSET(G54,-1,-1)</f>
        <v>0</v>
      </c>
      <c r="L54" s="919" cm="1" t="str">
        <f t="array" ref="L54:L54">OFFSET(M54,-1,-1)</f>
        <v>false</v>
      </c>
      <c r="R54" s="919" t="s">
        <v>725</v>
      </c>
      <c r="S54" s="156" cm="1" t="str">
        <f t="array" ref="S54:S54">OFFSET(T54,-1,-1)</f>
        <v>false</v>
      </c>
      <c r="T54" s="156" cm="1" t="str">
        <f t="array" ref="T54:T54">L54</f>
        <v>false</v>
      </c>
      <c r="U54" s="816">
        <f>AND(S54,IF(ISBLANK(T54),TRUE,T54))</f>
        <v>0</v>
      </c>
      <c r="AB54" s="1486"/>
      <c r="AD54" s="157" t="s">
        <v>784</v>
      </c>
      <c r="AE54" s="1495" t="s">
        <v>736</v>
      </c>
      <c r="AF54" s="165"/>
      <c r="AG54" s="157" t="s">
        <v>769</v>
      </c>
      <c r="AH54" s="86">
        <f>AH$52*AH53</f>
        <v>0</v>
      </c>
      <c r="AI54" s="87">
        <f>AI$52*AI53</f>
        <v>0</v>
      </c>
      <c r="AJ54" s="87">
        <f>AJ$52*AJ53</f>
        <v>0</v>
      </c>
      <c r="AK54" s="87">
        <f>AK$52*AK53</f>
        <v>0</v>
      </c>
      <c r="AL54" s="857">
        <f>AM54+AN54</f>
        <v>0</v>
      </c>
      <c r="AM54" s="87">
        <f>AM$52*AM53</f>
        <v>0</v>
      </c>
      <c r="AN54" s="87">
        <f>AN$52*AN53</f>
        <v>0</v>
      </c>
      <c r="AO54" s="857">
        <f>AP54+AQ54</f>
        <v>0</v>
      </c>
      <c r="AP54" s="976">
        <f>AP$52*AP53</f>
        <v>0</v>
      </c>
      <c r="AQ54" s="976">
        <f>AQ$52*AQ53</f>
        <v>0</v>
      </c>
      <c r="AR54" s="857">
        <f>AS54+AT54</f>
        <v>0</v>
      </c>
      <c r="AS54" s="976">
        <f>AS$52*AS53</f>
        <v>0</v>
      </c>
      <c r="AT54" s="976">
        <f>AT$52*AT53</f>
        <v>0</v>
      </c>
      <c r="AU54" s="857">
        <f>AV54+AW54</f>
        <v>0</v>
      </c>
      <c r="AV54" s="976">
        <f>AV$52*AV53</f>
        <v>0</v>
      </c>
      <c r="AW54" s="976">
        <f>AW$52*AW53</f>
        <v>0</v>
      </c>
      <c r="AX54" s="857">
        <f>AY54+AZ54</f>
        <v>0</v>
      </c>
      <c r="AY54" s="976">
        <f>AY$52*AY53</f>
        <v>0</v>
      </c>
      <c r="AZ54" s="976">
        <f>AZ$52*AZ53</f>
        <v>0</v>
      </c>
      <c r="BA54" s="857">
        <f>BB54+BC54</f>
        <v>0</v>
      </c>
      <c r="BB54" s="87">
        <f>BB$52*BB53</f>
        <v>0</v>
      </c>
      <c r="BC54" s="87">
        <f>BC$52*BC53</f>
        <v>0</v>
      </c>
      <c r="BD54" s="857">
        <f>BE54+BF54</f>
        <v>0</v>
      </c>
      <c r="BE54" s="87">
        <f>BE$52*BE53</f>
        <v>0</v>
      </c>
      <c r="BF54" s="87">
        <f>BF$52*BF53</f>
        <v>0</v>
      </c>
      <c r="BG54" s="857">
        <f>BH54+BI54</f>
        <v>0</v>
      </c>
      <c r="BH54" s="87">
        <f>BH$52*BH53</f>
        <v>0</v>
      </c>
      <c r="BI54" s="87">
        <f>BI$52*BI53</f>
        <v>0</v>
      </c>
      <c r="BJ54" s="857">
        <f>BK54+BL54</f>
        <v>0</v>
      </c>
      <c r="BK54" s="87">
        <f>BK$52*BK53</f>
        <v>0</v>
      </c>
      <c r="BL54" s="87">
        <f>BL$52*BL53</f>
        <v>0</v>
      </c>
      <c r="BM54" s="857">
        <f>BN54+BO54</f>
        <v>0</v>
      </c>
      <c r="BN54" s="87">
        <f>BN$52*BN53</f>
        <v>0</v>
      </c>
      <c r="BO54" s="87">
        <f>BO$52*BO53</f>
        <v>0</v>
      </c>
      <c r="BP54" s="857">
        <f>BQ54+BR54</f>
        <v>0</v>
      </c>
      <c r="BQ54" s="976">
        <f>BQ$52*BQ53</f>
        <v>0</v>
      </c>
      <c r="BR54" s="976">
        <f>BR$52*BR53</f>
        <v>0</v>
      </c>
      <c r="BS54" s="857">
        <f>BT54+BU54</f>
        <v>0</v>
      </c>
      <c r="BT54" s="976">
        <f>BT$52*BT53</f>
        <v>0</v>
      </c>
      <c r="BU54" s="976">
        <f>BU$52*BU53</f>
        <v>0</v>
      </c>
      <c r="BV54" s="857">
        <f>BW54+BX54</f>
        <v>0</v>
      </c>
      <c r="BW54" s="976">
        <f>BW$52*BW53</f>
        <v>0</v>
      </c>
      <c r="BX54" s="976">
        <f>BX$52*BX53</f>
        <v>0</v>
      </c>
      <c r="BY54" s="857">
        <f>BZ54+CA54</f>
        <v>0</v>
      </c>
      <c r="BZ54" s="976">
        <f>BZ$52*BZ53</f>
        <v>0</v>
      </c>
      <c r="CA54" s="976">
        <f>CA$52*CA53</f>
        <v>0</v>
      </c>
      <c r="CB54" s="857">
        <f>CC54+CD54</f>
        <v>0</v>
      </c>
      <c r="CC54" s="976">
        <f>CC$52*CC53</f>
        <v>0</v>
      </c>
      <c r="CD54" s="976">
        <f>CD$52*CD53</f>
        <v>0</v>
      </c>
      <c r="CE54" s="857">
        <f>CF54+CG54</f>
        <v>0</v>
      </c>
      <c r="CF54" s="87">
        <f>CF$52*CF53</f>
        <v>0</v>
      </c>
      <c r="CG54" s="87">
        <f>CG$52*CG53</f>
        <v>0</v>
      </c>
      <c r="CH54" s="857">
        <f>CI54+CJ54</f>
        <v>0</v>
      </c>
      <c r="CI54" s="87">
        <f>CI$52*CI53</f>
        <v>0</v>
      </c>
      <c r="CJ54" s="87">
        <f>CJ$52*CJ53</f>
        <v>0</v>
      </c>
      <c r="CK54" s="857">
        <f>CL54+CM54</f>
        <v>0</v>
      </c>
      <c r="CL54" s="87">
        <f>CL$52*CL53</f>
        <v>0</v>
      </c>
      <c r="CM54" s="87">
        <f>CM$52*CM53</f>
        <v>0</v>
      </c>
      <c r="CN54" s="857">
        <f>CO54+CP54</f>
        <v>0</v>
      </c>
      <c r="CO54" s="87">
        <f>CO$52*CO53</f>
        <v>0</v>
      </c>
      <c r="CP54" s="87">
        <f>CP$52*CP53</f>
        <v>0</v>
      </c>
      <c r="CQ54" s="857">
        <f>CR54+CS54</f>
        <v>0</v>
      </c>
      <c r="CR54" s="87">
        <f>CR$52*CR53</f>
        <v>0</v>
      </c>
      <c r="CS54" s="87">
        <f>CS$52*CS53</f>
        <v>0</v>
      </c>
      <c r="CT54" s="73"/>
      <c r="CW54" s="1170" t="s">
        <v>785</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233</v>
      </c>
      <c r="AB55" s="1486"/>
      <c r="AC55" s="914" t="s">
        <v>217</v>
      </c>
      <c r="AD55" s="157" t="s">
        <v>784</v>
      </c>
      <c r="AE55" s="88"/>
      <c r="AF55" s="89"/>
      <c r="AG55" s="157" t="s">
        <v>769</v>
      </c>
      <c r="AH55" s="86">
        <f>AH$51*AH58</f>
        <v>0</v>
      </c>
      <c r="AI55" s="86">
        <f>AI64*AI61</f>
        <v>0</v>
      </c>
      <c r="AJ55" s="86">
        <f>AJ64*AJ61</f>
        <v>0</v>
      </c>
      <c r="AK55" s="86">
        <f>AK$51*AK58</f>
        <v>0</v>
      </c>
      <c r="AL55" s="857">
        <f>AM55+AN55</f>
        <v>0</v>
      </c>
      <c r="AM55" s="86">
        <f>AM$51*AM58</f>
        <v>0</v>
      </c>
      <c r="AN55" s="86">
        <f>AN$51*AN58</f>
        <v>0</v>
      </c>
      <c r="AO55" s="857">
        <f>AP55+AQ55</f>
        <v>0</v>
      </c>
      <c r="AP55" s="977">
        <f>AP$51*AP58</f>
        <v>0</v>
      </c>
      <c r="AQ55" s="977">
        <f>AQ$51*AQ58</f>
        <v>0</v>
      </c>
      <c r="AR55" s="857">
        <f>AS55+AT55</f>
        <v>0</v>
      </c>
      <c r="AS55" s="977">
        <f>AS$51*AS58</f>
        <v>0</v>
      </c>
      <c r="AT55" s="977">
        <f>AT$51*AT58</f>
        <v>0</v>
      </c>
      <c r="AU55" s="857">
        <f>AV55+AW55</f>
        <v>0</v>
      </c>
      <c r="AV55" s="977">
        <f>AV$51*AV58</f>
        <v>0</v>
      </c>
      <c r="AW55" s="977">
        <f>AW$51*AW58</f>
        <v>0</v>
      </c>
      <c r="AX55" s="857">
        <f>AY55+AZ55</f>
        <v>0</v>
      </c>
      <c r="AY55" s="977">
        <f>AY$51*AY58</f>
        <v>0</v>
      </c>
      <c r="AZ55" s="977">
        <f>AZ$51*AZ58</f>
        <v>0</v>
      </c>
      <c r="BA55" s="857">
        <f>BB55+BC55</f>
        <v>0</v>
      </c>
      <c r="BB55" s="86">
        <f>BB$51*BB58</f>
        <v>0</v>
      </c>
      <c r="BC55" s="86">
        <f>BC$51*BC58</f>
        <v>0</v>
      </c>
      <c r="BD55" s="857">
        <f>BE55+BF55</f>
        <v>0</v>
      </c>
      <c r="BE55" s="86">
        <f>BE$51*BE58</f>
        <v>0</v>
      </c>
      <c r="BF55" s="86">
        <f>BF$51*BF58</f>
        <v>0</v>
      </c>
      <c r="BG55" s="857">
        <f>BH55+BI55</f>
        <v>0</v>
      </c>
      <c r="BH55" s="86">
        <f>BH$51*BH58</f>
        <v>0</v>
      </c>
      <c r="BI55" s="86">
        <f>BI$51*BI58</f>
        <v>0</v>
      </c>
      <c r="BJ55" s="857">
        <f>BK55+BL55</f>
        <v>0</v>
      </c>
      <c r="BK55" s="86">
        <f>BK$51*BK58</f>
        <v>0</v>
      </c>
      <c r="BL55" s="86">
        <f>BL$51*BL58</f>
        <v>0</v>
      </c>
      <c r="BM55" s="857">
        <f>BN55+BO55</f>
        <v>0</v>
      </c>
      <c r="BN55" s="86">
        <f>BN$51*BN58</f>
        <v>0</v>
      </c>
      <c r="BO55" s="86">
        <f>BO$51*BO58</f>
        <v>0</v>
      </c>
      <c r="BP55" s="857">
        <f>BQ55+BR55</f>
        <v>0</v>
      </c>
      <c r="BQ55" s="977">
        <f>BQ$51*BQ58</f>
        <v>0</v>
      </c>
      <c r="BR55" s="977">
        <f>BR$51*BR58</f>
        <v>0</v>
      </c>
      <c r="BS55" s="857">
        <f>BT55+BU55</f>
        <v>0</v>
      </c>
      <c r="BT55" s="977">
        <f>BT$51*BT58</f>
        <v>0</v>
      </c>
      <c r="BU55" s="977">
        <f>BU$51*BU58</f>
        <v>0</v>
      </c>
      <c r="BV55" s="857">
        <f>BW55+BX55</f>
        <v>0</v>
      </c>
      <c r="BW55" s="977">
        <f>BW$51*BW58</f>
        <v>0</v>
      </c>
      <c r="BX55" s="977">
        <f>BX$51*BX58</f>
        <v>0</v>
      </c>
      <c r="BY55" s="857">
        <f>BZ55+CA55</f>
        <v>0</v>
      </c>
      <c r="BZ55" s="977">
        <f>BZ$51*BZ58</f>
        <v>0</v>
      </c>
      <c r="CA55" s="977">
        <f>CA$51*CA58</f>
        <v>0</v>
      </c>
      <c r="CB55" s="857">
        <f>CC55+CD55</f>
        <v>0</v>
      </c>
      <c r="CC55" s="977">
        <f>CC$51*CC58</f>
        <v>0</v>
      </c>
      <c r="CD55" s="977">
        <f>CD$51*CD58</f>
        <v>0</v>
      </c>
      <c r="CE55" s="857">
        <f>CF55+CG55</f>
        <v>0</v>
      </c>
      <c r="CF55" s="86">
        <f>CF$51*CF58</f>
        <v>0</v>
      </c>
      <c r="CG55" s="86">
        <f>CG$51*CG58</f>
        <v>0</v>
      </c>
      <c r="CH55" s="857">
        <f>CI55+CJ55</f>
        <v>0</v>
      </c>
      <c r="CI55" s="86">
        <f>CI$51*CI58</f>
        <v>0</v>
      </c>
      <c r="CJ55" s="86">
        <f>CJ$51*CJ58</f>
        <v>0</v>
      </c>
      <c r="CK55" s="857">
        <f>CL55+CM55</f>
        <v>0</v>
      </c>
      <c r="CL55" s="86">
        <f>CL$51*CL58</f>
        <v>0</v>
      </c>
      <c r="CM55" s="86">
        <f>CM$51*CM58</f>
        <v>0</v>
      </c>
      <c r="CN55" s="857">
        <f>CO55+CP55</f>
        <v>0</v>
      </c>
      <c r="CO55" s="86">
        <f>CO$51*CO58</f>
        <v>0</v>
      </c>
      <c r="CP55" s="86">
        <f>CP$51*CP58</f>
        <v>0</v>
      </c>
      <c r="CQ55" s="857">
        <f>CR55+CS55</f>
        <v>0</v>
      </c>
      <c r="CR55" s="86">
        <f>CR$51*CR58</f>
        <v>0</v>
      </c>
      <c r="CS55" s="86">
        <f>CS$51*CS58</f>
        <v>0</v>
      </c>
      <c r="CT55" s="73"/>
      <c r="CW55" s="1170" t="s">
        <v>786</v>
      </c>
      <c r="CX55" s="1175" t="s">
        <v>787</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235</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787</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788</v>
      </c>
      <c r="AF57" s="1522"/>
      <c r="AG57" s="640" t="s">
        <v>490</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80"/>
      <c r="CW57" s="1170" t="s">
        <v>789</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233</v>
      </c>
      <c r="AB58" s="1486"/>
      <c r="AD58" s="157" t="s">
        <v>790</v>
      </c>
      <c r="AE58" s="971"/>
      <c r="AF58" s="622"/>
      <c r="AG58" s="157" t="s">
        <v>490</v>
      </c>
      <c r="AH58" s="90"/>
      <c r="AI58" s="90">
        <f>_xlfn.IFERROR(AI55/AI$53,0)</f>
        <v>0</v>
      </c>
      <c r="AJ58" s="90">
        <f>_xlfn.IFERROR(AJ55/AJ$53,0)</f>
        <v>0</v>
      </c>
      <c r="AK58" s="90"/>
      <c r="AL58" s="863">
        <f>_xlfn.IFERROR(AL55/AL$51,0)</f>
        <v>0</v>
      </c>
      <c r="AM58" s="90"/>
      <c r="AN58" s="90"/>
      <c r="AO58" s="863">
        <f>_xlfn.IFERROR(AO55/AO$51,0)</f>
        <v>0</v>
      </c>
      <c r="AP58" s="978"/>
      <c r="AQ58" s="978"/>
      <c r="AR58" s="863">
        <f>_xlfn.IFERROR(AR55/AR$51,0)</f>
        <v>0</v>
      </c>
      <c r="AS58" s="978"/>
      <c r="AT58" s="978"/>
      <c r="AU58" s="863">
        <f>_xlfn.IFERROR(AU55/AU$51,0)</f>
        <v>0</v>
      </c>
      <c r="AV58" s="978"/>
      <c r="AW58" s="978"/>
      <c r="AX58" s="863">
        <f>_xlfn.IFERROR(AX55/AX$51,0)</f>
        <v>0</v>
      </c>
      <c r="AY58" s="978"/>
      <c r="AZ58" s="978"/>
      <c r="BA58" s="863">
        <f>_xlfn.IFERROR(BA55/BA$51,0)</f>
        <v>0</v>
      </c>
      <c r="BB58" s="90"/>
      <c r="BC58" s="90"/>
      <c r="BD58" s="863">
        <f>_xlfn.IFERROR(BD55/BD$51,0)</f>
        <v>0</v>
      </c>
      <c r="BE58" s="90"/>
      <c r="BF58" s="90"/>
      <c r="BG58" s="863">
        <f>_xlfn.IFERROR(BG55/BG$51,0)</f>
        <v>0</v>
      </c>
      <c r="BH58" s="90"/>
      <c r="BI58" s="90"/>
      <c r="BJ58" s="863">
        <f>_xlfn.IFERROR(BJ55/BJ$51,0)</f>
        <v>0</v>
      </c>
      <c r="BK58" s="90"/>
      <c r="BL58" s="90"/>
      <c r="BM58" s="863">
        <f>_xlfn.IFERROR(BM55/BM$51,0)</f>
        <v>0</v>
      </c>
      <c r="BN58" s="90"/>
      <c r="BO58" s="90"/>
      <c r="BP58" s="863">
        <f>_xlfn.IFERROR(BP55/BP$51,0)</f>
        <v>0</v>
      </c>
      <c r="BQ58" s="978"/>
      <c r="BR58" s="978"/>
      <c r="BS58" s="863">
        <f>_xlfn.IFERROR(BS55/BS$51,0)</f>
        <v>0</v>
      </c>
      <c r="BT58" s="978"/>
      <c r="BU58" s="978"/>
      <c r="BV58" s="863">
        <f>_xlfn.IFERROR(BV55/BV$51,0)</f>
        <v>0</v>
      </c>
      <c r="BW58" s="978"/>
      <c r="BX58" s="978"/>
      <c r="BY58" s="863">
        <f>_xlfn.IFERROR(BY55/BY$51,0)</f>
        <v>0</v>
      </c>
      <c r="BZ58" s="978"/>
      <c r="CA58" s="978"/>
      <c r="CB58" s="863">
        <f>_xlfn.IFERROR(CB55/CB$51,0)</f>
        <v>0</v>
      </c>
      <c r="CC58" s="978"/>
      <c r="CD58" s="978"/>
      <c r="CE58" s="863">
        <f>_xlfn.IFERROR(CE55/CE$51,0)</f>
        <v>0</v>
      </c>
      <c r="CF58" s="90"/>
      <c r="CG58" s="90"/>
      <c r="CH58" s="863">
        <f>_xlfn.IFERROR(CH55/CH$51,0)</f>
        <v>0</v>
      </c>
      <c r="CI58" s="90"/>
      <c r="CJ58" s="90"/>
      <c r="CK58" s="863">
        <f>_xlfn.IFERROR(CK55/CK$51,0)</f>
        <v>0</v>
      </c>
      <c r="CL58" s="90"/>
      <c r="CM58" s="90"/>
      <c r="CN58" s="863">
        <f>_xlfn.IFERROR(CN55/CN$51,0)</f>
        <v>0</v>
      </c>
      <c r="CO58" s="90"/>
      <c r="CP58" s="90"/>
      <c r="CQ58" s="863">
        <f>_xlfn.IFERROR(CQ55/CQ$51,0)</f>
        <v>0</v>
      </c>
      <c r="CR58" s="90"/>
      <c r="CS58" s="90"/>
      <c r="CT58" s="73"/>
      <c r="CW58" s="1170" t="s">
        <v>789</v>
      </c>
      <c r="CX58" s="1175" t="s">
        <v>787</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235</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1"/>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791</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3"/>
      <c r="CW60" s="1170" t="s">
        <v>792</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233</v>
      </c>
      <c r="AB61" s="1486"/>
      <c r="AD61" s="157" t="s">
        <v>793</v>
      </c>
      <c r="AE61" s="971"/>
      <c r="AF61" s="622"/>
      <c r="AG61" s="738"/>
      <c r="AH61" s="86"/>
      <c r="AI61" s="87"/>
      <c r="AJ61" s="87"/>
      <c r="AK61" s="87"/>
      <c r="AL61" s="859">
        <f>_xlfn.IFERROR(AL55/AL64,0)</f>
        <v>0</v>
      </c>
      <c r="AM61" s="87"/>
      <c r="AN61" s="87" cm="1" t="str">
        <f t="array" ref="AN61:AN61">AM61</f>
        <v>0</v>
      </c>
      <c r="AO61" s="859">
        <f>_xlfn.IFERROR(AO55/AO64,0)</f>
        <v>0</v>
      </c>
      <c r="AP61" s="976"/>
      <c r="AQ61" s="976" cm="1" t="str">
        <f t="array" ref="AQ61:AQ61">AP61</f>
        <v>0</v>
      </c>
      <c r="AR61" s="859">
        <f>_xlfn.IFERROR(AR55/AR64,0)</f>
        <v>0</v>
      </c>
      <c r="AS61" s="976"/>
      <c r="AT61" s="976" cm="1" t="str">
        <f t="array" ref="AT61:AT61">AS61</f>
        <v>0</v>
      </c>
      <c r="AU61" s="859">
        <f>_xlfn.IFERROR(AU55/AU64,0)</f>
        <v>0</v>
      </c>
      <c r="AV61" s="976"/>
      <c r="AW61" s="976" cm="1" t="str">
        <f t="array" ref="AW61:AW61">AV61</f>
        <v>0</v>
      </c>
      <c r="AX61" s="859">
        <f>_xlfn.IFERROR(AX55/AX64,0)</f>
        <v>0</v>
      </c>
      <c r="AY61" s="976"/>
      <c r="AZ61" s="976" cm="1" t="str">
        <f t="array" ref="AZ61:AZ61">AY61</f>
        <v>0</v>
      </c>
      <c r="BA61" s="859">
        <f>_xlfn.IFERROR(BA55/BA64,0)</f>
        <v>0</v>
      </c>
      <c r="BB61" s="87"/>
      <c r="BC61" s="87" cm="1" t="str">
        <f t="array" ref="BC61:BC61">BB61</f>
        <v>0</v>
      </c>
      <c r="BD61" s="859">
        <f>_xlfn.IFERROR(BD55/BD64,0)</f>
        <v>0</v>
      </c>
      <c r="BE61" s="87"/>
      <c r="BF61" s="87" cm="1" t="str">
        <f t="array" ref="BF61:BF61">BE61</f>
        <v>0</v>
      </c>
      <c r="BG61" s="859">
        <f>_xlfn.IFERROR(BG55/BG64,0)</f>
        <v>0</v>
      </c>
      <c r="BH61" s="87"/>
      <c r="BI61" s="87" cm="1" t="str">
        <f t="array" ref="BI61:BI61">BH61</f>
        <v>0</v>
      </c>
      <c r="BJ61" s="859">
        <f>_xlfn.IFERROR(BJ55/BJ64,0)</f>
        <v>0</v>
      </c>
      <c r="BK61" s="87"/>
      <c r="BL61" s="87" cm="1" t="str">
        <f t="array" ref="BL61:BL61">BK61</f>
        <v>0</v>
      </c>
      <c r="BM61" s="859">
        <f>_xlfn.IFERROR(BM55/BM64,0)</f>
        <v>0</v>
      </c>
      <c r="BN61" s="87"/>
      <c r="BO61" s="87" cm="1" t="str">
        <f t="array" ref="BO61:BO61">BN61</f>
        <v>0</v>
      </c>
      <c r="BP61" s="859">
        <f>_xlfn.IFERROR(BP55/BP64,0)</f>
        <v>0</v>
      </c>
      <c r="BQ61" s="976"/>
      <c r="BR61" s="976" cm="1" t="str">
        <f t="array" ref="BR61:BR61">BQ61</f>
        <v>0</v>
      </c>
      <c r="BS61" s="859">
        <f>_xlfn.IFERROR(BS55/BS64,0)</f>
        <v>0</v>
      </c>
      <c r="BT61" s="976"/>
      <c r="BU61" s="976" cm="1" t="str">
        <f t="array" ref="BU61:BU61">BT61</f>
        <v>0</v>
      </c>
      <c r="BV61" s="859">
        <f>_xlfn.IFERROR(BV55/BV64,0)</f>
        <v>0</v>
      </c>
      <c r="BW61" s="976"/>
      <c r="BX61" s="976" cm="1" t="str">
        <f t="array" ref="BX61:BX61">BW61</f>
        <v>0</v>
      </c>
      <c r="BY61" s="859">
        <f>_xlfn.IFERROR(BY55/BY64,0)</f>
        <v>0</v>
      </c>
      <c r="BZ61" s="976"/>
      <c r="CA61" s="976" cm="1" t="str">
        <f t="array" ref="CA61:CA61">BZ61</f>
        <v>0</v>
      </c>
      <c r="CB61" s="859">
        <f>_xlfn.IFERROR(CB55/CB64,0)</f>
        <v>0</v>
      </c>
      <c r="CC61" s="976"/>
      <c r="CD61" s="976" cm="1" t="str">
        <f t="array" ref="CD61:CD61">CC61</f>
        <v>0</v>
      </c>
      <c r="CE61" s="859">
        <f>_xlfn.IFERROR(CE55/CE64,0)</f>
        <v>0</v>
      </c>
      <c r="CF61" s="87"/>
      <c r="CG61" s="87" cm="1" t="str">
        <f t="array" ref="CG61:CG61">CF61</f>
        <v>0</v>
      </c>
      <c r="CH61" s="859">
        <f>_xlfn.IFERROR(CH55/CH64,0)</f>
        <v>0</v>
      </c>
      <c r="CI61" s="87"/>
      <c r="CJ61" s="87" cm="1" t="str">
        <f t="array" ref="CJ61:CJ61">CI61</f>
        <v>0</v>
      </c>
      <c r="CK61" s="859">
        <f>_xlfn.IFERROR(CK55/CK64,0)</f>
        <v>0</v>
      </c>
      <c r="CL61" s="87"/>
      <c r="CM61" s="87" cm="1" t="str">
        <f t="array" ref="CM61:CM61">CL61</f>
        <v>0</v>
      </c>
      <c r="CN61" s="859">
        <f>_xlfn.IFERROR(CN55/CN64,0)</f>
        <v>0</v>
      </c>
      <c r="CO61" s="87"/>
      <c r="CP61" s="87" cm="1" t="str">
        <f t="array" ref="CP61:CP61">CO61</f>
        <v>0</v>
      </c>
      <c r="CQ61" s="859">
        <f>_xlfn.IFERROR(CQ55/CQ64,0)</f>
        <v>0</v>
      </c>
      <c r="CR61" s="87"/>
      <c r="CS61" s="87" cm="1" t="str">
        <f t="array" ref="CS61:CS61">CR61</f>
        <v>0</v>
      </c>
      <c r="CT61" s="73"/>
      <c r="CW61" s="1170" t="s">
        <v>792</v>
      </c>
      <c r="CX61" s="1175" t="s">
        <v>787</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235</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1"/>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794</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3"/>
      <c r="CW63" s="1170" t="s">
        <v>795</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233</v>
      </c>
      <c r="AB64" s="1486"/>
      <c r="AD64" s="157" t="s">
        <v>796</v>
      </c>
      <c r="AE64" s="971"/>
      <c r="AF64" s="622"/>
      <c r="AG64" s="1067" t="str">
        <f>_xlfn.IFERROR(INDEX(fuel_ed_izm_list,MATCH(AE64,fuel_list,0)),"тнт")</f>
        <v>тнт</v>
      </c>
      <c r="AH64" s="87">
        <f>_xlfn.IFERROR(AH55/AH61,0)</f>
        <v>0</v>
      </c>
      <c r="AI64" s="87"/>
      <c r="AJ64" s="87"/>
      <c r="AK64" s="87">
        <f>_xlfn.IFERROR(AK55/AK61,0)</f>
        <v>0</v>
      </c>
      <c r="AL64" s="857">
        <f>AM64+AN64</f>
        <v>0</v>
      </c>
      <c r="AM64" s="87">
        <f>_xlfn.IFERROR(AM55/AM61,0)</f>
        <v>0</v>
      </c>
      <c r="AN64" s="87">
        <f>_xlfn.IFERROR(AN55/AN61,0)</f>
        <v>0</v>
      </c>
      <c r="AO64" s="857">
        <f>AP64+AQ64</f>
        <v>0</v>
      </c>
      <c r="AP64" s="976">
        <f>_xlfn.IFERROR(AP55/AP61,0)</f>
        <v>0</v>
      </c>
      <c r="AQ64" s="976">
        <f>_xlfn.IFERROR(AQ55/AQ61,0)</f>
        <v>0</v>
      </c>
      <c r="AR64" s="857">
        <f>AS64+AT64</f>
        <v>0</v>
      </c>
      <c r="AS64" s="976">
        <f>_xlfn.IFERROR(AS55/AS61,0)</f>
        <v>0</v>
      </c>
      <c r="AT64" s="976">
        <f>_xlfn.IFERROR(AT55/AT61,0)</f>
        <v>0</v>
      </c>
      <c r="AU64" s="857">
        <f>AV64+AW64</f>
        <v>0</v>
      </c>
      <c r="AV64" s="976">
        <f>_xlfn.IFERROR(AV55/AV61,0)</f>
        <v>0</v>
      </c>
      <c r="AW64" s="976">
        <f>_xlfn.IFERROR(AW55/AW61,0)</f>
        <v>0</v>
      </c>
      <c r="AX64" s="857">
        <f>AY64+AZ64</f>
        <v>0</v>
      </c>
      <c r="AY64" s="976">
        <f>_xlfn.IFERROR(AY55/AY61,0)</f>
        <v>0</v>
      </c>
      <c r="AZ64" s="976">
        <f>_xlfn.IFERROR(AZ55/AZ61,0)</f>
        <v>0</v>
      </c>
      <c r="BA64" s="857">
        <f>BB64+BC64</f>
        <v>0</v>
      </c>
      <c r="BB64" s="87">
        <f>_xlfn.IFERROR(BB55/BB61,0)</f>
        <v>0</v>
      </c>
      <c r="BC64" s="87">
        <f>_xlfn.IFERROR(BC55/BC61,0)</f>
        <v>0</v>
      </c>
      <c r="BD64" s="857">
        <f>BE64+BF64</f>
        <v>0</v>
      </c>
      <c r="BE64" s="87">
        <f>_xlfn.IFERROR(BE55/BE61,0)</f>
        <v>0</v>
      </c>
      <c r="BF64" s="87">
        <f>_xlfn.IFERROR(BF55/BF61,0)</f>
        <v>0</v>
      </c>
      <c r="BG64" s="857">
        <f>BH64+BI64</f>
        <v>0</v>
      </c>
      <c r="BH64" s="87">
        <f>_xlfn.IFERROR(BH55/BH61,0)</f>
        <v>0</v>
      </c>
      <c r="BI64" s="87">
        <f>_xlfn.IFERROR(BI55/BI61,0)</f>
        <v>0</v>
      </c>
      <c r="BJ64" s="857">
        <f>BK64+BL64</f>
        <v>0</v>
      </c>
      <c r="BK64" s="87">
        <f>_xlfn.IFERROR(BK55/BK61,0)</f>
        <v>0</v>
      </c>
      <c r="BL64" s="87">
        <f>_xlfn.IFERROR(BL55/BL61,0)</f>
        <v>0</v>
      </c>
      <c r="BM64" s="857">
        <f>BN64+BO64</f>
        <v>0</v>
      </c>
      <c r="BN64" s="87">
        <f>_xlfn.IFERROR(BN55/BN61,0)</f>
        <v>0</v>
      </c>
      <c r="BO64" s="87">
        <f>_xlfn.IFERROR(BO55/BO61,0)</f>
        <v>0</v>
      </c>
      <c r="BP64" s="857">
        <f>BQ64+BR64</f>
        <v>0</v>
      </c>
      <c r="BQ64" s="976">
        <f>_xlfn.IFERROR(BQ55/BQ61,0)</f>
        <v>0</v>
      </c>
      <c r="BR64" s="976">
        <f>_xlfn.IFERROR(BR55/BR61,0)</f>
        <v>0</v>
      </c>
      <c r="BS64" s="857">
        <f>BT64+BU64</f>
        <v>0</v>
      </c>
      <c r="BT64" s="976">
        <f>_xlfn.IFERROR(BT55/BT61,0)</f>
        <v>0</v>
      </c>
      <c r="BU64" s="976">
        <f>_xlfn.IFERROR(BU55/BU61,0)</f>
        <v>0</v>
      </c>
      <c r="BV64" s="857">
        <f>BW64+BX64</f>
        <v>0</v>
      </c>
      <c r="BW64" s="976">
        <f>_xlfn.IFERROR(BW55/BW61,0)</f>
        <v>0</v>
      </c>
      <c r="BX64" s="976">
        <f>_xlfn.IFERROR(BX55/BX61,0)</f>
        <v>0</v>
      </c>
      <c r="BY64" s="857">
        <f>BZ64+CA64</f>
        <v>0</v>
      </c>
      <c r="BZ64" s="976">
        <f>_xlfn.IFERROR(BZ55/BZ61,0)</f>
        <v>0</v>
      </c>
      <c r="CA64" s="976">
        <f>_xlfn.IFERROR(CA55/CA61,0)</f>
        <v>0</v>
      </c>
      <c r="CB64" s="857">
        <f>CC64+CD64</f>
        <v>0</v>
      </c>
      <c r="CC64" s="976">
        <f>_xlfn.IFERROR(CC55/CC61,0)</f>
        <v>0</v>
      </c>
      <c r="CD64" s="976">
        <f>_xlfn.IFERROR(CD55/CD61,0)</f>
        <v>0</v>
      </c>
      <c r="CE64" s="857">
        <f>CF64+CG64</f>
        <v>0</v>
      </c>
      <c r="CF64" s="87">
        <f>_xlfn.IFERROR(CF55/CF61,0)</f>
        <v>0</v>
      </c>
      <c r="CG64" s="87">
        <f>_xlfn.IFERROR(CG55/CG61,0)</f>
        <v>0</v>
      </c>
      <c r="CH64" s="857">
        <f>CI64+CJ64</f>
        <v>0</v>
      </c>
      <c r="CI64" s="87">
        <f>_xlfn.IFERROR(CI55/CI61,0)</f>
        <v>0</v>
      </c>
      <c r="CJ64" s="87">
        <f>_xlfn.IFERROR(CJ55/CJ61,0)</f>
        <v>0</v>
      </c>
      <c r="CK64" s="857">
        <f>CL64+CM64</f>
        <v>0</v>
      </c>
      <c r="CL64" s="87">
        <f>_xlfn.IFERROR(CL55/CL61,0)</f>
        <v>0</v>
      </c>
      <c r="CM64" s="87">
        <f>_xlfn.IFERROR(CM55/CM61,0)</f>
        <v>0</v>
      </c>
      <c r="CN64" s="857">
        <f>CO64+CP64</f>
        <v>0</v>
      </c>
      <c r="CO64" s="87">
        <f>_xlfn.IFERROR(CO55/CO61,0)</f>
        <v>0</v>
      </c>
      <c r="CP64" s="87">
        <f>_xlfn.IFERROR(CP55/CP61,0)</f>
        <v>0</v>
      </c>
      <c r="CQ64" s="857">
        <f>CR64+CS64</f>
        <v>0</v>
      </c>
      <c r="CR64" s="87">
        <f>_xlfn.IFERROR(CR55/CR61,0)</f>
        <v>0</v>
      </c>
      <c r="CS64" s="87">
        <f>_xlfn.IFERROR(CS55/CS61,0)</f>
        <v>0</v>
      </c>
      <c r="CT64" s="73"/>
      <c r="CW64" s="1170" t="s">
        <v>795</v>
      </c>
      <c r="CX64" s="1175" t="s">
        <v>787</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235</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1"/>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797</v>
      </c>
      <c r="AD66" s="157">
        <v>22</v>
      </c>
      <c r="AE66" s="1495" t="s">
        <v>798</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3"/>
      <c r="CW66" s="1170" t="s">
        <v>799</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233</v>
      </c>
      <c r="AB67" s="1483"/>
      <c r="AD67" s="157" t="s">
        <v>800</v>
      </c>
      <c r="AE67" s="971"/>
      <c r="AF67" s="622"/>
      <c r="AG67" s="1011" t="s">
        <v>490</v>
      </c>
      <c r="AH67" s="92"/>
      <c r="AI67" s="93"/>
      <c r="AJ67" s="93"/>
      <c r="AK67" s="93"/>
      <c r="AL67" s="1037"/>
      <c r="AM67" s="93"/>
      <c r="AN67" s="93"/>
      <c r="AO67" s="1037"/>
      <c r="AP67" s="1036"/>
      <c r="AQ67" s="1036"/>
      <c r="AR67" s="1037"/>
      <c r="AS67" s="1036"/>
      <c r="AT67" s="1036"/>
      <c r="AU67" s="1037"/>
      <c r="AV67" s="1036"/>
      <c r="AW67" s="1036"/>
      <c r="AX67" s="1037"/>
      <c r="AY67" s="1036"/>
      <c r="AZ67" s="1036"/>
      <c r="BA67" s="1037"/>
      <c r="BB67" s="93"/>
      <c r="BC67" s="93"/>
      <c r="BD67" s="1037"/>
      <c r="BE67" s="93"/>
      <c r="BF67" s="93"/>
      <c r="BG67" s="1037"/>
      <c r="BH67" s="93"/>
      <c r="BI67" s="93"/>
      <c r="BJ67" s="1037"/>
      <c r="BK67" s="93"/>
      <c r="BL67" s="93"/>
      <c r="BM67" s="1037"/>
      <c r="BN67" s="93"/>
      <c r="BO67" s="93"/>
      <c r="BP67" s="1037"/>
      <c r="BQ67" s="1036"/>
      <c r="BR67" s="1036"/>
      <c r="BS67" s="1037"/>
      <c r="BT67" s="1036"/>
      <c r="BU67" s="1036"/>
      <c r="BV67" s="1037"/>
      <c r="BW67" s="1036"/>
      <c r="BX67" s="1036"/>
      <c r="BY67" s="1037"/>
      <c r="BZ67" s="1036"/>
      <c r="CA67" s="1036"/>
      <c r="CB67" s="1037"/>
      <c r="CC67" s="1036"/>
      <c r="CD67" s="1036"/>
      <c r="CE67" s="1037"/>
      <c r="CF67" s="93"/>
      <c r="CG67" s="93"/>
      <c r="CH67" s="1037"/>
      <c r="CI67" s="93"/>
      <c r="CJ67" s="93"/>
      <c r="CK67" s="1037"/>
      <c r="CL67" s="93"/>
      <c r="CM67" s="93"/>
      <c r="CN67" s="1037"/>
      <c r="CO67" s="93"/>
      <c r="CP67" s="93"/>
      <c r="CQ67" s="1037"/>
      <c r="CR67" s="93"/>
      <c r="CS67" s="93"/>
      <c r="CT67" s="73"/>
      <c r="CW67" s="1170" t="s">
        <v>799</v>
      </c>
      <c r="CX67" s="1175" t="s">
        <v>787</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235</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1"/>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801</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3"/>
      <c r="CW69" s="1170" t="s">
        <v>802</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233</v>
      </c>
      <c r="AB70" s="1483"/>
      <c r="AD70" s="157" t="s">
        <v>803</v>
      </c>
      <c r="AE70" s="971"/>
      <c r="AF70" s="622"/>
      <c r="AG70" s="1067" t="str">
        <f>"руб./"&amp;_xlfn.IFERROR(INDEX(fuel_ed_izm_list,MATCH(AE70,fuel_list,0)),"")</f>
        <v>руб./</v>
      </c>
      <c r="AH70" s="86">
        <f>_xlfn.IFERROR(AH74/AH64,0)*1000</f>
        <v>0</v>
      </c>
      <c r="AI70" s="87">
        <f>_xlfn.IFERROR(AI74/AI64,0)*1000</f>
        <v>0</v>
      </c>
      <c r="AJ70" s="87">
        <f>_xlfn.IFERROR(AJ74/AJ64,0)*1000</f>
        <v>0</v>
      </c>
      <c r="AK70" s="87">
        <f>_xlfn.IFERROR(AK74/AK64,0)*1000</f>
        <v>0</v>
      </c>
      <c r="AL70" s="859">
        <f>_xlfn.IFERROR(AL74/AL64,0)*1000</f>
        <v>0</v>
      </c>
      <c r="AM70" s="87"/>
      <c r="AN70" s="87"/>
      <c r="AO70" s="859">
        <f>_xlfn.IFERROR(AO74/AO64,0)*1000</f>
        <v>0</v>
      </c>
      <c r="AP70" s="976"/>
      <c r="AQ70" s="976"/>
      <c r="AR70" s="859">
        <f>_xlfn.IFERROR(AR74/AR64,0)*1000</f>
        <v>0</v>
      </c>
      <c r="AS70" s="976"/>
      <c r="AT70" s="976"/>
      <c r="AU70" s="859">
        <f>_xlfn.IFERROR(AU74/AU64,0)*1000</f>
        <v>0</v>
      </c>
      <c r="AV70" s="976"/>
      <c r="AW70" s="976"/>
      <c r="AX70" s="859">
        <f>_xlfn.IFERROR(AX74/AX64,0)*1000</f>
        <v>0</v>
      </c>
      <c r="AY70" s="976"/>
      <c r="AZ70" s="976"/>
      <c r="BA70" s="859">
        <f>_xlfn.IFERROR(BA74/BA64,0)*1000</f>
        <v>0</v>
      </c>
      <c r="BB70" s="87"/>
      <c r="BC70" s="87"/>
      <c r="BD70" s="859">
        <f>_xlfn.IFERROR(BD74/BD64,0)*1000</f>
        <v>0</v>
      </c>
      <c r="BE70" s="87"/>
      <c r="BF70" s="87"/>
      <c r="BG70" s="859">
        <f>_xlfn.IFERROR(BG74/BG64,0)*1000</f>
        <v>0</v>
      </c>
      <c r="BH70" s="87"/>
      <c r="BI70" s="87"/>
      <c r="BJ70" s="859">
        <f>_xlfn.IFERROR(BJ74/BJ64,0)*1000</f>
        <v>0</v>
      </c>
      <c r="BK70" s="87"/>
      <c r="BL70" s="87"/>
      <c r="BM70" s="859">
        <f>_xlfn.IFERROR(BM74/BM64,0)*1000</f>
        <v>0</v>
      </c>
      <c r="BN70" s="87"/>
      <c r="BO70" s="87"/>
      <c r="BP70" s="859">
        <f>_xlfn.IFERROR(BP74/BP64,0)*1000</f>
        <v>0</v>
      </c>
      <c r="BQ70" s="976"/>
      <c r="BR70" s="976"/>
      <c r="BS70" s="859">
        <f>_xlfn.IFERROR(BS74/BS64,0)*1000</f>
        <v>0</v>
      </c>
      <c r="BT70" s="976"/>
      <c r="BU70" s="976"/>
      <c r="BV70" s="859">
        <f>_xlfn.IFERROR(BV74/BV64,0)*1000</f>
        <v>0</v>
      </c>
      <c r="BW70" s="976"/>
      <c r="BX70" s="976"/>
      <c r="BY70" s="859">
        <f>_xlfn.IFERROR(BY74/BY64,0)*1000</f>
        <v>0</v>
      </c>
      <c r="BZ70" s="976"/>
      <c r="CA70" s="976"/>
      <c r="CB70" s="859">
        <f>_xlfn.IFERROR(CB74/CB64,0)*1000</f>
        <v>0</v>
      </c>
      <c r="CC70" s="976"/>
      <c r="CD70" s="976"/>
      <c r="CE70" s="859">
        <f>_xlfn.IFERROR(CE74/CE64,0)*1000</f>
        <v>0</v>
      </c>
      <c r="CF70" s="87"/>
      <c r="CG70" s="87"/>
      <c r="CH70" s="859">
        <f>_xlfn.IFERROR(CH74/CH64,0)*1000</f>
        <v>0</v>
      </c>
      <c r="CI70" s="87"/>
      <c r="CJ70" s="87"/>
      <c r="CK70" s="859">
        <f>_xlfn.IFERROR(CK74/CK64,0)*1000</f>
        <v>0</v>
      </c>
      <c r="CL70" s="87"/>
      <c r="CM70" s="87"/>
      <c r="CN70" s="859">
        <f>_xlfn.IFERROR(CN74/CN64,0)*1000</f>
        <v>0</v>
      </c>
      <c r="CO70" s="87"/>
      <c r="CP70" s="87"/>
      <c r="CQ70" s="859">
        <f>_xlfn.IFERROR(CQ74/CQ64,0)*1000</f>
        <v>0</v>
      </c>
      <c r="CR70" s="87"/>
      <c r="CS70" s="87"/>
      <c r="CT70" s="73"/>
      <c r="CW70" s="1170" t="s">
        <v>802</v>
      </c>
      <c r="CX70" s="1175" t="s">
        <v>787</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235</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1"/>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804</v>
      </c>
      <c r="AF72" s="165"/>
      <c r="AG72" s="1011" t="s">
        <v>805</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3"/>
      <c r="CW72" s="1170" t="s">
        <v>806</v>
      </c>
    </row>
    <row customHeight="1" ht="16.672500000000003" hidden="1">
      <c r="E73" s="794">
        <v>17.1</v>
      </c>
      <c r="F73" s="919" cm="1" t="str">
        <f t="array" ref="F73:F73">OFFSET(G73,-1,-1)</f>
        <v>0</v>
      </c>
      <c r="L73" s="919" cm="1" t="str">
        <f t="array" ref="L73:L73">OFFSET(M73,-1,-1)</f>
        <v>false</v>
      </c>
      <c r="R73" s="919" t="s">
        <v>725</v>
      </c>
      <c r="S73" s="156" cm="1" t="str">
        <f t="array" ref="S73:S73">OFFSET(T73,-1,-1)</f>
        <v>false</v>
      </c>
      <c r="T73" s="919" t="b">
        <v>0</v>
      </c>
      <c r="U73" s="816">
        <f>AND(S73,IF(ISBLANK(T73),TRUE,T73))</f>
        <v>0</v>
      </c>
      <c r="AB73" s="1483"/>
      <c r="AD73" s="157" t="str">
        <f>AD72&amp;".0"</f>
        <v>24.0</v>
      </c>
      <c r="AE73" s="1507" t="s">
        <v>736</v>
      </c>
      <c r="AF73" s="162"/>
      <c r="AG73" s="1011" t="s">
        <v>805</v>
      </c>
      <c r="AH73" s="86">
        <f>AH$52*AH72/1000</f>
        <v>0</v>
      </c>
      <c r="AI73" s="86">
        <f>AI$52*AI72/1000</f>
        <v>0</v>
      </c>
      <c r="AJ73" s="86">
        <f>AJ$52*AJ72/1000</f>
        <v>0</v>
      </c>
      <c r="AK73" s="86">
        <f>AK$52*AK72/1000</f>
        <v>0</v>
      </c>
      <c r="AL73" s="859">
        <f>AM73+AN73</f>
        <v>0</v>
      </c>
      <c r="AM73" s="87">
        <f>AM$52*AM72</f>
        <v>0</v>
      </c>
      <c r="AN73" s="87">
        <f>AN$52*AN72</f>
        <v>0</v>
      </c>
      <c r="AO73" s="859">
        <f>AP73+AQ73</f>
        <v>0</v>
      </c>
      <c r="AP73" s="976">
        <f>AP$52*AP72</f>
        <v>0</v>
      </c>
      <c r="AQ73" s="976">
        <f>AQ$52*AQ72</f>
        <v>0</v>
      </c>
      <c r="AR73" s="859">
        <f>AS73+AT73</f>
        <v>0</v>
      </c>
      <c r="AS73" s="976">
        <f>AS$52*AS72</f>
        <v>0</v>
      </c>
      <c r="AT73" s="976">
        <f>AT$52*AT72</f>
        <v>0</v>
      </c>
      <c r="AU73" s="859">
        <f>AV73+AW73</f>
        <v>0</v>
      </c>
      <c r="AV73" s="976">
        <f>AV$52*AV72</f>
        <v>0</v>
      </c>
      <c r="AW73" s="976">
        <f>AW$52*AW72</f>
        <v>0</v>
      </c>
      <c r="AX73" s="859">
        <f>AY73+AZ73</f>
        <v>0</v>
      </c>
      <c r="AY73" s="976">
        <f>AY$52*AY72</f>
        <v>0</v>
      </c>
      <c r="AZ73" s="976">
        <f>AZ$52*AZ72</f>
        <v>0</v>
      </c>
      <c r="BA73" s="859">
        <f>BB73+BC73</f>
        <v>0</v>
      </c>
      <c r="BB73" s="87">
        <f>BB$52*BB72</f>
        <v>0</v>
      </c>
      <c r="BC73" s="87">
        <f>BC$52*BC72</f>
        <v>0</v>
      </c>
      <c r="BD73" s="859">
        <f>BE73+BF73</f>
        <v>0</v>
      </c>
      <c r="BE73" s="87">
        <f>BE$52*BE72</f>
        <v>0</v>
      </c>
      <c r="BF73" s="87">
        <f>BF$52*BF72</f>
        <v>0</v>
      </c>
      <c r="BG73" s="859">
        <f>BH73+BI73</f>
        <v>0</v>
      </c>
      <c r="BH73" s="87">
        <f>BH$52*BH72</f>
        <v>0</v>
      </c>
      <c r="BI73" s="87">
        <f>BI$52*BI72</f>
        <v>0</v>
      </c>
      <c r="BJ73" s="859">
        <f>BK73+BL73</f>
        <v>0</v>
      </c>
      <c r="BK73" s="87">
        <f>BK$52*BK72</f>
        <v>0</v>
      </c>
      <c r="BL73" s="87">
        <f>BL$52*BL72</f>
        <v>0</v>
      </c>
      <c r="BM73" s="859">
        <f>BN73+BO73</f>
        <v>0</v>
      </c>
      <c r="BN73" s="87">
        <f>BN$52*BN72</f>
        <v>0</v>
      </c>
      <c r="BO73" s="87">
        <f>BO$52*BO72</f>
        <v>0</v>
      </c>
      <c r="BP73" s="859">
        <f>BQ73+BR73</f>
        <v>0</v>
      </c>
      <c r="BQ73" s="976">
        <f>BQ$52*BQ72</f>
        <v>0</v>
      </c>
      <c r="BR73" s="976">
        <f>BR$52*BR72</f>
        <v>0</v>
      </c>
      <c r="BS73" s="859">
        <f>BT73+BU73</f>
        <v>0</v>
      </c>
      <c r="BT73" s="976">
        <f>BT$52*BT72</f>
        <v>0</v>
      </c>
      <c r="BU73" s="976">
        <f>BU$52*BU72</f>
        <v>0</v>
      </c>
      <c r="BV73" s="859">
        <f>BW73+BX73</f>
        <v>0</v>
      </c>
      <c r="BW73" s="976">
        <f>BW$52*BW72</f>
        <v>0</v>
      </c>
      <c r="BX73" s="976">
        <f>BX$52*BX72</f>
        <v>0</v>
      </c>
      <c r="BY73" s="859">
        <f>BZ73+CA73</f>
        <v>0</v>
      </c>
      <c r="BZ73" s="976">
        <f>BZ$52*BZ72</f>
        <v>0</v>
      </c>
      <c r="CA73" s="976">
        <f>CA$52*CA72</f>
        <v>0</v>
      </c>
      <c r="CB73" s="859">
        <f>CC73+CD73</f>
        <v>0</v>
      </c>
      <c r="CC73" s="976">
        <f>CC$52*CC72</f>
        <v>0</v>
      </c>
      <c r="CD73" s="976">
        <f>CD$52*CD72</f>
        <v>0</v>
      </c>
      <c r="CE73" s="859">
        <f>CF73+CG73</f>
        <v>0</v>
      </c>
      <c r="CF73" s="87">
        <f>CF$52*CF72</f>
        <v>0</v>
      </c>
      <c r="CG73" s="87">
        <f>CG$52*CG72</f>
        <v>0</v>
      </c>
      <c r="CH73" s="859">
        <f>CI73+CJ73</f>
        <v>0</v>
      </c>
      <c r="CI73" s="87">
        <f>CI$52*CI72</f>
        <v>0</v>
      </c>
      <c r="CJ73" s="87">
        <f>CJ$52*CJ72</f>
        <v>0</v>
      </c>
      <c r="CK73" s="859">
        <f>CL73+CM73</f>
        <v>0</v>
      </c>
      <c r="CL73" s="87">
        <f>CL$52*CL72</f>
        <v>0</v>
      </c>
      <c r="CM73" s="87">
        <f>CM$52*CM72</f>
        <v>0</v>
      </c>
      <c r="CN73" s="859">
        <f>CO73+CP73</f>
        <v>0</v>
      </c>
      <c r="CO73" s="87">
        <f>CO$52*CO72</f>
        <v>0</v>
      </c>
      <c r="CP73" s="87">
        <f>CP$52*CP72</f>
        <v>0</v>
      </c>
      <c r="CQ73" s="859">
        <f>CR73+CS73</f>
        <v>0</v>
      </c>
      <c r="CR73" s="87">
        <f>CR$52*CR72</f>
        <v>0</v>
      </c>
      <c r="CS73" s="87">
        <f>CS$52*CS72</f>
        <v>0</v>
      </c>
      <c r="CT73" s="73"/>
      <c r="CW73" s="1170" t="s">
        <v>807</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233</v>
      </c>
      <c r="AB74" s="1483"/>
      <c r="AD74" s="157" t="s">
        <v>808</v>
      </c>
      <c r="AE74" s="971"/>
      <c r="AF74" s="622"/>
      <c r="AG74" s="1011" t="s">
        <v>805</v>
      </c>
      <c r="AH74" s="86"/>
      <c r="AI74" s="87"/>
      <c r="AJ74" s="87"/>
      <c r="AK74" s="87"/>
      <c r="AL74" s="859">
        <f>AM74+AN74</f>
        <v>0</v>
      </c>
      <c r="AM74" s="87">
        <f>AM70*AM64/1000</f>
        <v>0</v>
      </c>
      <c r="AN74" s="87">
        <f>AN70*AN64/1000</f>
        <v>0</v>
      </c>
      <c r="AO74" s="859">
        <f>AP74+AQ74</f>
        <v>0</v>
      </c>
      <c r="AP74" s="976">
        <f>AP70*AP64/1000</f>
        <v>0</v>
      </c>
      <c r="AQ74" s="976">
        <f>AQ70*AQ64/1000</f>
        <v>0</v>
      </c>
      <c r="AR74" s="859">
        <f>AS74+AT74</f>
        <v>0</v>
      </c>
      <c r="AS74" s="976">
        <f>AS70*AS64/1000</f>
        <v>0</v>
      </c>
      <c r="AT74" s="976">
        <f>AT70*AT64/1000</f>
        <v>0</v>
      </c>
      <c r="AU74" s="859">
        <f>AV74+AW74</f>
        <v>0</v>
      </c>
      <c r="AV74" s="976">
        <f>AV70*AV64/1000</f>
        <v>0</v>
      </c>
      <c r="AW74" s="976">
        <f>AW70*AW64/1000</f>
        <v>0</v>
      </c>
      <c r="AX74" s="859">
        <f>AY74+AZ74</f>
        <v>0</v>
      </c>
      <c r="AY74" s="976">
        <f>AY70*AY64/1000</f>
        <v>0</v>
      </c>
      <c r="AZ74" s="976">
        <f>AZ70*AZ64/1000</f>
        <v>0</v>
      </c>
      <c r="BA74" s="859">
        <f>BB74+BC74</f>
        <v>0</v>
      </c>
      <c r="BB74" s="87">
        <f>BB70*BB64/1000</f>
        <v>0</v>
      </c>
      <c r="BC74" s="87">
        <f>BC70*BC64/1000</f>
        <v>0</v>
      </c>
      <c r="BD74" s="859">
        <f>BE74+BF74</f>
        <v>0</v>
      </c>
      <c r="BE74" s="87">
        <f>BE70*BE64/1000</f>
        <v>0</v>
      </c>
      <c r="BF74" s="87">
        <f>BF70*BF64/1000</f>
        <v>0</v>
      </c>
      <c r="BG74" s="859">
        <f>BH74+BI74</f>
        <v>0</v>
      </c>
      <c r="BH74" s="87">
        <f>BH70*BH64/1000</f>
        <v>0</v>
      </c>
      <c r="BI74" s="87">
        <f>BI70*BI64/1000</f>
        <v>0</v>
      </c>
      <c r="BJ74" s="859">
        <f>BK74+BL74</f>
        <v>0</v>
      </c>
      <c r="BK74" s="87">
        <f>BK70*BK64/1000</f>
        <v>0</v>
      </c>
      <c r="BL74" s="87">
        <f>BL70*BL64/1000</f>
        <v>0</v>
      </c>
      <c r="BM74" s="859">
        <f>BN74+BO74</f>
        <v>0</v>
      </c>
      <c r="BN74" s="87">
        <f>BN70*BN64/1000</f>
        <v>0</v>
      </c>
      <c r="BO74" s="87">
        <f>BO70*BO64/1000</f>
        <v>0</v>
      </c>
      <c r="BP74" s="859">
        <f>BQ74+BR74</f>
        <v>0</v>
      </c>
      <c r="BQ74" s="976">
        <f>BQ70*BQ64/1000</f>
        <v>0</v>
      </c>
      <c r="BR74" s="976">
        <f>BR70*BR64/1000</f>
        <v>0</v>
      </c>
      <c r="BS74" s="859">
        <f>BT74+BU74</f>
        <v>0</v>
      </c>
      <c r="BT74" s="976">
        <f>BT70*BT64/1000</f>
        <v>0</v>
      </c>
      <c r="BU74" s="976">
        <f>BU70*BU64/1000</f>
        <v>0</v>
      </c>
      <c r="BV74" s="859">
        <f>BW74+BX74</f>
        <v>0</v>
      </c>
      <c r="BW74" s="976">
        <f>BW70*BW64/1000</f>
        <v>0</v>
      </c>
      <c r="BX74" s="976">
        <f>BX70*BX64/1000</f>
        <v>0</v>
      </c>
      <c r="BY74" s="859">
        <f>BZ74+CA74</f>
        <v>0</v>
      </c>
      <c r="BZ74" s="976">
        <f>BZ70*BZ64/1000</f>
        <v>0</v>
      </c>
      <c r="CA74" s="976">
        <f>CA70*CA64/1000</f>
        <v>0</v>
      </c>
      <c r="CB74" s="859">
        <f>CC74+CD74</f>
        <v>0</v>
      </c>
      <c r="CC74" s="976">
        <f>CC70*CC64/1000</f>
        <v>0</v>
      </c>
      <c r="CD74" s="976">
        <f>CD70*CD64/1000</f>
        <v>0</v>
      </c>
      <c r="CE74" s="859">
        <f>CF74+CG74</f>
        <v>0</v>
      </c>
      <c r="CF74" s="87">
        <f>CF70*CF64/1000</f>
        <v>0</v>
      </c>
      <c r="CG74" s="87">
        <f>CG70*CG64/1000</f>
        <v>0</v>
      </c>
      <c r="CH74" s="859">
        <f>CI74+CJ74</f>
        <v>0</v>
      </c>
      <c r="CI74" s="87">
        <f>CI70*CI64/1000</f>
        <v>0</v>
      </c>
      <c r="CJ74" s="87">
        <f>CJ70*CJ64/1000</f>
        <v>0</v>
      </c>
      <c r="CK74" s="859">
        <f>CL74+CM74</f>
        <v>0</v>
      </c>
      <c r="CL74" s="87">
        <f>CL70*CL64/1000</f>
        <v>0</v>
      </c>
      <c r="CM74" s="87">
        <f>CM70*CM64/1000</f>
        <v>0</v>
      </c>
      <c r="CN74" s="859">
        <f>CO74+CP74</f>
        <v>0</v>
      </c>
      <c r="CO74" s="87">
        <f>CO70*CO64/1000</f>
        <v>0</v>
      </c>
      <c r="CP74" s="87">
        <f>CP70*CP64/1000</f>
        <v>0</v>
      </c>
      <c r="CQ74" s="859">
        <f>CR74+CS74</f>
        <v>0</v>
      </c>
      <c r="CR74" s="87">
        <f>CR70*CR64/1000</f>
        <v>0</v>
      </c>
      <c r="CS74" s="87">
        <f>CS70*CS64/1000</f>
        <v>0</v>
      </c>
      <c r="CT74" s="73"/>
      <c r="CW74" s="1170" t="s">
        <v>807</v>
      </c>
      <c r="CX74" s="1175" t="s">
        <v>787</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235</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1"/>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725</v>
      </c>
      <c r="S76" s="156" cm="1" t="str">
        <f t="array" ref="S76:S76">OFFSET(T76,-1,-1)</f>
        <v>false</v>
      </c>
      <c r="T76" s="156" cm="1" t="str">
        <f t="array" ref="T76:T76">L76</f>
        <v>false</v>
      </c>
      <c r="U76" s="816">
        <f>AND(S76,IF(ISBLANK(T76),TRUE,T76))</f>
        <v>0</v>
      </c>
      <c r="AB76" s="1483"/>
      <c r="AD76" s="157">
        <v>25</v>
      </c>
      <c r="AE76" s="1505" t="s">
        <v>809</v>
      </c>
      <c r="AF76" s="159"/>
      <c r="AG76" s="1011" t="s">
        <v>805</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3"/>
      <c r="CW76" s="1170" t="s">
        <v>810</v>
      </c>
    </row>
    <row customHeight="1" ht="16.672500000000003" hidden="1">
      <c r="E77" s="794">
        <v>17.1</v>
      </c>
      <c r="F77" s="919" cm="1" t="str">
        <f t="array" ref="F77:F77">OFFSET(G77,-1,-1)</f>
        <v>0</v>
      </c>
      <c r="L77" s="919" cm="1" t="str">
        <f t="array" ref="L77:L77">OFFSET(M77,-1,-1)</f>
        <v>false</v>
      </c>
      <c r="R77" s="919" t="s">
        <v>725</v>
      </c>
      <c r="S77" s="156" cm="1" t="str">
        <f t="array" ref="S77:S77">OFFSET(T77,-1,-1)</f>
        <v>false</v>
      </c>
      <c r="T77" s="156">
        <f>AND(L77,AD77&lt;&gt;"25.0")</f>
        <v>0</v>
      </c>
      <c r="U77" s="816">
        <f>AND(S77,IF(ISBLANK(T77),TRUE,T77))</f>
        <v>0</v>
      </c>
      <c r="X77" s="156" t="s">
        <v>233</v>
      </c>
      <c r="AB77" s="1483"/>
      <c r="AD77" s="157" t="s">
        <v>811</v>
      </c>
      <c r="AE77" s="971"/>
      <c r="AF77" s="622"/>
      <c r="AG77" s="1011" t="s">
        <v>805</v>
      </c>
      <c r="AH77" s="86">
        <f>AH$52*AH74</f>
        <v>0</v>
      </c>
      <c r="AI77" s="87">
        <f>AI$52*AI74</f>
        <v>0</v>
      </c>
      <c r="AJ77" s="87">
        <f>AJ$52*AJ74</f>
        <v>0</v>
      </c>
      <c r="AK77" s="87">
        <f>AK$52*AK74</f>
        <v>0</v>
      </c>
      <c r="AL77" s="859">
        <f>AM77+AN77</f>
        <v>0</v>
      </c>
      <c r="AM77" s="87">
        <f>AM$52*AM74</f>
        <v>0</v>
      </c>
      <c r="AN77" s="87">
        <f>AN$52*AN74</f>
        <v>0</v>
      </c>
      <c r="AO77" s="859">
        <f>AP77+AQ77</f>
        <v>0</v>
      </c>
      <c r="AP77" s="976">
        <f>AP$52*AP74</f>
        <v>0</v>
      </c>
      <c r="AQ77" s="976">
        <f>AQ$52*AQ74</f>
        <v>0</v>
      </c>
      <c r="AR77" s="859">
        <f>AS77+AT77</f>
        <v>0</v>
      </c>
      <c r="AS77" s="976">
        <f>AS$52*AS74</f>
        <v>0</v>
      </c>
      <c r="AT77" s="976">
        <f>AT$52*AT74</f>
        <v>0</v>
      </c>
      <c r="AU77" s="859">
        <f>AV77+AW77</f>
        <v>0</v>
      </c>
      <c r="AV77" s="976">
        <f>AV$52*AV74</f>
        <v>0</v>
      </c>
      <c r="AW77" s="976">
        <f>AW$52*AW74</f>
        <v>0</v>
      </c>
      <c r="AX77" s="859">
        <f>AY77+AZ77</f>
        <v>0</v>
      </c>
      <c r="AY77" s="976">
        <f>AY$52*AY74</f>
        <v>0</v>
      </c>
      <c r="AZ77" s="976">
        <f>AZ$52*AZ74</f>
        <v>0</v>
      </c>
      <c r="BA77" s="859">
        <f>BB77+BC77</f>
        <v>0</v>
      </c>
      <c r="BB77" s="87">
        <f>BB$52*BB74</f>
        <v>0</v>
      </c>
      <c r="BC77" s="87">
        <f>BC$52*BC74</f>
        <v>0</v>
      </c>
      <c r="BD77" s="859">
        <f>BE77+BF77</f>
        <v>0</v>
      </c>
      <c r="BE77" s="87">
        <f>BE$52*BE74</f>
        <v>0</v>
      </c>
      <c r="BF77" s="87">
        <f>BF$52*BF74</f>
        <v>0</v>
      </c>
      <c r="BG77" s="859">
        <f>BH77+BI77</f>
        <v>0</v>
      </c>
      <c r="BH77" s="87">
        <f>BH$52*BH74</f>
        <v>0</v>
      </c>
      <c r="BI77" s="87">
        <f>BI$52*BI74</f>
        <v>0</v>
      </c>
      <c r="BJ77" s="859">
        <f>BK77+BL77</f>
        <v>0</v>
      </c>
      <c r="BK77" s="87">
        <f>BK$52*BK74</f>
        <v>0</v>
      </c>
      <c r="BL77" s="87">
        <f>BL$52*BL74</f>
        <v>0</v>
      </c>
      <c r="BM77" s="859">
        <f>BN77+BO77</f>
        <v>0</v>
      </c>
      <c r="BN77" s="87">
        <f>BN$52*BN74</f>
        <v>0</v>
      </c>
      <c r="BO77" s="87">
        <f>BO$52*BO74</f>
        <v>0</v>
      </c>
      <c r="BP77" s="859">
        <f>BQ77+BR77</f>
        <v>0</v>
      </c>
      <c r="BQ77" s="976">
        <f>BQ$52*BQ74</f>
        <v>0</v>
      </c>
      <c r="BR77" s="976">
        <f>BR$52*BR74</f>
        <v>0</v>
      </c>
      <c r="BS77" s="859">
        <f>BT77+BU77</f>
        <v>0</v>
      </c>
      <c r="BT77" s="976">
        <f>BT$52*BT74</f>
        <v>0</v>
      </c>
      <c r="BU77" s="976">
        <f>BU$52*BU74</f>
        <v>0</v>
      </c>
      <c r="BV77" s="859">
        <f>BW77+BX77</f>
        <v>0</v>
      </c>
      <c r="BW77" s="976">
        <f>BW$52*BW74</f>
        <v>0</v>
      </c>
      <c r="BX77" s="976">
        <f>BX$52*BX74</f>
        <v>0</v>
      </c>
      <c r="BY77" s="859">
        <f>BZ77+CA77</f>
        <v>0</v>
      </c>
      <c r="BZ77" s="976">
        <f>BZ$52*BZ74</f>
        <v>0</v>
      </c>
      <c r="CA77" s="976">
        <f>CA$52*CA74</f>
        <v>0</v>
      </c>
      <c r="CB77" s="859">
        <f>CC77+CD77</f>
        <v>0</v>
      </c>
      <c r="CC77" s="976">
        <f>CC$52*CC74</f>
        <v>0</v>
      </c>
      <c r="CD77" s="976">
        <f>CD$52*CD74</f>
        <v>0</v>
      </c>
      <c r="CE77" s="859">
        <f>CF77+CG77</f>
        <v>0</v>
      </c>
      <c r="CF77" s="87">
        <f>CF$52*CF74</f>
        <v>0</v>
      </c>
      <c r="CG77" s="87">
        <f>CG$52*CG74</f>
        <v>0</v>
      </c>
      <c r="CH77" s="859">
        <f>CI77+CJ77</f>
        <v>0</v>
      </c>
      <c r="CI77" s="87">
        <f>CI$52*CI74</f>
        <v>0</v>
      </c>
      <c r="CJ77" s="87">
        <f>CJ$52*CJ74</f>
        <v>0</v>
      </c>
      <c r="CK77" s="859">
        <f>CL77+CM77</f>
        <v>0</v>
      </c>
      <c r="CL77" s="87">
        <f>CL$52*CL74</f>
        <v>0</v>
      </c>
      <c r="CM77" s="87">
        <f>CM$52*CM74</f>
        <v>0</v>
      </c>
      <c r="CN77" s="859">
        <f>CO77+CP77</f>
        <v>0</v>
      </c>
      <c r="CO77" s="87">
        <f>CO$52*CO74</f>
        <v>0</v>
      </c>
      <c r="CP77" s="87">
        <f>CP$52*CP74</f>
        <v>0</v>
      </c>
      <c r="CQ77" s="859">
        <f>CR77+CS77</f>
        <v>0</v>
      </c>
      <c r="CR77" s="87">
        <f>CR$52*CR74</f>
        <v>0</v>
      </c>
      <c r="CS77" s="87">
        <f>CS$52*CS74</f>
        <v>0</v>
      </c>
      <c r="CT77" s="73"/>
      <c r="CW77" s="1170" t="s">
        <v>810</v>
      </c>
      <c r="CX77" s="1175" t="s">
        <v>787</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235</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1"/>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812</v>
      </c>
      <c r="AD79" s="170">
        <v>26</v>
      </c>
      <c r="AE79" s="1494" t="s">
        <v>813</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3"/>
      <c r="CW79" s="1170" t="s">
        <v>814</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233</v>
      </c>
      <c r="AB80" s="1489"/>
      <c r="AD80" s="157" t="s">
        <v>815</v>
      </c>
      <c r="AE80" s="971"/>
      <c r="AF80" s="622"/>
      <c r="AG80" s="856" t="s">
        <v>490</v>
      </c>
      <c r="AH80" s="90"/>
      <c r="AI80" s="94"/>
      <c r="AJ80" s="94"/>
      <c r="AK80" s="94"/>
      <c r="AL80" s="860"/>
      <c r="AM80" s="87"/>
      <c r="AN80" s="87"/>
      <c r="AO80" s="860"/>
      <c r="AP80" s="981"/>
      <c r="AQ80" s="981"/>
      <c r="AR80" s="860"/>
      <c r="AS80" s="981"/>
      <c r="AT80" s="981"/>
      <c r="AU80" s="860"/>
      <c r="AV80" s="981"/>
      <c r="AW80" s="981"/>
      <c r="AX80" s="860"/>
      <c r="AY80" s="981"/>
      <c r="AZ80" s="981"/>
      <c r="BA80" s="860"/>
      <c r="BB80" s="94"/>
      <c r="BC80" s="94"/>
      <c r="BD80" s="860"/>
      <c r="BE80" s="94"/>
      <c r="BF80" s="94"/>
      <c r="BG80" s="860"/>
      <c r="BH80" s="94"/>
      <c r="BI80" s="94"/>
      <c r="BJ80" s="860"/>
      <c r="BK80" s="94"/>
      <c r="BL80" s="94"/>
      <c r="BM80" s="860"/>
      <c r="BN80" s="94"/>
      <c r="BO80" s="94"/>
      <c r="BP80" s="860"/>
      <c r="BQ80" s="981"/>
      <c r="BR80" s="981"/>
      <c r="BS80" s="860"/>
      <c r="BT80" s="981"/>
      <c r="BU80" s="981"/>
      <c r="BV80" s="860"/>
      <c r="BW80" s="981"/>
      <c r="BX80" s="981"/>
      <c r="BY80" s="860"/>
      <c r="BZ80" s="981"/>
      <c r="CA80" s="981"/>
      <c r="CB80" s="860"/>
      <c r="CC80" s="981"/>
      <c r="CD80" s="981"/>
      <c r="CE80" s="860"/>
      <c r="CF80" s="94"/>
      <c r="CG80" s="94"/>
      <c r="CH80" s="860"/>
      <c r="CI80" s="94"/>
      <c r="CJ80" s="94"/>
      <c r="CK80" s="860"/>
      <c r="CL80" s="94"/>
      <c r="CM80" s="94"/>
      <c r="CN80" s="860"/>
      <c r="CO80" s="94"/>
      <c r="CP80" s="94"/>
      <c r="CQ80" s="860"/>
      <c r="CR80" s="94"/>
      <c r="CS80" s="94"/>
      <c r="CT80" s="73"/>
      <c r="CW80" s="1170" t="s">
        <v>814</v>
      </c>
      <c r="CX80" s="1175" t="s">
        <v>787</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235</v>
      </c>
      <c r="AF81" s="871"/>
      <c r="AG81" s="856"/>
      <c r="AH81" s="873"/>
      <c r="AI81" s="95"/>
      <c r="AJ81" s="95"/>
      <c r="AK81" s="95"/>
      <c r="AL81" s="860"/>
      <c r="AM81" s="95"/>
      <c r="AN81" s="95"/>
      <c r="AO81" s="860"/>
      <c r="AP81" s="95"/>
      <c r="AQ81" s="95"/>
      <c r="AR81" s="860"/>
      <c r="AS81" s="95"/>
      <c r="AT81" s="95"/>
      <c r="AU81" s="860"/>
      <c r="AV81" s="95"/>
      <c r="AW81" s="95"/>
      <c r="AX81" s="860"/>
      <c r="AY81" s="95"/>
      <c r="AZ81" s="95"/>
      <c r="BA81" s="860"/>
      <c r="BB81" s="95"/>
      <c r="BC81" s="95"/>
      <c r="BD81" s="860"/>
      <c r="BE81" s="95"/>
      <c r="BF81" s="95"/>
      <c r="BG81" s="860"/>
      <c r="BH81" s="95"/>
      <c r="BI81" s="95"/>
      <c r="BJ81" s="860"/>
      <c r="BK81" s="95"/>
      <c r="BL81" s="95"/>
      <c r="BM81" s="860"/>
      <c r="BN81" s="95"/>
      <c r="BO81" s="95"/>
      <c r="BP81" s="860"/>
      <c r="BQ81" s="95"/>
      <c r="BR81" s="95"/>
      <c r="BS81" s="860"/>
      <c r="BT81" s="95"/>
      <c r="BU81" s="95"/>
      <c r="BV81" s="860"/>
      <c r="BW81" s="95"/>
      <c r="BX81" s="95"/>
      <c r="BY81" s="860"/>
      <c r="BZ81" s="95"/>
      <c r="CA81" s="95"/>
      <c r="CB81" s="860"/>
      <c r="CC81" s="95"/>
      <c r="CD81" s="95"/>
      <c r="CE81" s="860"/>
      <c r="CF81" s="95"/>
      <c r="CG81" s="95"/>
      <c r="CH81" s="860"/>
      <c r="CI81" s="95"/>
      <c r="CJ81" s="95"/>
      <c r="CK81" s="860"/>
      <c r="CL81" s="95"/>
      <c r="CM81" s="95"/>
      <c r="CN81" s="860"/>
      <c r="CO81" s="95"/>
      <c r="CP81" s="95"/>
      <c r="CQ81" s="860"/>
      <c r="CR81" s="95"/>
      <c r="CS81" s="95"/>
      <c r="CT81" s="91"/>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816</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3"/>
      <c r="CW82" s="1170" t="s">
        <v>817</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233</v>
      </c>
      <c r="AB83" s="1489"/>
      <c r="AD83" s="157" t="s">
        <v>818</v>
      </c>
      <c r="AE83" s="971"/>
      <c r="AF83" s="622"/>
      <c r="AG83" s="1067" t="str">
        <f>"руб./"&amp;_xlfn.IFERROR(INDEX(fuel_ed_izm_list,MATCH(AE83,fuel_list,0)),"")</f>
        <v>руб./</v>
      </c>
      <c r="AH83" s="86">
        <f>_xlfn.IFERROR(AH87/AH64,0)*1000</f>
        <v>0</v>
      </c>
      <c r="AI83" s="86">
        <f>_xlfn.IFERROR(AI87/AI64,0)*1000</f>
        <v>0</v>
      </c>
      <c r="AJ83" s="86">
        <f>_xlfn.IFERROR(AJ87/AJ64,0)*1000</f>
        <v>0</v>
      </c>
      <c r="AK83" s="86">
        <f>_xlfn.IFERROR(AK87/AK64,0)*1000</f>
        <v>0</v>
      </c>
      <c r="AL83" s="859">
        <f>_xlfn.IFERROR(AL87/AL64,0)*1000</f>
        <v>0</v>
      </c>
      <c r="AM83" s="87"/>
      <c r="AN83" s="87"/>
      <c r="AO83" s="859">
        <f>_xlfn.IFERROR(AO87/AO64,0)*1000</f>
        <v>0</v>
      </c>
      <c r="AP83" s="976"/>
      <c r="AQ83" s="976"/>
      <c r="AR83" s="859">
        <f>_xlfn.IFERROR(AR87/AR64,0)*1000</f>
        <v>0</v>
      </c>
      <c r="AS83" s="976"/>
      <c r="AT83" s="976"/>
      <c r="AU83" s="859">
        <f>_xlfn.IFERROR(AU87/AU64,0)*1000</f>
        <v>0</v>
      </c>
      <c r="AV83" s="976"/>
      <c r="AW83" s="976"/>
      <c r="AX83" s="859">
        <f>_xlfn.IFERROR(AX87/AX64,0)*1000</f>
        <v>0</v>
      </c>
      <c r="AY83" s="976"/>
      <c r="AZ83" s="976"/>
      <c r="BA83" s="859">
        <f>_xlfn.IFERROR(BA87/BA64,0)*1000</f>
        <v>0</v>
      </c>
      <c r="BB83" s="87"/>
      <c r="BC83" s="87"/>
      <c r="BD83" s="859">
        <f>_xlfn.IFERROR(BD87/BD64,0)*1000</f>
        <v>0</v>
      </c>
      <c r="BE83" s="87"/>
      <c r="BF83" s="87"/>
      <c r="BG83" s="859">
        <f>_xlfn.IFERROR(BG87/BG64,0)*1000</f>
        <v>0</v>
      </c>
      <c r="BH83" s="87"/>
      <c r="BI83" s="87"/>
      <c r="BJ83" s="859">
        <f>_xlfn.IFERROR(BJ87/BJ64,0)*1000</f>
        <v>0</v>
      </c>
      <c r="BK83" s="87"/>
      <c r="BL83" s="87"/>
      <c r="BM83" s="859">
        <f>_xlfn.IFERROR(BM87/BM64,0)*1000</f>
        <v>0</v>
      </c>
      <c r="BN83" s="87"/>
      <c r="BO83" s="87"/>
      <c r="BP83" s="859">
        <f>_xlfn.IFERROR(BP87/BP64,0)*1000</f>
        <v>0</v>
      </c>
      <c r="BQ83" s="976"/>
      <c r="BR83" s="976"/>
      <c r="BS83" s="859">
        <f>_xlfn.IFERROR(BS87/BS64,0)*1000</f>
        <v>0</v>
      </c>
      <c r="BT83" s="976"/>
      <c r="BU83" s="976"/>
      <c r="BV83" s="859">
        <f>_xlfn.IFERROR(BV87/BV64,0)*1000</f>
        <v>0</v>
      </c>
      <c r="BW83" s="976"/>
      <c r="BX83" s="976"/>
      <c r="BY83" s="859">
        <f>_xlfn.IFERROR(BY87/BY64,0)*1000</f>
        <v>0</v>
      </c>
      <c r="BZ83" s="976"/>
      <c r="CA83" s="976"/>
      <c r="CB83" s="859">
        <f>_xlfn.IFERROR(CB87/CB64,0)*1000</f>
        <v>0</v>
      </c>
      <c r="CC83" s="976"/>
      <c r="CD83" s="976"/>
      <c r="CE83" s="859">
        <f>_xlfn.IFERROR(CE87/CE64,0)*1000</f>
        <v>0</v>
      </c>
      <c r="CF83" s="87"/>
      <c r="CG83" s="87"/>
      <c r="CH83" s="859">
        <f>_xlfn.IFERROR(CH87/CH64,0)*1000</f>
        <v>0</v>
      </c>
      <c r="CI83" s="87"/>
      <c r="CJ83" s="87"/>
      <c r="CK83" s="859">
        <f>_xlfn.IFERROR(CK87/CK64,0)*1000</f>
        <v>0</v>
      </c>
      <c r="CL83" s="87"/>
      <c r="CM83" s="87"/>
      <c r="CN83" s="859">
        <f>_xlfn.IFERROR(CN87/CN64,0)*1000</f>
        <v>0</v>
      </c>
      <c r="CO83" s="87"/>
      <c r="CP83" s="87"/>
      <c r="CQ83" s="859">
        <f>_xlfn.IFERROR(CQ87/CQ64,0)*1000</f>
        <v>0</v>
      </c>
      <c r="CR83" s="87"/>
      <c r="CS83" s="87"/>
      <c r="CT83" s="73"/>
      <c r="CW83" s="1170" t="s">
        <v>817</v>
      </c>
      <c r="CX83" s="1175" t="s">
        <v>787</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235</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1"/>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819</v>
      </c>
      <c r="AF85" s="320"/>
      <c r="AG85" s="856" t="s">
        <v>805</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3"/>
      <c r="CW85" s="1170" t="s">
        <v>820</v>
      </c>
    </row>
    <row customHeight="1" ht="16.672500000000003" hidden="1">
      <c r="E86" s="794">
        <v>17.1</v>
      </c>
      <c r="F86" s="919" cm="1" t="str">
        <f t="array" ref="F86:F86">OFFSET(G86,-1,-1)</f>
        <v>0</v>
      </c>
      <c r="L86" s="919" cm="1" t="str">
        <f t="array" ref="L86:L86">OFFSET(M86,-1,-1)</f>
        <v>false</v>
      </c>
      <c r="R86" s="919" t="s">
        <v>725</v>
      </c>
      <c r="S86" s="156" cm="1" t="str">
        <f t="array" ref="S86:S86">OFFSET(T86,-1,-1)</f>
        <v>false</v>
      </c>
      <c r="T86" s="919" t="b">
        <v>0</v>
      </c>
      <c r="U86" s="816">
        <f>AND(S86,IF(ISBLANK(T86),TRUE,T86))</f>
        <v>0</v>
      </c>
      <c r="AB86" s="1489"/>
      <c r="AD86" s="157" t="str">
        <f>AD85&amp;".0"</f>
        <v>28.0</v>
      </c>
      <c r="AE86" s="1346" t="s">
        <v>736</v>
      </c>
      <c r="AF86" s="161"/>
      <c r="AG86" s="856" t="s">
        <v>805</v>
      </c>
      <c r="AH86" s="86">
        <f>AH$52*AH85</f>
        <v>0</v>
      </c>
      <c r="AI86" s="87">
        <f>AI$52*AI85</f>
        <v>0</v>
      </c>
      <c r="AJ86" s="87">
        <f>AJ$52*AJ85</f>
        <v>0</v>
      </c>
      <c r="AK86" s="87">
        <f>AK$52*AK85</f>
        <v>0</v>
      </c>
      <c r="AL86" s="859">
        <f>AM86+AN86</f>
        <v>0</v>
      </c>
      <c r="AM86" s="87">
        <f>AM$52*AM85</f>
        <v>0</v>
      </c>
      <c r="AN86" s="87">
        <f>AN$52*AN85</f>
        <v>0</v>
      </c>
      <c r="AO86" s="859">
        <f>AP86+AQ86</f>
        <v>0</v>
      </c>
      <c r="AP86" s="976">
        <f>AP$52*AP85</f>
        <v>0</v>
      </c>
      <c r="AQ86" s="976">
        <f>AQ$52*AQ85</f>
        <v>0</v>
      </c>
      <c r="AR86" s="859">
        <f>AS86+AT86</f>
        <v>0</v>
      </c>
      <c r="AS86" s="976">
        <f>AS$52*AS85</f>
        <v>0</v>
      </c>
      <c r="AT86" s="976">
        <f>AT$52*AT85</f>
        <v>0</v>
      </c>
      <c r="AU86" s="859">
        <f>AV86+AW86</f>
        <v>0</v>
      </c>
      <c r="AV86" s="976">
        <f>AV$52*AV85</f>
        <v>0</v>
      </c>
      <c r="AW86" s="976">
        <f>AW$52*AW85</f>
        <v>0</v>
      </c>
      <c r="AX86" s="859">
        <f>AY86+AZ86</f>
        <v>0</v>
      </c>
      <c r="AY86" s="976">
        <f>AY$52*AY85</f>
        <v>0</v>
      </c>
      <c r="AZ86" s="976">
        <f>AZ$52*AZ85</f>
        <v>0</v>
      </c>
      <c r="BA86" s="859">
        <f>BB86+BC86</f>
        <v>0</v>
      </c>
      <c r="BB86" s="87">
        <f>BB$52*BB85</f>
        <v>0</v>
      </c>
      <c r="BC86" s="87">
        <f>BC$52*BC85</f>
        <v>0</v>
      </c>
      <c r="BD86" s="859">
        <f>BE86+BF86</f>
        <v>0</v>
      </c>
      <c r="BE86" s="87">
        <f>BE$52*BE85</f>
        <v>0</v>
      </c>
      <c r="BF86" s="87">
        <f>BF$52*BF85</f>
        <v>0</v>
      </c>
      <c r="BG86" s="859">
        <f>BH86+BI86</f>
        <v>0</v>
      </c>
      <c r="BH86" s="87">
        <f>BH$52*BH85</f>
        <v>0</v>
      </c>
      <c r="BI86" s="87">
        <f>BI$52*BI85</f>
        <v>0</v>
      </c>
      <c r="BJ86" s="859">
        <f>BK86+BL86</f>
        <v>0</v>
      </c>
      <c r="BK86" s="87">
        <f>BK$52*BK85</f>
        <v>0</v>
      </c>
      <c r="BL86" s="87">
        <f>BL$52*BL85</f>
        <v>0</v>
      </c>
      <c r="BM86" s="859">
        <f>BN86+BO86</f>
        <v>0</v>
      </c>
      <c r="BN86" s="87">
        <f>BN$52*BN85</f>
        <v>0</v>
      </c>
      <c r="BO86" s="87">
        <f>BO$52*BO85</f>
        <v>0</v>
      </c>
      <c r="BP86" s="859">
        <f>BQ86+BR86</f>
        <v>0</v>
      </c>
      <c r="BQ86" s="976">
        <f>BQ$52*BQ85</f>
        <v>0</v>
      </c>
      <c r="BR86" s="976">
        <f>BR$52*BR85</f>
        <v>0</v>
      </c>
      <c r="BS86" s="859">
        <f>BT86+BU86</f>
        <v>0</v>
      </c>
      <c r="BT86" s="976">
        <f>BT$52*BT85</f>
        <v>0</v>
      </c>
      <c r="BU86" s="976">
        <f>BU$52*BU85</f>
        <v>0</v>
      </c>
      <c r="BV86" s="859">
        <f>BW86+BX86</f>
        <v>0</v>
      </c>
      <c r="BW86" s="976">
        <f>BW$52*BW85</f>
        <v>0</v>
      </c>
      <c r="BX86" s="976">
        <f>BX$52*BX85</f>
        <v>0</v>
      </c>
      <c r="BY86" s="859">
        <f>BZ86+CA86</f>
        <v>0</v>
      </c>
      <c r="BZ86" s="976">
        <f>BZ$52*BZ85</f>
        <v>0</v>
      </c>
      <c r="CA86" s="976">
        <f>CA$52*CA85</f>
        <v>0</v>
      </c>
      <c r="CB86" s="859">
        <f>CC86+CD86</f>
        <v>0</v>
      </c>
      <c r="CC86" s="976">
        <f>CC$52*CC85</f>
        <v>0</v>
      </c>
      <c r="CD86" s="976">
        <f>CD$52*CD85</f>
        <v>0</v>
      </c>
      <c r="CE86" s="859">
        <f>CF86+CG86</f>
        <v>0</v>
      </c>
      <c r="CF86" s="87">
        <f>CF$52*CF85</f>
        <v>0</v>
      </c>
      <c r="CG86" s="87">
        <f>CG$52*CG85</f>
        <v>0</v>
      </c>
      <c r="CH86" s="859">
        <f>CI86+CJ86</f>
        <v>0</v>
      </c>
      <c r="CI86" s="87">
        <f>CI$52*CI85</f>
        <v>0</v>
      </c>
      <c r="CJ86" s="87">
        <f>CJ$52*CJ85</f>
        <v>0</v>
      </c>
      <c r="CK86" s="859">
        <f>CL86+CM86</f>
        <v>0</v>
      </c>
      <c r="CL86" s="87">
        <f>CL$52*CL85</f>
        <v>0</v>
      </c>
      <c r="CM86" s="87">
        <f>CM$52*CM85</f>
        <v>0</v>
      </c>
      <c r="CN86" s="859">
        <f>CO86+CP86</f>
        <v>0</v>
      </c>
      <c r="CO86" s="87">
        <f>CO$52*CO85</f>
        <v>0</v>
      </c>
      <c r="CP86" s="87">
        <f>CP$52*CP85</f>
        <v>0</v>
      </c>
      <c r="CQ86" s="859">
        <f>CR86+CS86</f>
        <v>0</v>
      </c>
      <c r="CR86" s="87">
        <f>CR$52*CR85</f>
        <v>0</v>
      </c>
      <c r="CS86" s="87">
        <f>CS$52*CS85</f>
        <v>0</v>
      </c>
      <c r="CT86" s="73"/>
      <c r="CW86" s="1170" t="s">
        <v>821</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233</v>
      </c>
      <c r="AB87" s="1489"/>
      <c r="AD87" s="157" t="s">
        <v>822</v>
      </c>
      <c r="AE87" s="971"/>
      <c r="AF87" s="622"/>
      <c r="AG87" s="856" t="s">
        <v>805</v>
      </c>
      <c r="AH87" s="86"/>
      <c r="AI87" s="87"/>
      <c r="AJ87" s="87"/>
      <c r="AK87" s="87"/>
      <c r="AL87" s="859">
        <f>AM87+AN87</f>
        <v>0</v>
      </c>
      <c r="AM87" s="87">
        <f>AM83*AM64/1000</f>
        <v>0</v>
      </c>
      <c r="AN87" s="87">
        <f>AN83*AN64/1000</f>
        <v>0</v>
      </c>
      <c r="AO87" s="859">
        <f>AP87+AQ87</f>
        <v>0</v>
      </c>
      <c r="AP87" s="976">
        <f>AP83*AP64/1000</f>
        <v>0</v>
      </c>
      <c r="AQ87" s="976">
        <f>AQ83*AQ64/1000</f>
        <v>0</v>
      </c>
      <c r="AR87" s="859">
        <f>AS87+AT87</f>
        <v>0</v>
      </c>
      <c r="AS87" s="976">
        <f>AS83*AS64/1000</f>
        <v>0</v>
      </c>
      <c r="AT87" s="976">
        <f>AT83*AT64/1000</f>
        <v>0</v>
      </c>
      <c r="AU87" s="859">
        <f>AV87+AW87</f>
        <v>0</v>
      </c>
      <c r="AV87" s="976">
        <f>AV83*AV64/1000</f>
        <v>0</v>
      </c>
      <c r="AW87" s="976">
        <f>AW83*AW64/1000</f>
        <v>0</v>
      </c>
      <c r="AX87" s="859">
        <f>AY87+AZ87</f>
        <v>0</v>
      </c>
      <c r="AY87" s="976">
        <f>AY83*AY64/1000</f>
        <v>0</v>
      </c>
      <c r="AZ87" s="976">
        <f>AZ83*AZ64/1000</f>
        <v>0</v>
      </c>
      <c r="BA87" s="859">
        <f>BB87+BC87</f>
        <v>0</v>
      </c>
      <c r="BB87" s="87">
        <f>BB83*BB64/1000</f>
        <v>0</v>
      </c>
      <c r="BC87" s="87">
        <f>BC83*BC64/1000</f>
        <v>0</v>
      </c>
      <c r="BD87" s="859">
        <f>BE87+BF87</f>
        <v>0</v>
      </c>
      <c r="BE87" s="87">
        <f>BE83*BE64/1000</f>
        <v>0</v>
      </c>
      <c r="BF87" s="87">
        <f>BF83*BF64/1000</f>
        <v>0</v>
      </c>
      <c r="BG87" s="859">
        <f>BH87+BI87</f>
        <v>0</v>
      </c>
      <c r="BH87" s="87">
        <f>BH83*BH64/1000</f>
        <v>0</v>
      </c>
      <c r="BI87" s="87">
        <f>BI83*BI64/1000</f>
        <v>0</v>
      </c>
      <c r="BJ87" s="859">
        <f>BK87+BL87</f>
        <v>0</v>
      </c>
      <c r="BK87" s="87">
        <f>BK83*BK64/1000</f>
        <v>0</v>
      </c>
      <c r="BL87" s="87">
        <f>BL83*BL64/1000</f>
        <v>0</v>
      </c>
      <c r="BM87" s="859">
        <f>BN87+BO87</f>
        <v>0</v>
      </c>
      <c r="BN87" s="87">
        <f>BN83*BN64/1000</f>
        <v>0</v>
      </c>
      <c r="BO87" s="87">
        <f>BO83*BO64/1000</f>
        <v>0</v>
      </c>
      <c r="BP87" s="859">
        <f>BQ87+BR87</f>
        <v>0</v>
      </c>
      <c r="BQ87" s="976">
        <f>BQ83*BQ64/1000</f>
        <v>0</v>
      </c>
      <c r="BR87" s="976">
        <f>BR83*BR64/1000</f>
        <v>0</v>
      </c>
      <c r="BS87" s="859">
        <f>BT87+BU87</f>
        <v>0</v>
      </c>
      <c r="BT87" s="976">
        <f>BT83*BT64/1000</f>
        <v>0</v>
      </c>
      <c r="BU87" s="976">
        <f>BU83*BU64/1000</f>
        <v>0</v>
      </c>
      <c r="BV87" s="859">
        <f>BW87+BX87</f>
        <v>0</v>
      </c>
      <c r="BW87" s="976">
        <f>BW83*BW64/1000</f>
        <v>0</v>
      </c>
      <c r="BX87" s="976">
        <f>BX83*BX64/1000</f>
        <v>0</v>
      </c>
      <c r="BY87" s="859">
        <f>BZ87+CA87</f>
        <v>0</v>
      </c>
      <c r="BZ87" s="976">
        <f>BZ83*BZ64/1000</f>
        <v>0</v>
      </c>
      <c r="CA87" s="976">
        <f>CA83*CA64/1000</f>
        <v>0</v>
      </c>
      <c r="CB87" s="859">
        <f>CC87+CD87</f>
        <v>0</v>
      </c>
      <c r="CC87" s="976">
        <f>CC83*CC64/1000</f>
        <v>0</v>
      </c>
      <c r="CD87" s="976">
        <f>CD83*CD64/1000</f>
        <v>0</v>
      </c>
      <c r="CE87" s="859">
        <f>CF87+CG87</f>
        <v>0</v>
      </c>
      <c r="CF87" s="87">
        <f>CF83*CF64/1000</f>
        <v>0</v>
      </c>
      <c r="CG87" s="87">
        <f>CG83*CG64/1000</f>
        <v>0</v>
      </c>
      <c r="CH87" s="859">
        <f>CI87+CJ87</f>
        <v>0</v>
      </c>
      <c r="CI87" s="87">
        <f>CI83*CI64/1000</f>
        <v>0</v>
      </c>
      <c r="CJ87" s="87">
        <f>CJ83*CJ64/1000</f>
        <v>0</v>
      </c>
      <c r="CK87" s="859">
        <f>CL87+CM87</f>
        <v>0</v>
      </c>
      <c r="CL87" s="87">
        <f>CL83*CL64/1000</f>
        <v>0</v>
      </c>
      <c r="CM87" s="87">
        <f>CM83*CM64/1000</f>
        <v>0</v>
      </c>
      <c r="CN87" s="859">
        <f>CO87+CP87</f>
        <v>0</v>
      </c>
      <c r="CO87" s="87">
        <f>CO83*CO64/1000</f>
        <v>0</v>
      </c>
      <c r="CP87" s="87">
        <f>CP83*CP64/1000</f>
        <v>0</v>
      </c>
      <c r="CQ87" s="859">
        <f>CR87+CS87</f>
        <v>0</v>
      </c>
      <c r="CR87" s="87">
        <f>CR83*CR64/1000</f>
        <v>0</v>
      </c>
      <c r="CS87" s="87">
        <f>CS83*CS64/1000</f>
        <v>0</v>
      </c>
      <c r="CT87" s="73"/>
      <c r="CW87" s="1170" t="s">
        <v>821</v>
      </c>
      <c r="CX87" s="1175" t="s">
        <v>787</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235</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1"/>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725</v>
      </c>
      <c r="S89" s="156" cm="1" t="str">
        <f t="array" ref="S89:S89">OFFSET(T89,-1,-1)</f>
        <v>false</v>
      </c>
      <c r="T89" s="156" cm="1" t="str">
        <f t="array" ref="T89:T89">L89</f>
        <v>false</v>
      </c>
      <c r="U89" s="816">
        <f>AND(S89,IF(ISBLANK(T89),TRUE,T89))</f>
        <v>0</v>
      </c>
      <c r="AB89" s="1489"/>
      <c r="AD89" s="170">
        <v>29</v>
      </c>
      <c r="AE89" s="1499" t="s">
        <v>823</v>
      </c>
      <c r="AF89" s="160"/>
      <c r="AG89" s="856" t="s">
        <v>805</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3"/>
      <c r="CW89" s="1170" t="s">
        <v>824</v>
      </c>
    </row>
    <row customHeight="1" ht="16.672500000000003" hidden="1">
      <c r="E90" s="794">
        <v>17.1</v>
      </c>
      <c r="F90" s="919" cm="1" t="str">
        <f t="array" ref="F90:F90">OFFSET(G90,-1,-1)</f>
        <v>0</v>
      </c>
      <c r="L90" s="919" cm="1" t="str">
        <f t="array" ref="L90:L90">OFFSET(M90,-1,-1)</f>
        <v>false</v>
      </c>
      <c r="R90" s="919" t="s">
        <v>725</v>
      </c>
      <c r="S90" s="156" cm="1" t="str">
        <f t="array" ref="S90:S90">OFFSET(T90,-1,-1)</f>
        <v>false</v>
      </c>
      <c r="T90" s="156">
        <f>AND(L90,AD90&lt;&gt;"29.0")</f>
        <v>0</v>
      </c>
      <c r="U90" s="816">
        <f>AND(S90,IF(ISBLANK(T90),TRUE,T90))</f>
        <v>0</v>
      </c>
      <c r="X90" s="156" t="s">
        <v>233</v>
      </c>
      <c r="AB90" s="1489"/>
      <c r="AD90" s="157" t="s">
        <v>825</v>
      </c>
      <c r="AE90" s="971"/>
      <c r="AF90" s="622"/>
      <c r="AG90" s="856" t="s">
        <v>805</v>
      </c>
      <c r="AH90" s="86">
        <f>AH$52*AH87</f>
        <v>0</v>
      </c>
      <c r="AI90" s="87">
        <f>AI$52*AI87</f>
        <v>0</v>
      </c>
      <c r="AJ90" s="87">
        <f>AJ$52*AJ87</f>
        <v>0</v>
      </c>
      <c r="AK90" s="87">
        <f>AK$52*AK87</f>
        <v>0</v>
      </c>
      <c r="AL90" s="859">
        <f>AM90+AN90</f>
        <v>0</v>
      </c>
      <c r="AM90" s="87">
        <f>AM$52*AM87</f>
        <v>0</v>
      </c>
      <c r="AN90" s="87">
        <f>AN$52*AN87</f>
        <v>0</v>
      </c>
      <c r="AO90" s="859">
        <f>AP90+AQ90</f>
        <v>0</v>
      </c>
      <c r="AP90" s="976">
        <f>AP$52*AP87</f>
        <v>0</v>
      </c>
      <c r="AQ90" s="976">
        <f>AQ$52*AQ87</f>
        <v>0</v>
      </c>
      <c r="AR90" s="859">
        <f>AS90+AT90</f>
        <v>0</v>
      </c>
      <c r="AS90" s="976">
        <f>AS$52*AS87</f>
        <v>0</v>
      </c>
      <c r="AT90" s="976">
        <f>AT$52*AT87</f>
        <v>0</v>
      </c>
      <c r="AU90" s="859">
        <f>AV90+AW90</f>
        <v>0</v>
      </c>
      <c r="AV90" s="976">
        <f>AV$52*AV87</f>
        <v>0</v>
      </c>
      <c r="AW90" s="976">
        <f>AW$52*AW87</f>
        <v>0</v>
      </c>
      <c r="AX90" s="859">
        <f>AY90+AZ90</f>
        <v>0</v>
      </c>
      <c r="AY90" s="976">
        <f>AY$52*AY87</f>
        <v>0</v>
      </c>
      <c r="AZ90" s="976">
        <f>AZ$52*AZ87</f>
        <v>0</v>
      </c>
      <c r="BA90" s="859">
        <f>BB90+BC90</f>
        <v>0</v>
      </c>
      <c r="BB90" s="87">
        <f>BB$52*BB87</f>
        <v>0</v>
      </c>
      <c r="BC90" s="87">
        <f>BC$52*BC87</f>
        <v>0</v>
      </c>
      <c r="BD90" s="859">
        <f>BE90+BF90</f>
        <v>0</v>
      </c>
      <c r="BE90" s="87">
        <f>BE$52*BE87</f>
        <v>0</v>
      </c>
      <c r="BF90" s="87">
        <f>BF$52*BF87</f>
        <v>0</v>
      </c>
      <c r="BG90" s="859">
        <f>BH90+BI90</f>
        <v>0</v>
      </c>
      <c r="BH90" s="87">
        <f>BH$52*BH87</f>
        <v>0</v>
      </c>
      <c r="BI90" s="87">
        <f>BI$52*BI87</f>
        <v>0</v>
      </c>
      <c r="BJ90" s="859">
        <f>BK90+BL90</f>
        <v>0</v>
      </c>
      <c r="BK90" s="87">
        <f>BK$52*BK87</f>
        <v>0</v>
      </c>
      <c r="BL90" s="87">
        <f>BL$52*BL87</f>
        <v>0</v>
      </c>
      <c r="BM90" s="859">
        <f>BN90+BO90</f>
        <v>0</v>
      </c>
      <c r="BN90" s="87">
        <f>BN$52*BN87</f>
        <v>0</v>
      </c>
      <c r="BO90" s="87">
        <f>BO$52*BO87</f>
        <v>0</v>
      </c>
      <c r="BP90" s="859">
        <f>BQ90+BR90</f>
        <v>0</v>
      </c>
      <c r="BQ90" s="976">
        <f>BQ$52*BQ87</f>
        <v>0</v>
      </c>
      <c r="BR90" s="976">
        <f>BR$52*BR87</f>
        <v>0</v>
      </c>
      <c r="BS90" s="859">
        <f>BT90+BU90</f>
        <v>0</v>
      </c>
      <c r="BT90" s="976">
        <f>BT$52*BT87</f>
        <v>0</v>
      </c>
      <c r="BU90" s="976">
        <f>BU$52*BU87</f>
        <v>0</v>
      </c>
      <c r="BV90" s="859">
        <f>BW90+BX90</f>
        <v>0</v>
      </c>
      <c r="BW90" s="976">
        <f>BW$52*BW87</f>
        <v>0</v>
      </c>
      <c r="BX90" s="976">
        <f>BX$52*BX87</f>
        <v>0</v>
      </c>
      <c r="BY90" s="859">
        <f>BZ90+CA90</f>
        <v>0</v>
      </c>
      <c r="BZ90" s="976">
        <f>BZ$52*BZ87</f>
        <v>0</v>
      </c>
      <c r="CA90" s="976">
        <f>CA$52*CA87</f>
        <v>0</v>
      </c>
      <c r="CB90" s="859">
        <f>CC90+CD90</f>
        <v>0</v>
      </c>
      <c r="CC90" s="976">
        <f>CC$52*CC87</f>
        <v>0</v>
      </c>
      <c r="CD90" s="976">
        <f>CD$52*CD87</f>
        <v>0</v>
      </c>
      <c r="CE90" s="859">
        <f>CF90+CG90</f>
        <v>0</v>
      </c>
      <c r="CF90" s="87">
        <f>CF$52*CF87</f>
        <v>0</v>
      </c>
      <c r="CG90" s="87">
        <f>CG$52*CG87</f>
        <v>0</v>
      </c>
      <c r="CH90" s="859">
        <f>CI90+CJ90</f>
        <v>0</v>
      </c>
      <c r="CI90" s="87">
        <f>CI$52*CI87</f>
        <v>0</v>
      </c>
      <c r="CJ90" s="87">
        <f>CJ$52*CJ87</f>
        <v>0</v>
      </c>
      <c r="CK90" s="859">
        <f>CL90+CM90</f>
        <v>0</v>
      </c>
      <c r="CL90" s="87">
        <f>CL$52*CL87</f>
        <v>0</v>
      </c>
      <c r="CM90" s="87">
        <f>CM$52*CM87</f>
        <v>0</v>
      </c>
      <c r="CN90" s="859">
        <f>CO90+CP90</f>
        <v>0</v>
      </c>
      <c r="CO90" s="87">
        <f>CO$52*CO87</f>
        <v>0</v>
      </c>
      <c r="CP90" s="87">
        <f>CP$52*CP87</f>
        <v>0</v>
      </c>
      <c r="CQ90" s="859">
        <f>CR90+CS90</f>
        <v>0</v>
      </c>
      <c r="CR90" s="87">
        <f>CR$52*CR87</f>
        <v>0</v>
      </c>
      <c r="CS90" s="87">
        <f>CS$52*CS87</f>
        <v>0</v>
      </c>
      <c r="CT90" s="73"/>
      <c r="CW90" s="1170" t="s">
        <v>824</v>
      </c>
      <c r="CX90" s="1175" t="s">
        <v>787</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235</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1"/>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826</v>
      </c>
      <c r="AD92" s="170" t="s">
        <v>827</v>
      </c>
      <c r="AE92" s="1494" t="s">
        <v>828</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3"/>
      <c r="CW92" s="1170" t="s">
        <v>829</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233</v>
      </c>
      <c r="AB93" s="1492"/>
      <c r="AD93" s="157" t="s">
        <v>830</v>
      </c>
      <c r="AE93" s="971"/>
      <c r="AF93" s="622"/>
      <c r="AG93" s="856" t="s">
        <v>490</v>
      </c>
      <c r="AH93" s="90"/>
      <c r="AI93" s="94"/>
      <c r="AJ93" s="94"/>
      <c r="AK93" s="94"/>
      <c r="AL93" s="860"/>
      <c r="AM93" s="94"/>
      <c r="AN93" s="94"/>
      <c r="AO93" s="860"/>
      <c r="AP93" s="981"/>
      <c r="AQ93" s="981"/>
      <c r="AR93" s="860"/>
      <c r="AS93" s="981"/>
      <c r="AT93" s="981"/>
      <c r="AU93" s="860"/>
      <c r="AV93" s="981"/>
      <c r="AW93" s="981"/>
      <c r="AX93" s="860"/>
      <c r="AY93" s="981"/>
      <c r="AZ93" s="981"/>
      <c r="BA93" s="860"/>
      <c r="BB93" s="94"/>
      <c r="BC93" s="94"/>
      <c r="BD93" s="860"/>
      <c r="BE93" s="94"/>
      <c r="BF93" s="94"/>
      <c r="BG93" s="860"/>
      <c r="BH93" s="94"/>
      <c r="BI93" s="94"/>
      <c r="BJ93" s="860"/>
      <c r="BK93" s="94"/>
      <c r="BL93" s="94"/>
      <c r="BM93" s="860"/>
      <c r="BN93" s="94"/>
      <c r="BO93" s="94"/>
      <c r="BP93" s="860"/>
      <c r="BQ93" s="981"/>
      <c r="BR93" s="981"/>
      <c r="BS93" s="860"/>
      <c r="BT93" s="981"/>
      <c r="BU93" s="981"/>
      <c r="BV93" s="860"/>
      <c r="BW93" s="981"/>
      <c r="BX93" s="981"/>
      <c r="BY93" s="860"/>
      <c r="BZ93" s="981"/>
      <c r="CA93" s="981"/>
      <c r="CB93" s="860"/>
      <c r="CC93" s="981"/>
      <c r="CD93" s="981"/>
      <c r="CE93" s="860"/>
      <c r="CF93" s="94"/>
      <c r="CG93" s="94"/>
      <c r="CH93" s="860"/>
      <c r="CI93" s="94"/>
      <c r="CJ93" s="94"/>
      <c r="CK93" s="860"/>
      <c r="CL93" s="94"/>
      <c r="CM93" s="94"/>
      <c r="CN93" s="860"/>
      <c r="CO93" s="94"/>
      <c r="CP93" s="94"/>
      <c r="CQ93" s="860"/>
      <c r="CR93" s="94"/>
      <c r="CS93" s="94"/>
      <c r="CT93" s="73"/>
      <c r="CW93" s="1170" t="s">
        <v>829</v>
      </c>
      <c r="CX93" s="1175" t="s">
        <v>787</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235</v>
      </c>
      <c r="AF94" s="871"/>
      <c r="AG94" s="856"/>
      <c r="AH94" s="873"/>
      <c r="AI94" s="95"/>
      <c r="AJ94" s="95"/>
      <c r="AK94" s="95"/>
      <c r="AL94" s="860"/>
      <c r="AM94" s="95"/>
      <c r="AN94" s="95"/>
      <c r="AO94" s="860"/>
      <c r="AP94" s="95"/>
      <c r="AQ94" s="95"/>
      <c r="AR94" s="860"/>
      <c r="AS94" s="95"/>
      <c r="AT94" s="95"/>
      <c r="AU94" s="860"/>
      <c r="AV94" s="95"/>
      <c r="AW94" s="95"/>
      <c r="AX94" s="860"/>
      <c r="AY94" s="95"/>
      <c r="AZ94" s="95"/>
      <c r="BA94" s="860"/>
      <c r="BB94" s="95"/>
      <c r="BC94" s="95"/>
      <c r="BD94" s="860"/>
      <c r="BE94" s="95"/>
      <c r="BF94" s="95"/>
      <c r="BG94" s="860"/>
      <c r="BH94" s="95"/>
      <c r="BI94" s="95"/>
      <c r="BJ94" s="860"/>
      <c r="BK94" s="95"/>
      <c r="BL94" s="95"/>
      <c r="BM94" s="860"/>
      <c r="BN94" s="95"/>
      <c r="BO94" s="95"/>
      <c r="BP94" s="860"/>
      <c r="BQ94" s="95"/>
      <c r="BR94" s="95"/>
      <c r="BS94" s="860"/>
      <c r="BT94" s="95"/>
      <c r="BU94" s="95"/>
      <c r="BV94" s="860"/>
      <c r="BW94" s="95"/>
      <c r="BX94" s="95"/>
      <c r="BY94" s="860"/>
      <c r="BZ94" s="95"/>
      <c r="CA94" s="95"/>
      <c r="CB94" s="860"/>
      <c r="CC94" s="95"/>
      <c r="CD94" s="95"/>
      <c r="CE94" s="860"/>
      <c r="CF94" s="95"/>
      <c r="CG94" s="95"/>
      <c r="CH94" s="860"/>
      <c r="CI94" s="95"/>
      <c r="CJ94" s="95"/>
      <c r="CK94" s="860"/>
      <c r="CL94" s="95"/>
      <c r="CM94" s="95"/>
      <c r="CN94" s="860"/>
      <c r="CO94" s="95"/>
      <c r="CP94" s="95"/>
      <c r="CQ94" s="860"/>
      <c r="CR94" s="95"/>
      <c r="CS94" s="95"/>
      <c r="CT94" s="91"/>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831</v>
      </c>
      <c r="AE95" s="1494" t="s">
        <v>832</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3"/>
      <c r="CW95" s="1170" t="s">
        <v>833</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233</v>
      </c>
      <c r="AB96" s="1492"/>
      <c r="AD96" s="157" t="s">
        <v>834</v>
      </c>
      <c r="AE96" s="971"/>
      <c r="AF96" s="622"/>
      <c r="AG96" s="1067" t="str">
        <f>"руб./"&amp;_xlfn.IFERROR(INDEX(fuel_ed_izm_list,MATCH(AE96,fuel_list,0)),"")</f>
        <v>руб./</v>
      </c>
      <c r="AH96" s="86">
        <f>_xlfn.IFERROR(AH100/AH64,0)*1000</f>
        <v>0</v>
      </c>
      <c r="AI96" s="86">
        <f>_xlfn.IFERROR(AI100/AI64,0)*1000</f>
        <v>0</v>
      </c>
      <c r="AJ96" s="86">
        <f>_xlfn.IFERROR(AJ100/AJ64,0)*1000</f>
        <v>0</v>
      </c>
      <c r="AK96" s="86">
        <f>_xlfn.IFERROR(AK100/AK64,0)*1000</f>
        <v>0</v>
      </c>
      <c r="AL96" s="859">
        <f>_xlfn.IFERROR(AL100/AL64,0)*1000</f>
        <v>0</v>
      </c>
      <c r="AM96" s="87"/>
      <c r="AN96" s="87"/>
      <c r="AO96" s="859">
        <f>_xlfn.IFERROR(AO100/AO64,0)*1000</f>
        <v>0</v>
      </c>
      <c r="AP96" s="976"/>
      <c r="AQ96" s="976"/>
      <c r="AR96" s="859">
        <f>_xlfn.IFERROR(AR100/AR64,0)*1000</f>
        <v>0</v>
      </c>
      <c r="AS96" s="976"/>
      <c r="AT96" s="976"/>
      <c r="AU96" s="859">
        <f>_xlfn.IFERROR(AU100/AU64,0)*1000</f>
        <v>0</v>
      </c>
      <c r="AV96" s="976"/>
      <c r="AW96" s="976"/>
      <c r="AX96" s="859">
        <f>_xlfn.IFERROR(AX100/AX64,0)*1000</f>
        <v>0</v>
      </c>
      <c r="AY96" s="976"/>
      <c r="AZ96" s="976"/>
      <c r="BA96" s="859">
        <f>_xlfn.IFERROR(BA100/BA64,0)*1000</f>
        <v>0</v>
      </c>
      <c r="BB96" s="87"/>
      <c r="BC96" s="87"/>
      <c r="BD96" s="859">
        <f>_xlfn.IFERROR(BD100/BD64,0)*1000</f>
        <v>0</v>
      </c>
      <c r="BE96" s="87"/>
      <c r="BF96" s="87"/>
      <c r="BG96" s="859">
        <f>_xlfn.IFERROR(BG100/BG64,0)*1000</f>
        <v>0</v>
      </c>
      <c r="BH96" s="87"/>
      <c r="BI96" s="87"/>
      <c r="BJ96" s="859">
        <f>_xlfn.IFERROR(BJ100/BJ64,0)*1000</f>
        <v>0</v>
      </c>
      <c r="BK96" s="87"/>
      <c r="BL96" s="87"/>
      <c r="BM96" s="859">
        <f>_xlfn.IFERROR(BM100/BM64,0)*1000</f>
        <v>0</v>
      </c>
      <c r="BN96" s="87"/>
      <c r="BO96" s="87"/>
      <c r="BP96" s="859">
        <f>_xlfn.IFERROR(BP100/BP64,0)*1000</f>
        <v>0</v>
      </c>
      <c r="BQ96" s="976"/>
      <c r="BR96" s="976"/>
      <c r="BS96" s="859">
        <f>_xlfn.IFERROR(BS100/BS64,0)*1000</f>
        <v>0</v>
      </c>
      <c r="BT96" s="976"/>
      <c r="BU96" s="976"/>
      <c r="BV96" s="859">
        <f>_xlfn.IFERROR(BV100/BV64,0)*1000</f>
        <v>0</v>
      </c>
      <c r="BW96" s="976"/>
      <c r="BX96" s="976"/>
      <c r="BY96" s="859">
        <f>_xlfn.IFERROR(BY100/BY64,0)*1000</f>
        <v>0</v>
      </c>
      <c r="BZ96" s="976"/>
      <c r="CA96" s="976"/>
      <c r="CB96" s="859">
        <f>_xlfn.IFERROR(CB100/CB64,0)*1000</f>
        <v>0</v>
      </c>
      <c r="CC96" s="976"/>
      <c r="CD96" s="976"/>
      <c r="CE96" s="859">
        <f>_xlfn.IFERROR(CE100/CE64,0)*1000</f>
        <v>0</v>
      </c>
      <c r="CF96" s="87"/>
      <c r="CG96" s="87"/>
      <c r="CH96" s="859">
        <f>_xlfn.IFERROR(CH100/CH64,0)*1000</f>
        <v>0</v>
      </c>
      <c r="CI96" s="87"/>
      <c r="CJ96" s="87"/>
      <c r="CK96" s="859">
        <f>_xlfn.IFERROR(CK100/CK64,0)*1000</f>
        <v>0</v>
      </c>
      <c r="CL96" s="87"/>
      <c r="CM96" s="87"/>
      <c r="CN96" s="859">
        <f>_xlfn.IFERROR(CN100/CN64,0)*1000</f>
        <v>0</v>
      </c>
      <c r="CO96" s="87"/>
      <c r="CP96" s="87"/>
      <c r="CQ96" s="859">
        <f>_xlfn.IFERROR(CQ100/CQ64,0)*1000</f>
        <v>0</v>
      </c>
      <c r="CR96" s="87"/>
      <c r="CS96" s="87"/>
      <c r="CT96" s="73"/>
      <c r="CW96" s="1170" t="s">
        <v>833</v>
      </c>
      <c r="CX96" s="1175" t="s">
        <v>787</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235</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1"/>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835</v>
      </c>
      <c r="AE98" s="1494" t="s">
        <v>836</v>
      </c>
      <c r="AF98" s="320"/>
      <c r="AG98" s="856" t="s">
        <v>805</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3"/>
      <c r="CW98" s="1170" t="s">
        <v>837</v>
      </c>
    </row>
    <row customHeight="1" ht="16.672500000000003" hidden="1">
      <c r="E99" s="794">
        <v>17.1</v>
      </c>
      <c r="F99" s="919" cm="1" t="str">
        <f t="array" ref="F99:F99">OFFSET(G99,-1,-1)</f>
        <v>0</v>
      </c>
      <c r="L99" s="919" cm="1" t="str">
        <f t="array" ref="L99:L99">OFFSET(M99,-1,-1)</f>
        <v>false</v>
      </c>
      <c r="R99" s="919" t="s">
        <v>725</v>
      </c>
      <c r="S99" s="156" cm="1" t="str">
        <f t="array" ref="S99:S99">OFFSET(T99,-1,-1)</f>
        <v>false</v>
      </c>
      <c r="T99" s="919" t="b">
        <v>0</v>
      </c>
      <c r="U99" s="816">
        <f>AND(S99,IF(ISBLANK(T99),TRUE,T99))</f>
        <v>0</v>
      </c>
      <c r="AB99" s="1492"/>
      <c r="AD99" s="157" t="str">
        <f>AD98&amp;".0"</f>
        <v>32.0</v>
      </c>
      <c r="AE99" s="1346" t="s">
        <v>736</v>
      </c>
      <c r="AF99" s="161"/>
      <c r="AG99" s="856" t="s">
        <v>805</v>
      </c>
      <c r="AH99" s="86">
        <f>AH52*AH98</f>
        <v>0</v>
      </c>
      <c r="AI99" s="87">
        <f>AI$52*AI98</f>
        <v>0</v>
      </c>
      <c r="AJ99" s="87">
        <f>AJ$52*AJ98</f>
        <v>0</v>
      </c>
      <c r="AK99" s="87">
        <f>AK$52*AK98</f>
        <v>0</v>
      </c>
      <c r="AL99" s="859">
        <f>AM99+AN99</f>
        <v>0</v>
      </c>
      <c r="AM99" s="87">
        <f>AM$52*AM98</f>
        <v>0</v>
      </c>
      <c r="AN99" s="87">
        <f>AN$52*AN98</f>
        <v>0</v>
      </c>
      <c r="AO99" s="859">
        <f>AP99+AQ99</f>
        <v>0</v>
      </c>
      <c r="AP99" s="976">
        <f>AP$52*AP98</f>
        <v>0</v>
      </c>
      <c r="AQ99" s="976">
        <f>AQ$52*AQ98</f>
        <v>0</v>
      </c>
      <c r="AR99" s="859">
        <f>AS99+AT99</f>
        <v>0</v>
      </c>
      <c r="AS99" s="976">
        <f>AS$52*AS98</f>
        <v>0</v>
      </c>
      <c r="AT99" s="976">
        <f>AT$52*AT98</f>
        <v>0</v>
      </c>
      <c r="AU99" s="859">
        <f>AV99+AW99</f>
        <v>0</v>
      </c>
      <c r="AV99" s="976">
        <f>AV$52*AV98</f>
        <v>0</v>
      </c>
      <c r="AW99" s="976">
        <f>AW$52*AW98</f>
        <v>0</v>
      </c>
      <c r="AX99" s="859">
        <f>AY99+AZ99</f>
        <v>0</v>
      </c>
      <c r="AY99" s="976">
        <f>AY$52*AY98</f>
        <v>0</v>
      </c>
      <c r="AZ99" s="976">
        <f>AZ$52*AZ98</f>
        <v>0</v>
      </c>
      <c r="BA99" s="859">
        <f>BB99+BC99</f>
        <v>0</v>
      </c>
      <c r="BB99" s="87">
        <f>BB$52*BB98</f>
        <v>0</v>
      </c>
      <c r="BC99" s="87">
        <f>BC$52*BC98</f>
        <v>0</v>
      </c>
      <c r="BD99" s="859">
        <f>BE99+BF99</f>
        <v>0</v>
      </c>
      <c r="BE99" s="87">
        <f>BE$52*BE98</f>
        <v>0</v>
      </c>
      <c r="BF99" s="87">
        <f>BF$52*BF98</f>
        <v>0</v>
      </c>
      <c r="BG99" s="859">
        <f>BH99+BI99</f>
        <v>0</v>
      </c>
      <c r="BH99" s="87">
        <f>BH$52*BH98</f>
        <v>0</v>
      </c>
      <c r="BI99" s="87">
        <f>BI$52*BI98</f>
        <v>0</v>
      </c>
      <c r="BJ99" s="859">
        <f>BK99+BL99</f>
        <v>0</v>
      </c>
      <c r="BK99" s="87">
        <f>BK$52*BK98</f>
        <v>0</v>
      </c>
      <c r="BL99" s="87">
        <f>BL$52*BL98</f>
        <v>0</v>
      </c>
      <c r="BM99" s="859">
        <f>BN99+BO99</f>
        <v>0</v>
      </c>
      <c r="BN99" s="87">
        <f>BN$52*BN98</f>
        <v>0</v>
      </c>
      <c r="BO99" s="87">
        <f>BO$52*BO98</f>
        <v>0</v>
      </c>
      <c r="BP99" s="859">
        <f>BQ99+BR99</f>
        <v>0</v>
      </c>
      <c r="BQ99" s="976">
        <f>BQ$52*BQ98</f>
        <v>0</v>
      </c>
      <c r="BR99" s="976">
        <f>BR$52*BR98</f>
        <v>0</v>
      </c>
      <c r="BS99" s="859">
        <f>BT99+BU99</f>
        <v>0</v>
      </c>
      <c r="BT99" s="976">
        <f>BT$52*BT98</f>
        <v>0</v>
      </c>
      <c r="BU99" s="976">
        <f>BU$52*BU98</f>
        <v>0</v>
      </c>
      <c r="BV99" s="859">
        <f>BW99+BX99</f>
        <v>0</v>
      </c>
      <c r="BW99" s="976">
        <f>BW$52*BW98</f>
        <v>0</v>
      </c>
      <c r="BX99" s="976">
        <f>BX$52*BX98</f>
        <v>0</v>
      </c>
      <c r="BY99" s="859">
        <f>BZ99+CA99</f>
        <v>0</v>
      </c>
      <c r="BZ99" s="976">
        <f>BZ$52*BZ98</f>
        <v>0</v>
      </c>
      <c r="CA99" s="976">
        <f>CA$52*CA98</f>
        <v>0</v>
      </c>
      <c r="CB99" s="859">
        <f>CC99+CD99</f>
        <v>0</v>
      </c>
      <c r="CC99" s="976">
        <f>CC$52*CC98</f>
        <v>0</v>
      </c>
      <c r="CD99" s="976">
        <f>CD$52*CD98</f>
        <v>0</v>
      </c>
      <c r="CE99" s="859">
        <f>CF99+CG99</f>
        <v>0</v>
      </c>
      <c r="CF99" s="87">
        <f>CF$52*CF98</f>
        <v>0</v>
      </c>
      <c r="CG99" s="87">
        <f>CG$52*CG98</f>
        <v>0</v>
      </c>
      <c r="CH99" s="859">
        <f>CI99+CJ99</f>
        <v>0</v>
      </c>
      <c r="CI99" s="87">
        <f>CI$52*CI98</f>
        <v>0</v>
      </c>
      <c r="CJ99" s="87">
        <f>CJ$52*CJ98</f>
        <v>0</v>
      </c>
      <c r="CK99" s="859">
        <f>CL99+CM99</f>
        <v>0</v>
      </c>
      <c r="CL99" s="87">
        <f>CL$52*CL98</f>
        <v>0</v>
      </c>
      <c r="CM99" s="87">
        <f>CM$52*CM98</f>
        <v>0</v>
      </c>
      <c r="CN99" s="859">
        <f>CO99+CP99</f>
        <v>0</v>
      </c>
      <c r="CO99" s="87">
        <f>CO$52*CO98</f>
        <v>0</v>
      </c>
      <c r="CP99" s="87">
        <f>CP$52*CP98</f>
        <v>0</v>
      </c>
      <c r="CQ99" s="859">
        <f>CR99+CS99</f>
        <v>0</v>
      </c>
      <c r="CR99" s="87">
        <f>CR$52*CR98</f>
        <v>0</v>
      </c>
      <c r="CS99" s="87">
        <f>CS$52*CS98</f>
        <v>0</v>
      </c>
      <c r="CT99" s="73"/>
      <c r="CW99" s="1170" t="s">
        <v>838</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233</v>
      </c>
      <c r="AB100" s="1492"/>
      <c r="AD100" s="157" t="s">
        <v>839</v>
      </c>
      <c r="AE100" s="971"/>
      <c r="AF100" s="622"/>
      <c r="AG100" s="856" t="s">
        <v>805</v>
      </c>
      <c r="AH100" s="86"/>
      <c r="AI100" s="87"/>
      <c r="AJ100" s="87"/>
      <c r="AK100" s="87"/>
      <c r="AL100" s="859">
        <f>AM100+AN100</f>
        <v>0</v>
      </c>
      <c r="AM100" s="87">
        <f>AM96*AM64/1000</f>
        <v>0</v>
      </c>
      <c r="AN100" s="87">
        <f>AN96*AN64/1000</f>
        <v>0</v>
      </c>
      <c r="AO100" s="859">
        <f>AP100+AQ100</f>
        <v>0</v>
      </c>
      <c r="AP100" s="976">
        <f>AP96*AP64/1000</f>
        <v>0</v>
      </c>
      <c r="AQ100" s="976">
        <f>AQ96*AQ64/1000</f>
        <v>0</v>
      </c>
      <c r="AR100" s="859">
        <f>AS100+AT100</f>
        <v>0</v>
      </c>
      <c r="AS100" s="976">
        <f>AS96*AS64/1000</f>
        <v>0</v>
      </c>
      <c r="AT100" s="976">
        <f>AT96*AT64/1000</f>
        <v>0</v>
      </c>
      <c r="AU100" s="859">
        <f>AV100+AW100</f>
        <v>0</v>
      </c>
      <c r="AV100" s="976">
        <f>AV96*AV64/1000</f>
        <v>0</v>
      </c>
      <c r="AW100" s="976">
        <f>AW96*AW64/1000</f>
        <v>0</v>
      </c>
      <c r="AX100" s="859">
        <f>AY100+AZ100</f>
        <v>0</v>
      </c>
      <c r="AY100" s="976">
        <f>AY96*AY64/1000</f>
        <v>0</v>
      </c>
      <c r="AZ100" s="976">
        <f>AZ96*AZ64/1000</f>
        <v>0</v>
      </c>
      <c r="BA100" s="859">
        <f>BB100+BC100</f>
        <v>0</v>
      </c>
      <c r="BB100" s="87">
        <f>BB96*BB64/1000</f>
        <v>0</v>
      </c>
      <c r="BC100" s="87">
        <f>BC96*BC64/1000</f>
        <v>0</v>
      </c>
      <c r="BD100" s="859">
        <f>BE100+BF100</f>
        <v>0</v>
      </c>
      <c r="BE100" s="87">
        <f>BE96*BE64/1000</f>
        <v>0</v>
      </c>
      <c r="BF100" s="87">
        <f>BF96*BF64/1000</f>
        <v>0</v>
      </c>
      <c r="BG100" s="859">
        <f>BH100+BI100</f>
        <v>0</v>
      </c>
      <c r="BH100" s="87">
        <f>BH96*BH64/1000</f>
        <v>0</v>
      </c>
      <c r="BI100" s="87">
        <f>BI96*BI64/1000</f>
        <v>0</v>
      </c>
      <c r="BJ100" s="859">
        <f>BK100+BL100</f>
        <v>0</v>
      </c>
      <c r="BK100" s="87">
        <f>BK96*BK64/1000</f>
        <v>0</v>
      </c>
      <c r="BL100" s="87">
        <f>BL96*BL64/1000</f>
        <v>0</v>
      </c>
      <c r="BM100" s="859">
        <f>BN100+BO100</f>
        <v>0</v>
      </c>
      <c r="BN100" s="87">
        <f>BN96*BN64/1000</f>
        <v>0</v>
      </c>
      <c r="BO100" s="87">
        <f>BO96*BO64/1000</f>
        <v>0</v>
      </c>
      <c r="BP100" s="859">
        <f>BQ100+BR100</f>
        <v>0</v>
      </c>
      <c r="BQ100" s="976">
        <f>BQ96*BQ64/1000</f>
        <v>0</v>
      </c>
      <c r="BR100" s="976">
        <f>BR96*BR64/1000</f>
        <v>0</v>
      </c>
      <c r="BS100" s="859">
        <f>BT100+BU100</f>
        <v>0</v>
      </c>
      <c r="BT100" s="976">
        <f>BT96*BT64/1000</f>
        <v>0</v>
      </c>
      <c r="BU100" s="976">
        <f>BU96*BU64/1000</f>
        <v>0</v>
      </c>
      <c r="BV100" s="859">
        <f>BW100+BX100</f>
        <v>0</v>
      </c>
      <c r="BW100" s="976">
        <f>BW96*BW64/1000</f>
        <v>0</v>
      </c>
      <c r="BX100" s="976">
        <f>BX96*BX64/1000</f>
        <v>0</v>
      </c>
      <c r="BY100" s="859">
        <f>BZ100+CA100</f>
        <v>0</v>
      </c>
      <c r="BZ100" s="976">
        <f>BZ96*BZ64/1000</f>
        <v>0</v>
      </c>
      <c r="CA100" s="976">
        <f>CA96*CA64/1000</f>
        <v>0</v>
      </c>
      <c r="CB100" s="859">
        <f>CC100+CD100</f>
        <v>0</v>
      </c>
      <c r="CC100" s="976">
        <f>CC96*CC64/1000</f>
        <v>0</v>
      </c>
      <c r="CD100" s="976">
        <f>CD96*CD64/1000</f>
        <v>0</v>
      </c>
      <c r="CE100" s="859">
        <f>CF100+CG100</f>
        <v>0</v>
      </c>
      <c r="CF100" s="87">
        <f>CF96*CF64/1000</f>
        <v>0</v>
      </c>
      <c r="CG100" s="87">
        <f>CG96*CG64/1000</f>
        <v>0</v>
      </c>
      <c r="CH100" s="859">
        <f>CI100+CJ100</f>
        <v>0</v>
      </c>
      <c r="CI100" s="87">
        <f>CI96*CI64/1000</f>
        <v>0</v>
      </c>
      <c r="CJ100" s="87">
        <f>CJ96*CJ64/1000</f>
        <v>0</v>
      </c>
      <c r="CK100" s="859">
        <f>CL100+CM100</f>
        <v>0</v>
      </c>
      <c r="CL100" s="87">
        <f>CL96*CL64/1000</f>
        <v>0</v>
      </c>
      <c r="CM100" s="87">
        <f>CM96*CM64/1000</f>
        <v>0</v>
      </c>
      <c r="CN100" s="859">
        <f>CO100+CP100</f>
        <v>0</v>
      </c>
      <c r="CO100" s="87">
        <f>CO96*CO64/1000</f>
        <v>0</v>
      </c>
      <c r="CP100" s="87">
        <f>CP96*CP64/1000</f>
        <v>0</v>
      </c>
      <c r="CQ100" s="859">
        <f>CR100+CS100</f>
        <v>0</v>
      </c>
      <c r="CR100" s="87">
        <f>CR96*CR64/1000</f>
        <v>0</v>
      </c>
      <c r="CS100" s="87">
        <f>CS96*CS64/1000</f>
        <v>0</v>
      </c>
      <c r="CT100" s="73"/>
      <c r="CW100" s="1170" t="s">
        <v>838</v>
      </c>
      <c r="CX100" s="1175" t="s">
        <v>787</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235</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1"/>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725</v>
      </c>
      <c r="S102" s="156" cm="1" t="str">
        <f t="array" ref="S102:S102">OFFSET(T102,-1,-1)</f>
        <v>false</v>
      </c>
      <c r="T102" s="156" cm="1" t="str">
        <f t="array" ref="T102:T102">L102</f>
        <v>false</v>
      </c>
      <c r="U102" s="816">
        <f>AND(S102,IF(ISBLANK(T102),TRUE,T102))</f>
        <v>0</v>
      </c>
      <c r="AB102" s="1492"/>
      <c r="AD102" s="170" t="s">
        <v>840</v>
      </c>
      <c r="AE102" s="1499" t="s">
        <v>841</v>
      </c>
      <c r="AF102" s="160"/>
      <c r="AG102" s="856" t="s">
        <v>805</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3"/>
      <c r="CW102" s="1170" t="s">
        <v>842</v>
      </c>
    </row>
    <row customHeight="1" ht="16.672500000000003" hidden="1">
      <c r="E103" s="794">
        <v>17.1</v>
      </c>
      <c r="F103" s="919" cm="1" t="str">
        <f t="array" ref="F103:F103">OFFSET(G103,-1,-1)</f>
        <v>0</v>
      </c>
      <c r="L103" s="919" cm="1" t="str">
        <f t="array" ref="L103:L103">OFFSET(M103,-1,-1)</f>
        <v>false</v>
      </c>
      <c r="R103" s="919" t="s">
        <v>725</v>
      </c>
      <c r="S103" s="156" cm="1" t="str">
        <f t="array" ref="S103:S103">OFFSET(T103,-1,-1)</f>
        <v>false</v>
      </c>
      <c r="T103" s="156">
        <f>AND(L103,AD103&lt;&gt;"33.0")</f>
        <v>0</v>
      </c>
      <c r="U103" s="816">
        <f>AND(S103,IF(ISBLANK(T103),TRUE,T103))</f>
        <v>0</v>
      </c>
      <c r="X103" s="156" t="s">
        <v>233</v>
      </c>
      <c r="AB103" s="1492"/>
      <c r="AD103" s="157" t="s">
        <v>843</v>
      </c>
      <c r="AE103" s="971"/>
      <c r="AF103" s="622"/>
      <c r="AG103" s="856" t="s">
        <v>805</v>
      </c>
      <c r="AH103" s="86">
        <f>AH$52*AH100</f>
        <v>0</v>
      </c>
      <c r="AI103" s="87">
        <f>AI$52*AI100</f>
        <v>0</v>
      </c>
      <c r="AJ103" s="87">
        <f>AJ$52*AJ100</f>
        <v>0</v>
      </c>
      <c r="AK103" s="87">
        <f>AK$52*AK100</f>
        <v>0</v>
      </c>
      <c r="AL103" s="859">
        <f>AM103+AN103</f>
        <v>0</v>
      </c>
      <c r="AM103" s="87">
        <f>AM$52*AM100</f>
        <v>0</v>
      </c>
      <c r="AN103" s="87">
        <f>AN$52*AN100</f>
        <v>0</v>
      </c>
      <c r="AO103" s="859">
        <f>AP103+AQ103</f>
        <v>0</v>
      </c>
      <c r="AP103" s="976">
        <f>AP$52*AP100</f>
        <v>0</v>
      </c>
      <c r="AQ103" s="976">
        <f>AQ$52*AQ100</f>
        <v>0</v>
      </c>
      <c r="AR103" s="859">
        <f>AS103+AT103</f>
        <v>0</v>
      </c>
      <c r="AS103" s="976">
        <f>AS$52*AS100</f>
        <v>0</v>
      </c>
      <c r="AT103" s="976">
        <f>AT$52*AT100</f>
        <v>0</v>
      </c>
      <c r="AU103" s="859">
        <f>AV103+AW103</f>
        <v>0</v>
      </c>
      <c r="AV103" s="976">
        <f>AV$52*AV100</f>
        <v>0</v>
      </c>
      <c r="AW103" s="976">
        <f>AW$52*AW100</f>
        <v>0</v>
      </c>
      <c r="AX103" s="859">
        <f>AY103+AZ103</f>
        <v>0</v>
      </c>
      <c r="AY103" s="976">
        <f>AY$52*AY100</f>
        <v>0</v>
      </c>
      <c r="AZ103" s="976">
        <f>AZ$52*AZ100</f>
        <v>0</v>
      </c>
      <c r="BA103" s="859">
        <f>BB103+BC103</f>
        <v>0</v>
      </c>
      <c r="BB103" s="87">
        <f>BB$52*BB100</f>
        <v>0</v>
      </c>
      <c r="BC103" s="87">
        <f>BC$52*BC100</f>
        <v>0</v>
      </c>
      <c r="BD103" s="859">
        <f>BE103+BF103</f>
        <v>0</v>
      </c>
      <c r="BE103" s="87">
        <f>BE$52*BE100</f>
        <v>0</v>
      </c>
      <c r="BF103" s="87">
        <f>BF$52*BF100</f>
        <v>0</v>
      </c>
      <c r="BG103" s="859">
        <f>BH103+BI103</f>
        <v>0</v>
      </c>
      <c r="BH103" s="87">
        <f>BH$52*BH100</f>
        <v>0</v>
      </c>
      <c r="BI103" s="87">
        <f>BI$52*BI100</f>
        <v>0</v>
      </c>
      <c r="BJ103" s="859">
        <f>BK103+BL103</f>
        <v>0</v>
      </c>
      <c r="BK103" s="87">
        <f>BK$52*BK100</f>
        <v>0</v>
      </c>
      <c r="BL103" s="87">
        <f>BL$52*BL100</f>
        <v>0</v>
      </c>
      <c r="BM103" s="859">
        <f>BN103+BO103</f>
        <v>0</v>
      </c>
      <c r="BN103" s="87">
        <f>BN$52*BN100</f>
        <v>0</v>
      </c>
      <c r="BO103" s="87">
        <f>BO$52*BO100</f>
        <v>0</v>
      </c>
      <c r="BP103" s="859">
        <f>BQ103+BR103</f>
        <v>0</v>
      </c>
      <c r="BQ103" s="976">
        <f>BQ$52*BQ100</f>
        <v>0</v>
      </c>
      <c r="BR103" s="976">
        <f>BR$52*BR100</f>
        <v>0</v>
      </c>
      <c r="BS103" s="859">
        <f>BT103+BU103</f>
        <v>0</v>
      </c>
      <c r="BT103" s="976">
        <f>BT$52*BT100</f>
        <v>0</v>
      </c>
      <c r="BU103" s="976">
        <f>BU$52*BU100</f>
        <v>0</v>
      </c>
      <c r="BV103" s="859">
        <f>BW103+BX103</f>
        <v>0</v>
      </c>
      <c r="BW103" s="976">
        <f>BW$52*BW100</f>
        <v>0</v>
      </c>
      <c r="BX103" s="976">
        <f>BX$52*BX100</f>
        <v>0</v>
      </c>
      <c r="BY103" s="859">
        <f>BZ103+CA103</f>
        <v>0</v>
      </c>
      <c r="BZ103" s="976">
        <f>BZ$52*BZ100</f>
        <v>0</v>
      </c>
      <c r="CA103" s="976">
        <f>CA$52*CA100</f>
        <v>0</v>
      </c>
      <c r="CB103" s="859">
        <f>CC103+CD103</f>
        <v>0</v>
      </c>
      <c r="CC103" s="976">
        <f>CC$52*CC100</f>
        <v>0</v>
      </c>
      <c r="CD103" s="976">
        <f>CD$52*CD100</f>
        <v>0</v>
      </c>
      <c r="CE103" s="859">
        <f>CF103+CG103</f>
        <v>0</v>
      </c>
      <c r="CF103" s="87">
        <f>CF$52*CF100</f>
        <v>0</v>
      </c>
      <c r="CG103" s="87">
        <f>CG$52*CG100</f>
        <v>0</v>
      </c>
      <c r="CH103" s="859">
        <f>CI103+CJ103</f>
        <v>0</v>
      </c>
      <c r="CI103" s="87">
        <f>CI$52*CI100</f>
        <v>0</v>
      </c>
      <c r="CJ103" s="87">
        <f>CJ$52*CJ100</f>
        <v>0</v>
      </c>
      <c r="CK103" s="859">
        <f>CL103+CM103</f>
        <v>0</v>
      </c>
      <c r="CL103" s="87">
        <f>CL$52*CL100</f>
        <v>0</v>
      </c>
      <c r="CM103" s="87">
        <f>CM$52*CM100</f>
        <v>0</v>
      </c>
      <c r="CN103" s="859">
        <f>CO103+CP103</f>
        <v>0</v>
      </c>
      <c r="CO103" s="87">
        <f>CO$52*CO100</f>
        <v>0</v>
      </c>
      <c r="CP103" s="87">
        <f>CP$52*CP100</f>
        <v>0</v>
      </c>
      <c r="CQ103" s="859">
        <f>CR103+CS103</f>
        <v>0</v>
      </c>
      <c r="CR103" s="87">
        <f>CR$52*CR100</f>
        <v>0</v>
      </c>
      <c r="CS103" s="87">
        <f>CS$52*CS100</f>
        <v>0</v>
      </c>
      <c r="CT103" s="73"/>
      <c r="CW103" s="1170" t="s">
        <v>842</v>
      </c>
      <c r="CX103" s="1175" t="s">
        <v>787</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235</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1"/>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844</v>
      </c>
      <c r="AD105" s="170" t="s">
        <v>845</v>
      </c>
      <c r="AE105" s="1494" t="s">
        <v>846</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3"/>
      <c r="CW105" s="1170" t="s">
        <v>847</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233</v>
      </c>
      <c r="AB106" s="1483"/>
      <c r="AD106" s="157" t="s">
        <v>848</v>
      </c>
      <c r="AE106" s="971"/>
      <c r="AF106" s="622"/>
      <c r="AG106" s="856" t="s">
        <v>490</v>
      </c>
      <c r="AH106" s="90"/>
      <c r="AI106" s="94"/>
      <c r="AJ106" s="94"/>
      <c r="AK106" s="94"/>
      <c r="AL106" s="860"/>
      <c r="AM106" s="94"/>
      <c r="AN106" s="94"/>
      <c r="AO106" s="860"/>
      <c r="AP106" s="981"/>
      <c r="AQ106" s="981"/>
      <c r="AR106" s="860"/>
      <c r="AS106" s="981"/>
      <c r="AT106" s="981"/>
      <c r="AU106" s="860"/>
      <c r="AV106" s="981"/>
      <c r="AW106" s="981"/>
      <c r="AX106" s="860"/>
      <c r="AY106" s="981"/>
      <c r="AZ106" s="981"/>
      <c r="BA106" s="860"/>
      <c r="BB106" s="94"/>
      <c r="BC106" s="94"/>
      <c r="BD106" s="860"/>
      <c r="BE106" s="94"/>
      <c r="BF106" s="94"/>
      <c r="BG106" s="860"/>
      <c r="BH106" s="94"/>
      <c r="BI106" s="94"/>
      <c r="BJ106" s="860"/>
      <c r="BK106" s="94"/>
      <c r="BL106" s="94"/>
      <c r="BM106" s="860"/>
      <c r="BN106" s="94"/>
      <c r="BO106" s="94"/>
      <c r="BP106" s="860"/>
      <c r="BQ106" s="981"/>
      <c r="BR106" s="981"/>
      <c r="BS106" s="860"/>
      <c r="BT106" s="981"/>
      <c r="BU106" s="981"/>
      <c r="BV106" s="860"/>
      <c r="BW106" s="981"/>
      <c r="BX106" s="981"/>
      <c r="BY106" s="860"/>
      <c r="BZ106" s="981"/>
      <c r="CA106" s="981"/>
      <c r="CB106" s="860"/>
      <c r="CC106" s="981"/>
      <c r="CD106" s="981"/>
      <c r="CE106" s="860"/>
      <c r="CF106" s="94"/>
      <c r="CG106" s="94"/>
      <c r="CH106" s="860"/>
      <c r="CI106" s="94"/>
      <c r="CJ106" s="94"/>
      <c r="CK106" s="860"/>
      <c r="CL106" s="94"/>
      <c r="CM106" s="94"/>
      <c r="CN106" s="860"/>
      <c r="CO106" s="94"/>
      <c r="CP106" s="94"/>
      <c r="CQ106" s="860"/>
      <c r="CR106" s="94"/>
      <c r="CS106" s="94"/>
      <c r="CT106" s="73"/>
      <c r="CW106" s="1170" t="s">
        <v>847</v>
      </c>
      <c r="CX106" s="1175" t="s">
        <v>787</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235</v>
      </c>
      <c r="AF107" s="871"/>
      <c r="AG107" s="856"/>
      <c r="AH107" s="873"/>
      <c r="AI107" s="95"/>
      <c r="AJ107" s="95"/>
      <c r="AK107" s="95"/>
      <c r="AL107" s="860"/>
      <c r="AM107" s="95"/>
      <c r="AN107" s="95"/>
      <c r="AO107" s="860"/>
      <c r="AP107" s="95"/>
      <c r="AQ107" s="95"/>
      <c r="AR107" s="860"/>
      <c r="AS107" s="95"/>
      <c r="AT107" s="95"/>
      <c r="AU107" s="860"/>
      <c r="AV107" s="95"/>
      <c r="AW107" s="95"/>
      <c r="AX107" s="860"/>
      <c r="AY107" s="95"/>
      <c r="AZ107" s="95"/>
      <c r="BA107" s="860"/>
      <c r="BB107" s="95"/>
      <c r="BC107" s="95"/>
      <c r="BD107" s="860"/>
      <c r="BE107" s="95"/>
      <c r="BF107" s="95"/>
      <c r="BG107" s="860"/>
      <c r="BH107" s="95"/>
      <c r="BI107" s="95"/>
      <c r="BJ107" s="860"/>
      <c r="BK107" s="95"/>
      <c r="BL107" s="95"/>
      <c r="BM107" s="860"/>
      <c r="BN107" s="95"/>
      <c r="BO107" s="95"/>
      <c r="BP107" s="860"/>
      <c r="BQ107" s="95"/>
      <c r="BR107" s="95"/>
      <c r="BS107" s="860"/>
      <c r="BT107" s="95"/>
      <c r="BU107" s="95"/>
      <c r="BV107" s="860"/>
      <c r="BW107" s="95"/>
      <c r="BX107" s="95"/>
      <c r="BY107" s="860"/>
      <c r="BZ107" s="95"/>
      <c r="CA107" s="95"/>
      <c r="CB107" s="860"/>
      <c r="CC107" s="95"/>
      <c r="CD107" s="95"/>
      <c r="CE107" s="860"/>
      <c r="CF107" s="95"/>
      <c r="CG107" s="95"/>
      <c r="CH107" s="860"/>
      <c r="CI107" s="95"/>
      <c r="CJ107" s="95"/>
      <c r="CK107" s="860"/>
      <c r="CL107" s="95"/>
      <c r="CM107" s="95"/>
      <c r="CN107" s="860"/>
      <c r="CO107" s="95"/>
      <c r="CP107" s="95"/>
      <c r="CQ107" s="860"/>
      <c r="CR107" s="95"/>
      <c r="CS107" s="95"/>
      <c r="CT107" s="91"/>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849</v>
      </c>
      <c r="AE108" s="1494" t="s">
        <v>850</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3"/>
      <c r="CW108" s="1170" t="s">
        <v>851</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233</v>
      </c>
      <c r="AB109" s="1483"/>
      <c r="AD109" s="157" t="s">
        <v>852</v>
      </c>
      <c r="AE109" s="971"/>
      <c r="AF109" s="622"/>
      <c r="AG109" s="1067"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59">
        <f>_xlfn.IFERROR(AL113/AL64,0)*1000</f>
        <v>0</v>
      </c>
      <c r="AM109" s="87"/>
      <c r="AN109" s="87"/>
      <c r="AO109" s="859">
        <f>_xlfn.IFERROR(AO113/AO64,0)*1000</f>
        <v>0</v>
      </c>
      <c r="AP109" s="976"/>
      <c r="AQ109" s="976"/>
      <c r="AR109" s="859">
        <f>_xlfn.IFERROR(AR113/AR64,0)*1000</f>
        <v>0</v>
      </c>
      <c r="AS109" s="976"/>
      <c r="AT109" s="976"/>
      <c r="AU109" s="859">
        <f>_xlfn.IFERROR(AU113/AU64,0)*1000</f>
        <v>0</v>
      </c>
      <c r="AV109" s="976"/>
      <c r="AW109" s="976"/>
      <c r="AX109" s="859">
        <f>_xlfn.IFERROR(AX113/AX64,0)*1000</f>
        <v>0</v>
      </c>
      <c r="AY109" s="976"/>
      <c r="AZ109" s="976"/>
      <c r="BA109" s="859">
        <f>_xlfn.IFERROR(BA113/BA64,0)*1000</f>
        <v>0</v>
      </c>
      <c r="BB109" s="87"/>
      <c r="BC109" s="87"/>
      <c r="BD109" s="859">
        <f>_xlfn.IFERROR(BD113/BD64,0)*1000</f>
        <v>0</v>
      </c>
      <c r="BE109" s="87"/>
      <c r="BF109" s="87"/>
      <c r="BG109" s="859">
        <f>_xlfn.IFERROR(BG113/BG64,0)*1000</f>
        <v>0</v>
      </c>
      <c r="BH109" s="87"/>
      <c r="BI109" s="87"/>
      <c r="BJ109" s="859">
        <f>_xlfn.IFERROR(BJ113/BJ64,0)*1000</f>
        <v>0</v>
      </c>
      <c r="BK109" s="87"/>
      <c r="BL109" s="87"/>
      <c r="BM109" s="859">
        <f>_xlfn.IFERROR(BM113/BM64,0)*1000</f>
        <v>0</v>
      </c>
      <c r="BN109" s="87"/>
      <c r="BO109" s="87"/>
      <c r="BP109" s="859">
        <f>_xlfn.IFERROR(BP113/BP64,0)*1000</f>
        <v>0</v>
      </c>
      <c r="BQ109" s="976"/>
      <c r="BR109" s="976"/>
      <c r="BS109" s="859">
        <f>_xlfn.IFERROR(BS113/BS64,0)*1000</f>
        <v>0</v>
      </c>
      <c r="BT109" s="976"/>
      <c r="BU109" s="976"/>
      <c r="BV109" s="859">
        <f>_xlfn.IFERROR(BV113/BV64,0)*1000</f>
        <v>0</v>
      </c>
      <c r="BW109" s="976"/>
      <c r="BX109" s="976"/>
      <c r="BY109" s="859">
        <f>_xlfn.IFERROR(BY113/BY64,0)*1000</f>
        <v>0</v>
      </c>
      <c r="BZ109" s="976"/>
      <c r="CA109" s="976"/>
      <c r="CB109" s="859">
        <f>_xlfn.IFERROR(CB113/CB64,0)*1000</f>
        <v>0</v>
      </c>
      <c r="CC109" s="976"/>
      <c r="CD109" s="976"/>
      <c r="CE109" s="859">
        <f>_xlfn.IFERROR(CE113/CE64,0)*1000</f>
        <v>0</v>
      </c>
      <c r="CF109" s="87"/>
      <c r="CG109" s="87"/>
      <c r="CH109" s="859">
        <f>_xlfn.IFERROR(CH113/CH64,0)*1000</f>
        <v>0</v>
      </c>
      <c r="CI109" s="87"/>
      <c r="CJ109" s="87"/>
      <c r="CK109" s="859">
        <f>_xlfn.IFERROR(CK113/CK64,0)*1000</f>
        <v>0</v>
      </c>
      <c r="CL109" s="87"/>
      <c r="CM109" s="87"/>
      <c r="CN109" s="859">
        <f>_xlfn.IFERROR(CN113/CN64,0)*1000</f>
        <v>0</v>
      </c>
      <c r="CO109" s="87"/>
      <c r="CP109" s="87"/>
      <c r="CQ109" s="859">
        <f>_xlfn.IFERROR(CQ113/CQ64,0)*1000</f>
        <v>0</v>
      </c>
      <c r="CR109" s="87"/>
      <c r="CS109" s="87"/>
      <c r="CT109" s="73"/>
      <c r="CW109" s="1170" t="s">
        <v>851</v>
      </c>
      <c r="CX109" s="1175" t="s">
        <v>787</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235</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1"/>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853</v>
      </c>
      <c r="AE111" s="1494" t="s">
        <v>854</v>
      </c>
      <c r="AF111" s="320"/>
      <c r="AG111" s="856" t="s">
        <v>805</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3"/>
      <c r="CW111" s="1170" t="s">
        <v>855</v>
      </c>
    </row>
    <row customHeight="1" ht="16.672500000000003" hidden="1">
      <c r="E112" s="794">
        <v>17.1</v>
      </c>
      <c r="F112" s="919" cm="1" t="str">
        <f t="array" ref="F112:F112">OFFSET(G112,-1,-1)</f>
        <v>0</v>
      </c>
      <c r="L112" s="919" cm="1" t="str">
        <f t="array" ref="L112:L112">OFFSET(M112,-1,-1)</f>
        <v>false</v>
      </c>
      <c r="R112" s="919" t="s">
        <v>725</v>
      </c>
      <c r="S112" s="156" cm="1" t="str">
        <f t="array" ref="S112:S112">OFFSET(T112,-1,-1)</f>
        <v>false</v>
      </c>
      <c r="T112" s="919" t="b">
        <v>0</v>
      </c>
      <c r="U112" s="816">
        <f>AND(S112,IF(ISBLANK(T112),TRUE,T112))</f>
        <v>0</v>
      </c>
      <c r="AB112" s="1483"/>
      <c r="AD112" s="157" t="str">
        <f>AD111&amp;".0"</f>
        <v>36.0</v>
      </c>
      <c r="AE112" s="1346" t="s">
        <v>736</v>
      </c>
      <c r="AF112" s="161"/>
      <c r="AG112" s="856" t="s">
        <v>805</v>
      </c>
      <c r="AH112" s="86">
        <f>AH$52*AH111</f>
        <v>0</v>
      </c>
      <c r="AI112" s="87">
        <f>AI$52*AI111</f>
        <v>0</v>
      </c>
      <c r="AJ112" s="87">
        <f>AJ$52*AJ111</f>
        <v>0</v>
      </c>
      <c r="AK112" s="87">
        <f>AK$52*AK111</f>
        <v>0</v>
      </c>
      <c r="AL112" s="859">
        <f>AM112+AN112</f>
        <v>0</v>
      </c>
      <c r="AM112" s="87">
        <f>AM$52*AM111</f>
        <v>0</v>
      </c>
      <c r="AN112" s="87">
        <f>AN$52*AN111</f>
        <v>0</v>
      </c>
      <c r="AO112" s="859">
        <f>AP112+AQ112</f>
        <v>0</v>
      </c>
      <c r="AP112" s="976">
        <f>AP$52*AP111</f>
        <v>0</v>
      </c>
      <c r="AQ112" s="976">
        <f>AQ$52*AQ111</f>
        <v>0</v>
      </c>
      <c r="AR112" s="859">
        <f>AS112+AT112</f>
        <v>0</v>
      </c>
      <c r="AS112" s="976">
        <f>AS$52*AS111</f>
        <v>0</v>
      </c>
      <c r="AT112" s="976">
        <f>AT$52*AT111</f>
        <v>0</v>
      </c>
      <c r="AU112" s="859">
        <f>AV112+AW112</f>
        <v>0</v>
      </c>
      <c r="AV112" s="976">
        <f>AV$52*AV111</f>
        <v>0</v>
      </c>
      <c r="AW112" s="976">
        <f>AW$52*AW111</f>
        <v>0</v>
      </c>
      <c r="AX112" s="859">
        <f>AY112+AZ112</f>
        <v>0</v>
      </c>
      <c r="AY112" s="976">
        <f>AY$52*AY111</f>
        <v>0</v>
      </c>
      <c r="AZ112" s="976">
        <f>AZ$52*AZ111</f>
        <v>0</v>
      </c>
      <c r="BA112" s="859">
        <f>BB112+BC112</f>
        <v>0</v>
      </c>
      <c r="BB112" s="87">
        <f>BB$52*BB111</f>
        <v>0</v>
      </c>
      <c r="BC112" s="87">
        <f>BC$52*BC111</f>
        <v>0</v>
      </c>
      <c r="BD112" s="859">
        <f>BE112+BF112</f>
        <v>0</v>
      </c>
      <c r="BE112" s="87">
        <f>BE$52*BE111</f>
        <v>0</v>
      </c>
      <c r="BF112" s="87">
        <f>BF$52*BF111</f>
        <v>0</v>
      </c>
      <c r="BG112" s="859">
        <f>BH112+BI112</f>
        <v>0</v>
      </c>
      <c r="BH112" s="87">
        <f>BH$52*BH111</f>
        <v>0</v>
      </c>
      <c r="BI112" s="87">
        <f>BI$52*BI111</f>
        <v>0</v>
      </c>
      <c r="BJ112" s="859">
        <f>BK112+BL112</f>
        <v>0</v>
      </c>
      <c r="BK112" s="87">
        <f>BK$52*BK111</f>
        <v>0</v>
      </c>
      <c r="BL112" s="87">
        <f>BL$52*BL111</f>
        <v>0</v>
      </c>
      <c r="BM112" s="859">
        <f>BN112+BO112</f>
        <v>0</v>
      </c>
      <c r="BN112" s="87">
        <f>BN$52*BN111</f>
        <v>0</v>
      </c>
      <c r="BO112" s="87">
        <f>BO$52*BO111</f>
        <v>0</v>
      </c>
      <c r="BP112" s="859">
        <f>BQ112+BR112</f>
        <v>0</v>
      </c>
      <c r="BQ112" s="976">
        <f>BQ$52*BQ111</f>
        <v>0</v>
      </c>
      <c r="BR112" s="976">
        <f>BR$52*BR111</f>
        <v>0</v>
      </c>
      <c r="BS112" s="859">
        <f>BT112+BU112</f>
        <v>0</v>
      </c>
      <c r="BT112" s="976">
        <f>BT$52*BT111</f>
        <v>0</v>
      </c>
      <c r="BU112" s="976">
        <f>BU$52*BU111</f>
        <v>0</v>
      </c>
      <c r="BV112" s="859">
        <f>BW112+BX112</f>
        <v>0</v>
      </c>
      <c r="BW112" s="976">
        <f>BW$52*BW111</f>
        <v>0</v>
      </c>
      <c r="BX112" s="976">
        <f>BX$52*BX111</f>
        <v>0</v>
      </c>
      <c r="BY112" s="859">
        <f>BZ112+CA112</f>
        <v>0</v>
      </c>
      <c r="BZ112" s="976">
        <f>BZ$52*BZ111</f>
        <v>0</v>
      </c>
      <c r="CA112" s="976">
        <f>CA$52*CA111</f>
        <v>0</v>
      </c>
      <c r="CB112" s="859">
        <f>CC112+CD112</f>
        <v>0</v>
      </c>
      <c r="CC112" s="976">
        <f>CC$52*CC111</f>
        <v>0</v>
      </c>
      <c r="CD112" s="976">
        <f>CD$52*CD111</f>
        <v>0</v>
      </c>
      <c r="CE112" s="859">
        <f>CF112+CG112</f>
        <v>0</v>
      </c>
      <c r="CF112" s="87">
        <f>CF$52*CF111</f>
        <v>0</v>
      </c>
      <c r="CG112" s="87">
        <f>CG$52*CG111</f>
        <v>0</v>
      </c>
      <c r="CH112" s="859">
        <f>CI112+CJ112</f>
        <v>0</v>
      </c>
      <c r="CI112" s="87">
        <f>CI$52*CI111</f>
        <v>0</v>
      </c>
      <c r="CJ112" s="87">
        <f>CJ$52*CJ111</f>
        <v>0</v>
      </c>
      <c r="CK112" s="859">
        <f>CL112+CM112</f>
        <v>0</v>
      </c>
      <c r="CL112" s="87">
        <f>CL$52*CL111</f>
        <v>0</v>
      </c>
      <c r="CM112" s="87">
        <f>CM$52*CM111</f>
        <v>0</v>
      </c>
      <c r="CN112" s="859">
        <f>CO112+CP112</f>
        <v>0</v>
      </c>
      <c r="CO112" s="87">
        <f>CO$52*CO111</f>
        <v>0</v>
      </c>
      <c r="CP112" s="87">
        <f>CP$52*CP111</f>
        <v>0</v>
      </c>
      <c r="CQ112" s="859">
        <f>CR112+CS112</f>
        <v>0</v>
      </c>
      <c r="CR112" s="87">
        <f>CR$52*CR111</f>
        <v>0</v>
      </c>
      <c r="CS112" s="87">
        <f>CS$52*CS111</f>
        <v>0</v>
      </c>
      <c r="CT112" s="73"/>
      <c r="CW112" s="1170" t="s">
        <v>856</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233</v>
      </c>
      <c r="AB113" s="1483"/>
      <c r="AD113" s="157" t="s">
        <v>857</v>
      </c>
      <c r="AE113" s="971"/>
      <c r="AF113" s="622"/>
      <c r="AG113" s="856" t="s">
        <v>805</v>
      </c>
      <c r="AH113" s="86"/>
      <c r="AI113" s="87"/>
      <c r="AJ113" s="87"/>
      <c r="AK113" s="87"/>
      <c r="AL113" s="859">
        <f>AM113+AN113</f>
        <v>0</v>
      </c>
      <c r="AM113" s="87">
        <f>AM109*AM64/1000</f>
        <v>0</v>
      </c>
      <c r="AN113" s="87">
        <f>AN109*AN64/1000</f>
        <v>0</v>
      </c>
      <c r="AO113" s="859">
        <f>AP113+AQ113</f>
        <v>0</v>
      </c>
      <c r="AP113" s="976">
        <f>AP109*AP64/1000</f>
        <v>0</v>
      </c>
      <c r="AQ113" s="976">
        <f>AQ109*AQ64/1000</f>
        <v>0</v>
      </c>
      <c r="AR113" s="859">
        <f>AS113+AT113</f>
        <v>0</v>
      </c>
      <c r="AS113" s="976">
        <f>AS109*AS64/1000</f>
        <v>0</v>
      </c>
      <c r="AT113" s="976">
        <f>AT109*AT64/1000</f>
        <v>0</v>
      </c>
      <c r="AU113" s="859">
        <f>AV113+AW113</f>
        <v>0</v>
      </c>
      <c r="AV113" s="976">
        <f>AV109*AV64/1000</f>
        <v>0</v>
      </c>
      <c r="AW113" s="976">
        <f>AW109*AW64/1000</f>
        <v>0</v>
      </c>
      <c r="AX113" s="859">
        <f>AY113+AZ113</f>
        <v>0</v>
      </c>
      <c r="AY113" s="976">
        <f>AY109*AY64/1000</f>
        <v>0</v>
      </c>
      <c r="AZ113" s="976">
        <f>AZ109*AZ64/1000</f>
        <v>0</v>
      </c>
      <c r="BA113" s="859">
        <f>BB113+BC113</f>
        <v>0</v>
      </c>
      <c r="BB113" s="87">
        <f>BB109*BB64/1000</f>
        <v>0</v>
      </c>
      <c r="BC113" s="87">
        <f>BC109*BC64/1000</f>
        <v>0</v>
      </c>
      <c r="BD113" s="859">
        <f>BE113+BF113</f>
        <v>0</v>
      </c>
      <c r="BE113" s="87">
        <f>BE109*BE64/1000</f>
        <v>0</v>
      </c>
      <c r="BF113" s="87">
        <f>BF109*BF64/1000</f>
        <v>0</v>
      </c>
      <c r="BG113" s="859">
        <f>BH113+BI113</f>
        <v>0</v>
      </c>
      <c r="BH113" s="87">
        <f>BH109*BH64/1000</f>
        <v>0</v>
      </c>
      <c r="BI113" s="87">
        <f>BI109*BI64/1000</f>
        <v>0</v>
      </c>
      <c r="BJ113" s="859">
        <f>BK113+BL113</f>
        <v>0</v>
      </c>
      <c r="BK113" s="87">
        <f>BK109*BK64/1000</f>
        <v>0</v>
      </c>
      <c r="BL113" s="87">
        <f>BL109*BL64/1000</f>
        <v>0</v>
      </c>
      <c r="BM113" s="859">
        <f>BN113+BO113</f>
        <v>0</v>
      </c>
      <c r="BN113" s="87">
        <f>BN109*BN64/1000</f>
        <v>0</v>
      </c>
      <c r="BO113" s="87">
        <f>BO109*BO64/1000</f>
        <v>0</v>
      </c>
      <c r="BP113" s="859">
        <f>BQ113+BR113</f>
        <v>0</v>
      </c>
      <c r="BQ113" s="976">
        <f>BQ109*BQ64/1000</f>
        <v>0</v>
      </c>
      <c r="BR113" s="976">
        <f>BR109*BR64/1000</f>
        <v>0</v>
      </c>
      <c r="BS113" s="859">
        <f>BT113+BU113</f>
        <v>0</v>
      </c>
      <c r="BT113" s="976">
        <f>BT109*BT64/1000</f>
        <v>0</v>
      </c>
      <c r="BU113" s="976">
        <f>BU109*BU64/1000</f>
        <v>0</v>
      </c>
      <c r="BV113" s="859">
        <f>BW113+BX113</f>
        <v>0</v>
      </c>
      <c r="BW113" s="976">
        <f>BW109*BW64/1000</f>
        <v>0</v>
      </c>
      <c r="BX113" s="976">
        <f>BX109*BX64/1000</f>
        <v>0</v>
      </c>
      <c r="BY113" s="859">
        <f>BZ113+CA113</f>
        <v>0</v>
      </c>
      <c r="BZ113" s="976">
        <f>BZ109*BZ64/1000</f>
        <v>0</v>
      </c>
      <c r="CA113" s="976">
        <f>CA109*CA64/1000</f>
        <v>0</v>
      </c>
      <c r="CB113" s="859">
        <f>CC113+CD113</f>
        <v>0</v>
      </c>
      <c r="CC113" s="976">
        <f>CC109*CC64/1000</f>
        <v>0</v>
      </c>
      <c r="CD113" s="976">
        <f>CD109*CD64/1000</f>
        <v>0</v>
      </c>
      <c r="CE113" s="859">
        <f>CF113+CG113</f>
        <v>0</v>
      </c>
      <c r="CF113" s="87">
        <f>CF109*CF64/1000</f>
        <v>0</v>
      </c>
      <c r="CG113" s="87">
        <f>CG109*CG64/1000</f>
        <v>0</v>
      </c>
      <c r="CH113" s="859">
        <f>CI113+CJ113</f>
        <v>0</v>
      </c>
      <c r="CI113" s="87">
        <f>CI109*CI64/1000</f>
        <v>0</v>
      </c>
      <c r="CJ113" s="87">
        <f>CJ109*CJ64/1000</f>
        <v>0</v>
      </c>
      <c r="CK113" s="859">
        <f>CL113+CM113</f>
        <v>0</v>
      </c>
      <c r="CL113" s="87">
        <f>CL109*CL64/1000</f>
        <v>0</v>
      </c>
      <c r="CM113" s="87">
        <f>CM109*CM64/1000</f>
        <v>0</v>
      </c>
      <c r="CN113" s="859">
        <f>CO113+CP113</f>
        <v>0</v>
      </c>
      <c r="CO113" s="87">
        <f>CO109*CO64/1000</f>
        <v>0</v>
      </c>
      <c r="CP113" s="87">
        <f>CP109*CP64/1000</f>
        <v>0</v>
      </c>
      <c r="CQ113" s="859">
        <f>CR113+CS113</f>
        <v>0</v>
      </c>
      <c r="CR113" s="87">
        <f>CR109*CR64/1000</f>
        <v>0</v>
      </c>
      <c r="CS113" s="87">
        <f>CS109*CS64/1000</f>
        <v>0</v>
      </c>
      <c r="CT113" s="73"/>
      <c r="CW113" s="1170" t="s">
        <v>856</v>
      </c>
      <c r="CX113" s="1175" t="s">
        <v>787</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235</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1"/>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725</v>
      </c>
      <c r="S115" s="156" cm="1" t="str">
        <f t="array" ref="S115:S115">OFFSET(T115,-1,-1)</f>
        <v>false</v>
      </c>
      <c r="T115" s="156" cm="1" t="str">
        <f t="array" ref="T115:T115">L115</f>
        <v>false</v>
      </c>
      <c r="U115" s="816">
        <f>AND(S115,IF(ISBLANK(T115),TRUE,T115))</f>
        <v>0</v>
      </c>
      <c r="AB115" s="1483"/>
      <c r="AD115" s="170" t="s">
        <v>858</v>
      </c>
      <c r="AE115" s="1499" t="s">
        <v>859</v>
      </c>
      <c r="AF115" s="160"/>
      <c r="AG115" s="856" t="s">
        <v>805</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3"/>
      <c r="CW115" s="1170" t="s">
        <v>860</v>
      </c>
    </row>
    <row customHeight="1" ht="16.672500000000003" hidden="1">
      <c r="E116" s="794">
        <v>17.1</v>
      </c>
      <c r="F116" s="919" cm="1" t="str">
        <f t="array" ref="F116:F116">OFFSET(G116,-1,-1)</f>
        <v>0</v>
      </c>
      <c r="L116" s="919" cm="1" t="str">
        <f t="array" ref="L116:L116">OFFSET(M116,-1,-1)</f>
        <v>false</v>
      </c>
      <c r="R116" s="919" t="s">
        <v>725</v>
      </c>
      <c r="S116" s="156" cm="1" t="str">
        <f t="array" ref="S116:S116">OFFSET(T116,-1,-1)</f>
        <v>false</v>
      </c>
      <c r="T116" s="156">
        <f>AND(L116,AD116&lt;&gt;"37.0")</f>
        <v>0</v>
      </c>
      <c r="U116" s="816">
        <f>AND(S116,IF(ISBLANK(T116),TRUE,T116))</f>
        <v>0</v>
      </c>
      <c r="X116" s="156" t="s">
        <v>233</v>
      </c>
      <c r="AB116" s="1483"/>
      <c r="AD116" s="157" t="s">
        <v>861</v>
      </c>
      <c r="AE116" s="971"/>
      <c r="AF116" s="622"/>
      <c r="AG116" s="856" t="s">
        <v>805</v>
      </c>
      <c r="AH116" s="86">
        <f>AH$52*AH113</f>
        <v>0</v>
      </c>
      <c r="AI116" s="87">
        <f>AI$52*AI113</f>
        <v>0</v>
      </c>
      <c r="AJ116" s="87">
        <f>AJ$52*AJ113</f>
        <v>0</v>
      </c>
      <c r="AK116" s="87">
        <f>AK$52*AK113</f>
        <v>0</v>
      </c>
      <c r="AL116" s="859">
        <f>AM116+AN116</f>
        <v>0</v>
      </c>
      <c r="AM116" s="87">
        <f>AM$52*AM113</f>
        <v>0</v>
      </c>
      <c r="AN116" s="87">
        <f>AN$52*AN113</f>
        <v>0</v>
      </c>
      <c r="AO116" s="859">
        <f>AP116+AQ116</f>
        <v>0</v>
      </c>
      <c r="AP116" s="976">
        <f>AP$52*AP113</f>
        <v>0</v>
      </c>
      <c r="AQ116" s="976">
        <f>AQ$52*AQ113</f>
        <v>0</v>
      </c>
      <c r="AR116" s="859">
        <f>AS116+AT116</f>
        <v>0</v>
      </c>
      <c r="AS116" s="976">
        <f>AS$52*AS113</f>
        <v>0</v>
      </c>
      <c r="AT116" s="976">
        <f>AT$52*AT113</f>
        <v>0</v>
      </c>
      <c r="AU116" s="859">
        <f>AV116+AW116</f>
        <v>0</v>
      </c>
      <c r="AV116" s="976">
        <f>AV$52*AV113</f>
        <v>0</v>
      </c>
      <c r="AW116" s="976">
        <f>AW$52*AW113</f>
        <v>0</v>
      </c>
      <c r="AX116" s="859">
        <f>AY116+AZ116</f>
        <v>0</v>
      </c>
      <c r="AY116" s="976">
        <f>AY$52*AY113</f>
        <v>0</v>
      </c>
      <c r="AZ116" s="976">
        <f>AZ$52*AZ113</f>
        <v>0</v>
      </c>
      <c r="BA116" s="859">
        <f>BB116+BC116</f>
        <v>0</v>
      </c>
      <c r="BB116" s="87">
        <f>BB$52*BB113</f>
        <v>0</v>
      </c>
      <c r="BC116" s="87">
        <f>BC$52*BC113</f>
        <v>0</v>
      </c>
      <c r="BD116" s="859">
        <f>BE116+BF116</f>
        <v>0</v>
      </c>
      <c r="BE116" s="87">
        <f>BE$52*BE113</f>
        <v>0</v>
      </c>
      <c r="BF116" s="87">
        <f>BF$52*BF113</f>
        <v>0</v>
      </c>
      <c r="BG116" s="859">
        <f>BH116+BI116</f>
        <v>0</v>
      </c>
      <c r="BH116" s="87">
        <f>BH$52*BH113</f>
        <v>0</v>
      </c>
      <c r="BI116" s="87">
        <f>BI$52*BI113</f>
        <v>0</v>
      </c>
      <c r="BJ116" s="859">
        <f>BK116+BL116</f>
        <v>0</v>
      </c>
      <c r="BK116" s="87">
        <f>BK$52*BK113</f>
        <v>0</v>
      </c>
      <c r="BL116" s="87">
        <f>BL$52*BL113</f>
        <v>0</v>
      </c>
      <c r="BM116" s="859">
        <f>BN116+BO116</f>
        <v>0</v>
      </c>
      <c r="BN116" s="87">
        <f>BN$52*BN113</f>
        <v>0</v>
      </c>
      <c r="BO116" s="87">
        <f>BO$52*BO113</f>
        <v>0</v>
      </c>
      <c r="BP116" s="859">
        <f>BQ116+BR116</f>
        <v>0</v>
      </c>
      <c r="BQ116" s="976">
        <f>BQ$52*BQ113</f>
        <v>0</v>
      </c>
      <c r="BR116" s="976">
        <f>BR$52*BR113</f>
        <v>0</v>
      </c>
      <c r="BS116" s="859">
        <f>BT116+BU116</f>
        <v>0</v>
      </c>
      <c r="BT116" s="976">
        <f>BT$52*BT113</f>
        <v>0</v>
      </c>
      <c r="BU116" s="976">
        <f>BU$52*BU113</f>
        <v>0</v>
      </c>
      <c r="BV116" s="859">
        <f>BW116+BX116</f>
        <v>0</v>
      </c>
      <c r="BW116" s="976">
        <f>BW$52*BW113</f>
        <v>0</v>
      </c>
      <c r="BX116" s="976">
        <f>BX$52*BX113</f>
        <v>0</v>
      </c>
      <c r="BY116" s="859">
        <f>BZ116+CA116</f>
        <v>0</v>
      </c>
      <c r="BZ116" s="976">
        <f>BZ$52*BZ113</f>
        <v>0</v>
      </c>
      <c r="CA116" s="976">
        <f>CA$52*CA113</f>
        <v>0</v>
      </c>
      <c r="CB116" s="859">
        <f>CC116+CD116</f>
        <v>0</v>
      </c>
      <c r="CC116" s="976">
        <f>CC$52*CC113</f>
        <v>0</v>
      </c>
      <c r="CD116" s="976">
        <f>CD$52*CD113</f>
        <v>0</v>
      </c>
      <c r="CE116" s="859">
        <f>CF116+CG116</f>
        <v>0</v>
      </c>
      <c r="CF116" s="87">
        <f>CF$52*CF113</f>
        <v>0</v>
      </c>
      <c r="CG116" s="87">
        <f>CG$52*CG113</f>
        <v>0</v>
      </c>
      <c r="CH116" s="859">
        <f>CI116+CJ116</f>
        <v>0</v>
      </c>
      <c r="CI116" s="87">
        <f>CI$52*CI113</f>
        <v>0</v>
      </c>
      <c r="CJ116" s="87">
        <f>CJ$52*CJ113</f>
        <v>0</v>
      </c>
      <c r="CK116" s="859">
        <f>CL116+CM116</f>
        <v>0</v>
      </c>
      <c r="CL116" s="87">
        <f>CL$52*CL113</f>
        <v>0</v>
      </c>
      <c r="CM116" s="87">
        <f>CM$52*CM113</f>
        <v>0</v>
      </c>
      <c r="CN116" s="859">
        <f>CO116+CP116</f>
        <v>0</v>
      </c>
      <c r="CO116" s="87">
        <f>CO$52*CO113</f>
        <v>0</v>
      </c>
      <c r="CP116" s="87">
        <f>CP$52*CP113</f>
        <v>0</v>
      </c>
      <c r="CQ116" s="859">
        <f>CR116+CS116</f>
        <v>0</v>
      </c>
      <c r="CR116" s="87">
        <f>CR$52*CR113</f>
        <v>0</v>
      </c>
      <c r="CS116" s="87">
        <f>CS$52*CS113</f>
        <v>0</v>
      </c>
      <c r="CT116" s="73"/>
      <c r="CW116" s="1170" t="s">
        <v>860</v>
      </c>
      <c r="CX116" s="1175" t="s">
        <v>787</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235</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1"/>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862</v>
      </c>
      <c r="AD118" s="170" t="s">
        <v>863</v>
      </c>
      <c r="AE118" s="1494" t="s">
        <v>864</v>
      </c>
      <c r="AF118" s="320"/>
      <c r="AG118" s="856" t="s">
        <v>805</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3"/>
      <c r="CW118" s="1170" t="s">
        <v>865</v>
      </c>
    </row>
    <row customHeight="1" ht="16.672500000000003" hidden="1">
      <c r="E119" s="794">
        <v>17.1</v>
      </c>
      <c r="F119" s="919" cm="1" t="str">
        <f t="array" ref="F119:F119">OFFSET(G119,-1,-1)</f>
        <v>0</v>
      </c>
      <c r="L119" s="919" cm="1" t="str">
        <f t="array" ref="L119:L119">OFFSET(M119,-1,-1)</f>
        <v>false</v>
      </c>
      <c r="R119" s="919" t="s">
        <v>725</v>
      </c>
      <c r="S119" s="156" cm="1" t="str">
        <f t="array" ref="S119:S119">OFFSET(T119,-1,-1)</f>
        <v>false</v>
      </c>
      <c r="T119" s="919" t="b">
        <v>0</v>
      </c>
      <c r="U119" s="816">
        <f>AND(S119,IF(ISBLANK(T119),TRUE,T119))</f>
        <v>0</v>
      </c>
      <c r="AB119" s="1483"/>
      <c r="AD119" s="157" t="str">
        <f>AD118&amp;".0"</f>
        <v>38.0</v>
      </c>
      <c r="AE119" s="1346" t="s">
        <v>736</v>
      </c>
      <c r="AF119" s="161"/>
      <c r="AG119" s="856" t="s">
        <v>805</v>
      </c>
      <c r="AH119" s="86">
        <f>AH$52*AH118</f>
        <v>0</v>
      </c>
      <c r="AI119" s="87">
        <f>AI$52*AI118</f>
        <v>0</v>
      </c>
      <c r="AJ119" s="87">
        <f>AJ$52*AJ118</f>
        <v>0</v>
      </c>
      <c r="AK119" s="87">
        <f>AK$52*AK118</f>
        <v>0</v>
      </c>
      <c r="AL119" s="859">
        <f>AM119+AN119</f>
        <v>0</v>
      </c>
      <c r="AM119" s="87">
        <f>AM$52*AM118</f>
        <v>0</v>
      </c>
      <c r="AN119" s="87">
        <f>AN$52*AN118</f>
        <v>0</v>
      </c>
      <c r="AO119" s="859">
        <f>AP119+AQ119</f>
        <v>0</v>
      </c>
      <c r="AP119" s="976">
        <f>AP$52*AP118</f>
        <v>0</v>
      </c>
      <c r="AQ119" s="976">
        <f>AQ$52*AQ118</f>
        <v>0</v>
      </c>
      <c r="AR119" s="859">
        <f>AS119+AT119</f>
        <v>0</v>
      </c>
      <c r="AS119" s="976">
        <f>AS$52*AS118</f>
        <v>0</v>
      </c>
      <c r="AT119" s="976">
        <f>AT$52*AT118</f>
        <v>0</v>
      </c>
      <c r="AU119" s="859">
        <f>AV119+AW119</f>
        <v>0</v>
      </c>
      <c r="AV119" s="976">
        <f>AV$52*AV118</f>
        <v>0</v>
      </c>
      <c r="AW119" s="976">
        <f>AW$52*AW118</f>
        <v>0</v>
      </c>
      <c r="AX119" s="859">
        <f>AY119+AZ119</f>
        <v>0</v>
      </c>
      <c r="AY119" s="976">
        <f>AY$52*AY118</f>
        <v>0</v>
      </c>
      <c r="AZ119" s="976">
        <f>AZ$52*AZ118</f>
        <v>0</v>
      </c>
      <c r="BA119" s="859">
        <f>BB119+BC119</f>
        <v>0</v>
      </c>
      <c r="BB119" s="87">
        <f>BB$52*BB118</f>
        <v>0</v>
      </c>
      <c r="BC119" s="87">
        <f>BC$52*BC118</f>
        <v>0</v>
      </c>
      <c r="BD119" s="859">
        <f>BE119+BF119</f>
        <v>0</v>
      </c>
      <c r="BE119" s="87">
        <f>BE$52*BE118</f>
        <v>0</v>
      </c>
      <c r="BF119" s="87">
        <f>BF$52*BF118</f>
        <v>0</v>
      </c>
      <c r="BG119" s="859">
        <f>BH119+BI119</f>
        <v>0</v>
      </c>
      <c r="BH119" s="87">
        <f>BH$52*BH118</f>
        <v>0</v>
      </c>
      <c r="BI119" s="87">
        <f>BI$52*BI118</f>
        <v>0</v>
      </c>
      <c r="BJ119" s="859">
        <f>BK119+BL119</f>
        <v>0</v>
      </c>
      <c r="BK119" s="87">
        <f>BK$52*BK118</f>
        <v>0</v>
      </c>
      <c r="BL119" s="87">
        <f>BL$52*BL118</f>
        <v>0</v>
      </c>
      <c r="BM119" s="859">
        <f>BN119+BO119</f>
        <v>0</v>
      </c>
      <c r="BN119" s="87">
        <f>BN$52*BN118</f>
        <v>0</v>
      </c>
      <c r="BO119" s="87">
        <f>BO$52*BO118</f>
        <v>0</v>
      </c>
      <c r="BP119" s="859">
        <f>BQ119+BR119</f>
        <v>0</v>
      </c>
      <c r="BQ119" s="976">
        <f>BQ$52*BQ118</f>
        <v>0</v>
      </c>
      <c r="BR119" s="976">
        <f>BR$52*BR118</f>
        <v>0</v>
      </c>
      <c r="BS119" s="859">
        <f>BT119+BU119</f>
        <v>0</v>
      </c>
      <c r="BT119" s="976">
        <f>BT$52*BT118</f>
        <v>0</v>
      </c>
      <c r="BU119" s="976">
        <f>BU$52*BU118</f>
        <v>0</v>
      </c>
      <c r="BV119" s="859">
        <f>BW119+BX119</f>
        <v>0</v>
      </c>
      <c r="BW119" s="976">
        <f>BW$52*BW118</f>
        <v>0</v>
      </c>
      <c r="BX119" s="976">
        <f>BX$52*BX118</f>
        <v>0</v>
      </c>
      <c r="BY119" s="859">
        <f>BZ119+CA119</f>
        <v>0</v>
      </c>
      <c r="BZ119" s="976">
        <f>BZ$52*BZ118</f>
        <v>0</v>
      </c>
      <c r="CA119" s="976">
        <f>CA$52*CA118</f>
        <v>0</v>
      </c>
      <c r="CB119" s="859">
        <f>CC119+CD119</f>
        <v>0</v>
      </c>
      <c r="CC119" s="976">
        <f>CC$52*CC118</f>
        <v>0</v>
      </c>
      <c r="CD119" s="976">
        <f>CD$52*CD118</f>
        <v>0</v>
      </c>
      <c r="CE119" s="859">
        <f>CF119+CG119</f>
        <v>0</v>
      </c>
      <c r="CF119" s="87">
        <f>CF$52*CF118</f>
        <v>0</v>
      </c>
      <c r="CG119" s="87">
        <f>CG$52*CG118</f>
        <v>0</v>
      </c>
      <c r="CH119" s="859">
        <f>CI119+CJ119</f>
        <v>0</v>
      </c>
      <c r="CI119" s="87">
        <f>CI$52*CI118</f>
        <v>0</v>
      </c>
      <c r="CJ119" s="87">
        <f>CJ$52*CJ118</f>
        <v>0</v>
      </c>
      <c r="CK119" s="859">
        <f>CL119+CM119</f>
        <v>0</v>
      </c>
      <c r="CL119" s="87">
        <f>CL$52*CL118</f>
        <v>0</v>
      </c>
      <c r="CM119" s="87">
        <f>CM$52*CM118</f>
        <v>0</v>
      </c>
      <c r="CN119" s="859">
        <f>CO119+CP119</f>
        <v>0</v>
      </c>
      <c r="CO119" s="87">
        <f>CO$52*CO118</f>
        <v>0</v>
      </c>
      <c r="CP119" s="87">
        <f>CP$52*CP118</f>
        <v>0</v>
      </c>
      <c r="CQ119" s="859">
        <f>CR119+CS119</f>
        <v>0</v>
      </c>
      <c r="CR119" s="87">
        <f>CR$52*CR118</f>
        <v>0</v>
      </c>
      <c r="CS119" s="87">
        <f>CS$52*CS118</f>
        <v>0</v>
      </c>
      <c r="CT119" s="73"/>
      <c r="CW119" s="1170" t="s">
        <v>866</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233</v>
      </c>
      <c r="AB120" s="1483"/>
      <c r="AD120" s="157" t="s">
        <v>867</v>
      </c>
      <c r="AE120" s="971"/>
      <c r="AF120" s="622"/>
      <c r="AG120" s="856" t="s">
        <v>805</v>
      </c>
      <c r="AH120" s="86"/>
      <c r="AI120" s="87"/>
      <c r="AJ120" s="87"/>
      <c r="AK120" s="87"/>
      <c r="AL120" s="859">
        <f>AM120+AN120</f>
        <v>0</v>
      </c>
      <c r="AM120" s="87"/>
      <c r="AN120" s="87"/>
      <c r="AO120" s="859">
        <f>AP120+AQ120</f>
        <v>0</v>
      </c>
      <c r="AP120" s="976"/>
      <c r="AQ120" s="976"/>
      <c r="AR120" s="859">
        <f>AS120+AT120</f>
        <v>0</v>
      </c>
      <c r="AS120" s="976"/>
      <c r="AT120" s="976"/>
      <c r="AU120" s="859">
        <f>AV120+AW120</f>
        <v>0</v>
      </c>
      <c r="AV120" s="976"/>
      <c r="AW120" s="976"/>
      <c r="AX120" s="859">
        <f>AY120+AZ120</f>
        <v>0</v>
      </c>
      <c r="AY120" s="976"/>
      <c r="AZ120" s="976"/>
      <c r="BA120" s="859">
        <f>BB120+BC120</f>
        <v>0</v>
      </c>
      <c r="BB120" s="87"/>
      <c r="BC120" s="87"/>
      <c r="BD120" s="859">
        <f>BE120+BF120</f>
        <v>0</v>
      </c>
      <c r="BE120" s="87"/>
      <c r="BF120" s="87"/>
      <c r="BG120" s="859">
        <f>BH120+BI120</f>
        <v>0</v>
      </c>
      <c r="BH120" s="87"/>
      <c r="BI120" s="87"/>
      <c r="BJ120" s="859">
        <f>BK120+BL120</f>
        <v>0</v>
      </c>
      <c r="BK120" s="87"/>
      <c r="BL120" s="87"/>
      <c r="BM120" s="859">
        <f>BN120+BO120</f>
        <v>0</v>
      </c>
      <c r="BN120" s="87"/>
      <c r="BO120" s="87"/>
      <c r="BP120" s="859">
        <f>BQ120+BR120</f>
        <v>0</v>
      </c>
      <c r="BQ120" s="976"/>
      <c r="BR120" s="976"/>
      <c r="BS120" s="859">
        <f>BT120+BU120</f>
        <v>0</v>
      </c>
      <c r="BT120" s="976"/>
      <c r="BU120" s="976"/>
      <c r="BV120" s="859">
        <f>BW120+BX120</f>
        <v>0</v>
      </c>
      <c r="BW120" s="976"/>
      <c r="BX120" s="976"/>
      <c r="BY120" s="859">
        <f>BZ120+CA120</f>
        <v>0</v>
      </c>
      <c r="BZ120" s="976"/>
      <c r="CA120" s="976"/>
      <c r="CB120" s="859">
        <f>CC120+CD120</f>
        <v>0</v>
      </c>
      <c r="CC120" s="976"/>
      <c r="CD120" s="976"/>
      <c r="CE120" s="859">
        <f>CF120+CG120</f>
        <v>0</v>
      </c>
      <c r="CF120" s="87"/>
      <c r="CG120" s="87"/>
      <c r="CH120" s="859">
        <f>CI120+CJ120</f>
        <v>0</v>
      </c>
      <c r="CI120" s="87"/>
      <c r="CJ120" s="87"/>
      <c r="CK120" s="859">
        <f>CL120+CM120</f>
        <v>0</v>
      </c>
      <c r="CL120" s="87"/>
      <c r="CM120" s="87"/>
      <c r="CN120" s="859">
        <f>CO120+CP120</f>
        <v>0</v>
      </c>
      <c r="CO120" s="87"/>
      <c r="CP120" s="87"/>
      <c r="CQ120" s="859">
        <f>CR120+CS120</f>
        <v>0</v>
      </c>
      <c r="CR120" s="87"/>
      <c r="CS120" s="87"/>
      <c r="CT120" s="73"/>
      <c r="CW120" s="1170" t="s">
        <v>866</v>
      </c>
      <c r="CX120" s="1175" t="s">
        <v>787</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235</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1"/>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725</v>
      </c>
      <c r="S122" s="156" cm="1" t="str">
        <f t="array" ref="S122:S122">OFFSET(T122,-1,-1)</f>
        <v>false</v>
      </c>
      <c r="T122" s="156" cm="1" t="str">
        <f t="array" ref="T122:T122">L122</f>
        <v>false</v>
      </c>
      <c r="U122" s="816">
        <f>AND(S122,IF(ISBLANK(T122),TRUE,T122))</f>
        <v>0</v>
      </c>
      <c r="AB122" s="1483"/>
      <c r="AD122" s="170" t="s">
        <v>868</v>
      </c>
      <c r="AE122" s="1499" t="s">
        <v>869</v>
      </c>
      <c r="AF122" s="160"/>
      <c r="AG122" s="856" t="s">
        <v>805</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3"/>
      <c r="CW122" s="1170" t="s">
        <v>870</v>
      </c>
    </row>
    <row customHeight="1" ht="16.672500000000003" hidden="1">
      <c r="E123" s="794">
        <v>17.1</v>
      </c>
      <c r="F123" s="919" cm="1" t="str">
        <f t="array" ref="F123:F123">OFFSET(G123,-1,-1)</f>
        <v>0</v>
      </c>
      <c r="L123" s="919" cm="1" t="str">
        <f t="array" ref="L123:L123">OFFSET(M123,-1,-1)</f>
        <v>false</v>
      </c>
      <c r="R123" s="919" t="s">
        <v>725</v>
      </c>
      <c r="S123" s="156" cm="1" t="str">
        <f t="array" ref="S123:S123">OFFSET(T123,-1,-1)</f>
        <v>false</v>
      </c>
      <c r="T123" s="156">
        <f>AND(L123,AD123&lt;&gt;"39.0")</f>
        <v>0</v>
      </c>
      <c r="U123" s="816">
        <f>AND(S123,IF(ISBLANK(T123),TRUE,T123))</f>
        <v>0</v>
      </c>
      <c r="X123" s="156" t="s">
        <v>233</v>
      </c>
      <c r="AB123" s="1483"/>
      <c r="AD123" s="157" t="s">
        <v>871</v>
      </c>
      <c r="AE123" s="971"/>
      <c r="AF123" s="622"/>
      <c r="AG123" s="856" t="s">
        <v>805</v>
      </c>
      <c r="AH123" s="86">
        <f>AH$52*AH120</f>
        <v>0</v>
      </c>
      <c r="AI123" s="87">
        <f>AI$52*AI120</f>
        <v>0</v>
      </c>
      <c r="AJ123" s="87">
        <f>AJ$52*AJ120</f>
        <v>0</v>
      </c>
      <c r="AK123" s="87">
        <f>AK$52*AK120</f>
        <v>0</v>
      </c>
      <c r="AL123" s="859">
        <f>AM123+AN123</f>
        <v>0</v>
      </c>
      <c r="AM123" s="87">
        <f>AM$52*AM120</f>
        <v>0</v>
      </c>
      <c r="AN123" s="87">
        <f>AN$52*AN120</f>
        <v>0</v>
      </c>
      <c r="AO123" s="859">
        <f>AP123+AQ123</f>
        <v>0</v>
      </c>
      <c r="AP123" s="976">
        <f>AP$52*AP120</f>
        <v>0</v>
      </c>
      <c r="AQ123" s="976">
        <f>AQ$52*AQ120</f>
        <v>0</v>
      </c>
      <c r="AR123" s="859">
        <f>AS123+AT123</f>
        <v>0</v>
      </c>
      <c r="AS123" s="976">
        <f>AS$52*AS120</f>
        <v>0</v>
      </c>
      <c r="AT123" s="976">
        <f>AT$52*AT120</f>
        <v>0</v>
      </c>
      <c r="AU123" s="859">
        <f>AV123+AW123</f>
        <v>0</v>
      </c>
      <c r="AV123" s="976">
        <f>AV$52*AV120</f>
        <v>0</v>
      </c>
      <c r="AW123" s="976">
        <f>AW$52*AW120</f>
        <v>0</v>
      </c>
      <c r="AX123" s="859">
        <f>AY123+AZ123</f>
        <v>0</v>
      </c>
      <c r="AY123" s="976">
        <f>AY$52*AY120</f>
        <v>0</v>
      </c>
      <c r="AZ123" s="976">
        <f>AZ$52*AZ120</f>
        <v>0</v>
      </c>
      <c r="BA123" s="859">
        <f>BB123+BC123</f>
        <v>0</v>
      </c>
      <c r="BB123" s="87">
        <f>BB$52*BB120</f>
        <v>0</v>
      </c>
      <c r="BC123" s="87">
        <f>BC$52*BC120</f>
        <v>0</v>
      </c>
      <c r="BD123" s="859">
        <f>BE123+BF123</f>
        <v>0</v>
      </c>
      <c r="BE123" s="87">
        <f>BE$52*BE120</f>
        <v>0</v>
      </c>
      <c r="BF123" s="87">
        <f>BF$52*BF120</f>
        <v>0</v>
      </c>
      <c r="BG123" s="859">
        <f>BH123+BI123</f>
        <v>0</v>
      </c>
      <c r="BH123" s="87">
        <f>BH$52*BH120</f>
        <v>0</v>
      </c>
      <c r="BI123" s="87">
        <f>BI$52*BI120</f>
        <v>0</v>
      </c>
      <c r="BJ123" s="859">
        <f>BK123+BL123</f>
        <v>0</v>
      </c>
      <c r="BK123" s="87">
        <f>BK$52*BK120</f>
        <v>0</v>
      </c>
      <c r="BL123" s="87">
        <f>BL$52*BL120</f>
        <v>0</v>
      </c>
      <c r="BM123" s="859">
        <f>BN123+BO123</f>
        <v>0</v>
      </c>
      <c r="BN123" s="87">
        <f>BN$52*BN120</f>
        <v>0</v>
      </c>
      <c r="BO123" s="87">
        <f>BO$52*BO120</f>
        <v>0</v>
      </c>
      <c r="BP123" s="859">
        <f>BQ123+BR123</f>
        <v>0</v>
      </c>
      <c r="BQ123" s="976">
        <f>BQ$52*BQ120</f>
        <v>0</v>
      </c>
      <c r="BR123" s="976">
        <f>BR$52*BR120</f>
        <v>0</v>
      </c>
      <c r="BS123" s="859">
        <f>BT123+BU123</f>
        <v>0</v>
      </c>
      <c r="BT123" s="976">
        <f>BT$52*BT120</f>
        <v>0</v>
      </c>
      <c r="BU123" s="976">
        <f>BU$52*BU120</f>
        <v>0</v>
      </c>
      <c r="BV123" s="859">
        <f>BW123+BX123</f>
        <v>0</v>
      </c>
      <c r="BW123" s="976">
        <f>BW$52*BW120</f>
        <v>0</v>
      </c>
      <c r="BX123" s="976">
        <f>BX$52*BX120</f>
        <v>0</v>
      </c>
      <c r="BY123" s="859">
        <f>BZ123+CA123</f>
        <v>0</v>
      </c>
      <c r="BZ123" s="976">
        <f>BZ$52*BZ120</f>
        <v>0</v>
      </c>
      <c r="CA123" s="976">
        <f>CA$52*CA120</f>
        <v>0</v>
      </c>
      <c r="CB123" s="859">
        <f>CC123+CD123</f>
        <v>0</v>
      </c>
      <c r="CC123" s="976">
        <f>CC$52*CC120</f>
        <v>0</v>
      </c>
      <c r="CD123" s="976">
        <f>CD$52*CD120</f>
        <v>0</v>
      </c>
      <c r="CE123" s="859">
        <f>CF123+CG123</f>
        <v>0</v>
      </c>
      <c r="CF123" s="87">
        <f>CF$52*CF120</f>
        <v>0</v>
      </c>
      <c r="CG123" s="87">
        <f>CG$52*CG120</f>
        <v>0</v>
      </c>
      <c r="CH123" s="859">
        <f>CI123+CJ123</f>
        <v>0</v>
      </c>
      <c r="CI123" s="87">
        <f>CI$52*CI120</f>
        <v>0</v>
      </c>
      <c r="CJ123" s="87">
        <f>CJ$52*CJ120</f>
        <v>0</v>
      </c>
      <c r="CK123" s="859">
        <f>CL123+CM123</f>
        <v>0</v>
      </c>
      <c r="CL123" s="87">
        <f>CL$52*CL120</f>
        <v>0</v>
      </c>
      <c r="CM123" s="87">
        <f>CM$52*CM120</f>
        <v>0</v>
      </c>
      <c r="CN123" s="859">
        <f>CO123+CP123</f>
        <v>0</v>
      </c>
      <c r="CO123" s="87">
        <f>CO$52*CO120</f>
        <v>0</v>
      </c>
      <c r="CP123" s="87">
        <f>CP$52*CP120</f>
        <v>0</v>
      </c>
      <c r="CQ123" s="859">
        <f>CR123+CS123</f>
        <v>0</v>
      </c>
      <c r="CR123" s="87">
        <f>CR$52*CR120</f>
        <v>0</v>
      </c>
      <c r="CS123" s="87">
        <f>CS$52*CS120</f>
        <v>0</v>
      </c>
      <c r="CT123" s="73"/>
      <c r="CW123" s="1170" t="s">
        <v>870</v>
      </c>
      <c r="CX123" s="1175" t="s">
        <v>787</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235</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1"/>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872</v>
      </c>
      <c r="AD125" s="170" t="s">
        <v>873</v>
      </c>
      <c r="AE125" s="1499" t="s">
        <v>874</v>
      </c>
      <c r="AF125" s="160"/>
      <c r="AG125" s="856" t="s">
        <v>805</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3"/>
      <c r="CW125" s="1170" t="s">
        <v>875</v>
      </c>
    </row>
    <row customHeight="1" ht="16.672500000000003" hidden="1">
      <c r="E126" s="794">
        <v>17.1</v>
      </c>
      <c r="F126" s="919" cm="1" t="str">
        <f t="array" ref="F126:F126">OFFSET(G126,-1,-1)</f>
        <v>0</v>
      </c>
      <c r="G126" s="736" t="str">
        <f>IF(J28="вода+пар","топливо","")</f>
        <v/>
      </c>
      <c r="L126" s="919" cm="1" t="str">
        <f t="array" ref="L126:L126">OFFSET(M126,-1,-1)</f>
        <v>false</v>
      </c>
      <c r="R126" s="919" t="s">
        <v>725</v>
      </c>
      <c r="S126" s="156" cm="1" t="str">
        <f t="array" ref="S126:S126">OFFSET(T126,-1,-1)</f>
        <v>false</v>
      </c>
      <c r="T126" s="156" cm="1" t="str">
        <f t="array" ref="T126:T126">L126</f>
        <v>false</v>
      </c>
      <c r="U126" s="816">
        <f>AND(S126,IF(ISBLANK(T126),TRUE,T126))</f>
        <v>0</v>
      </c>
      <c r="AB126" s="1524"/>
      <c r="AD126" s="157" t="str">
        <f>AD125&amp;".0"</f>
        <v>40.0</v>
      </c>
      <c r="AE126" s="1501" t="s">
        <v>736</v>
      </c>
      <c r="AF126" s="1502"/>
      <c r="AG126" s="856" t="s">
        <v>805</v>
      </c>
      <c r="AH126" s="86">
        <f>AH$52*AH125</f>
        <v>0</v>
      </c>
      <c r="AI126" s="87">
        <f>AI$52*AI125</f>
        <v>0</v>
      </c>
      <c r="AJ126" s="87">
        <f>AJ$52*AJ125</f>
        <v>0</v>
      </c>
      <c r="AK126" s="87">
        <f>AK$52*AK125</f>
        <v>0</v>
      </c>
      <c r="AL126" s="859">
        <f>AM126+AN126</f>
        <v>0</v>
      </c>
      <c r="AM126" s="87">
        <f>AM$52*AM125</f>
        <v>0</v>
      </c>
      <c r="AN126" s="87">
        <f>AN$52*AN125</f>
        <v>0</v>
      </c>
      <c r="AO126" s="859">
        <f>AP126+AQ126</f>
        <v>0</v>
      </c>
      <c r="AP126" s="976">
        <f>AP$52*AP125</f>
        <v>0</v>
      </c>
      <c r="AQ126" s="976">
        <f>AQ$52*AQ125</f>
        <v>0</v>
      </c>
      <c r="AR126" s="859">
        <f>AS126+AT126</f>
        <v>0</v>
      </c>
      <c r="AS126" s="976">
        <f>AS$52*AS125</f>
        <v>0</v>
      </c>
      <c r="AT126" s="976">
        <f>AT$52*AT125</f>
        <v>0</v>
      </c>
      <c r="AU126" s="859">
        <f>AV126+AW126</f>
        <v>0</v>
      </c>
      <c r="AV126" s="976">
        <f>AV$52*AV125</f>
        <v>0</v>
      </c>
      <c r="AW126" s="976">
        <f>AW$52*AW125</f>
        <v>0</v>
      </c>
      <c r="AX126" s="859">
        <f>AY126+AZ126</f>
        <v>0</v>
      </c>
      <c r="AY126" s="976">
        <f>AY$52*AY125</f>
        <v>0</v>
      </c>
      <c r="AZ126" s="976">
        <f>AZ$52*AZ125</f>
        <v>0</v>
      </c>
      <c r="BA126" s="859">
        <f>BB126+BC126</f>
        <v>0</v>
      </c>
      <c r="BB126" s="87">
        <f>BB$52*BB125</f>
        <v>0</v>
      </c>
      <c r="BC126" s="87">
        <f>BC$52*BC125</f>
        <v>0</v>
      </c>
      <c r="BD126" s="859">
        <f>BE126+BF126</f>
        <v>0</v>
      </c>
      <c r="BE126" s="87">
        <f>BE$52*BE125</f>
        <v>0</v>
      </c>
      <c r="BF126" s="87">
        <f>BF$52*BF125</f>
        <v>0</v>
      </c>
      <c r="BG126" s="859">
        <f>BH126+BI126</f>
        <v>0</v>
      </c>
      <c r="BH126" s="87">
        <f>BH$52*BH125</f>
        <v>0</v>
      </c>
      <c r="BI126" s="87">
        <f>BI$52*BI125</f>
        <v>0</v>
      </c>
      <c r="BJ126" s="859">
        <f>BK126+BL126</f>
        <v>0</v>
      </c>
      <c r="BK126" s="87">
        <f>BK$52*BK125</f>
        <v>0</v>
      </c>
      <c r="BL126" s="87">
        <f>BL$52*BL125</f>
        <v>0</v>
      </c>
      <c r="BM126" s="859">
        <f>BN126+BO126</f>
        <v>0</v>
      </c>
      <c r="BN126" s="87">
        <f>BN$52*BN125</f>
        <v>0</v>
      </c>
      <c r="BO126" s="87">
        <f>BO$52*BO125</f>
        <v>0</v>
      </c>
      <c r="BP126" s="859">
        <f>BQ126+BR126</f>
        <v>0</v>
      </c>
      <c r="BQ126" s="976">
        <f>BQ$52*BQ125</f>
        <v>0</v>
      </c>
      <c r="BR126" s="976">
        <f>BR$52*BR125</f>
        <v>0</v>
      </c>
      <c r="BS126" s="859">
        <f>BT126+BU126</f>
        <v>0</v>
      </c>
      <c r="BT126" s="976">
        <f>BT$52*BT125</f>
        <v>0</v>
      </c>
      <c r="BU126" s="976">
        <f>BU$52*BU125</f>
        <v>0</v>
      </c>
      <c r="BV126" s="859">
        <f>BW126+BX126</f>
        <v>0</v>
      </c>
      <c r="BW126" s="976">
        <f>BW$52*BW125</f>
        <v>0</v>
      </c>
      <c r="BX126" s="976">
        <f>BX$52*BX125</f>
        <v>0</v>
      </c>
      <c r="BY126" s="859">
        <f>BZ126+CA126</f>
        <v>0</v>
      </c>
      <c r="BZ126" s="976">
        <f>BZ$52*BZ125</f>
        <v>0</v>
      </c>
      <c r="CA126" s="976">
        <f>CA$52*CA125</f>
        <v>0</v>
      </c>
      <c r="CB126" s="859">
        <f>CC126+CD126</f>
        <v>0</v>
      </c>
      <c r="CC126" s="976">
        <f>CC$52*CC125</f>
        <v>0</v>
      </c>
      <c r="CD126" s="976">
        <f>CD$52*CD125</f>
        <v>0</v>
      </c>
      <c r="CE126" s="859">
        <f>CF126+CG126</f>
        <v>0</v>
      </c>
      <c r="CF126" s="87">
        <f>CF$52*CF125</f>
        <v>0</v>
      </c>
      <c r="CG126" s="87">
        <f>CG$52*CG125</f>
        <v>0</v>
      </c>
      <c r="CH126" s="859">
        <f>CI126+CJ126</f>
        <v>0</v>
      </c>
      <c r="CI126" s="87">
        <f>CI$52*CI125</f>
        <v>0</v>
      </c>
      <c r="CJ126" s="87">
        <f>CJ$52*CJ125</f>
        <v>0</v>
      </c>
      <c r="CK126" s="859">
        <f>CL126+CM126</f>
        <v>0</v>
      </c>
      <c r="CL126" s="87">
        <f>CL$52*CL125</f>
        <v>0</v>
      </c>
      <c r="CM126" s="87">
        <f>CM$52*CM125</f>
        <v>0</v>
      </c>
      <c r="CN126" s="859">
        <f>CO126+CP126</f>
        <v>0</v>
      </c>
      <c r="CO126" s="87">
        <f>CO$52*CO125</f>
        <v>0</v>
      </c>
      <c r="CP126" s="87">
        <f>CP$52*CP125</f>
        <v>0</v>
      </c>
      <c r="CQ126" s="859">
        <f>CR126+CS126</f>
        <v>0</v>
      </c>
      <c r="CR126" s="87">
        <f>CR$52*CR125</f>
        <v>0</v>
      </c>
      <c r="CS126" s="87">
        <f>CS$52*CS125</f>
        <v>0</v>
      </c>
      <c r="CT126" s="73"/>
      <c r="CW126" s="1170" t="s">
        <v>876</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877</v>
      </c>
      <c r="AE127" s="1503" t="s">
        <v>595</v>
      </c>
      <c r="AF127" s="1504"/>
      <c r="AG127" s="1010" t="s">
        <v>805</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3"/>
      <c r="CW127" s="1170" t="s">
        <v>878</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879</v>
      </c>
      <c r="AE128" s="1503" t="s">
        <v>597</v>
      </c>
      <c r="AF128" s="1504"/>
      <c r="AG128" s="1010" t="s">
        <v>805</v>
      </c>
      <c r="AH128" s="96"/>
      <c r="AI128" s="96"/>
      <c r="AJ128" s="96"/>
      <c r="AK128" s="96"/>
      <c r="AL128" s="96"/>
      <c r="AM128" s="96"/>
      <c r="AN128" s="96"/>
      <c r="AO128" s="982"/>
      <c r="AP128" s="982"/>
      <c r="AQ128" s="982"/>
      <c r="AR128" s="982"/>
      <c r="AS128" s="982"/>
      <c r="AT128" s="982"/>
      <c r="AU128" s="982"/>
      <c r="AV128" s="982"/>
      <c r="AW128" s="982"/>
      <c r="AX128" s="982"/>
      <c r="AY128" s="982"/>
      <c r="AZ128" s="982"/>
      <c r="BA128" s="96"/>
      <c r="BB128" s="96"/>
      <c r="BC128" s="96"/>
      <c r="BD128" s="96"/>
      <c r="BE128" s="96"/>
      <c r="BF128" s="96"/>
      <c r="BG128" s="96"/>
      <c r="BH128" s="96"/>
      <c r="BI128" s="96"/>
      <c r="BJ128" s="96"/>
      <c r="BK128" s="96"/>
      <c r="BL128" s="96"/>
      <c r="BM128" s="96"/>
      <c r="BN128" s="96"/>
      <c r="BO128" s="96"/>
      <c r="BP128" s="982"/>
      <c r="BQ128" s="982"/>
      <c r="BR128" s="982"/>
      <c r="BS128" s="982"/>
      <c r="BT128" s="982"/>
      <c r="BU128" s="982"/>
      <c r="BV128" s="982"/>
      <c r="BW128" s="982"/>
      <c r="BX128" s="982"/>
      <c r="BY128" s="982"/>
      <c r="BZ128" s="982"/>
      <c r="CA128" s="982"/>
      <c r="CB128" s="982"/>
      <c r="CC128" s="982"/>
      <c r="CD128" s="982"/>
      <c r="CE128" s="96"/>
      <c r="CF128" s="96"/>
      <c r="CG128" s="96"/>
      <c r="CH128" s="96"/>
      <c r="CI128" s="96"/>
      <c r="CJ128" s="96"/>
      <c r="CK128" s="96"/>
      <c r="CL128" s="96"/>
      <c r="CM128" s="96"/>
      <c r="CN128" s="96"/>
      <c r="CO128" s="96"/>
      <c r="CP128" s="96"/>
      <c r="CQ128" s="96"/>
      <c r="CR128" s="96"/>
      <c r="CS128" s="96"/>
      <c r="CT128" s="73"/>
      <c r="CW128" s="1170" t="s">
        <v>880</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233</v>
      </c>
      <c r="AB129" s="1524"/>
      <c r="AD129" s="157" t="s">
        <v>881</v>
      </c>
      <c r="AE129" s="971"/>
      <c r="AF129" s="622"/>
      <c r="AG129" s="856" t="s">
        <v>805</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3"/>
      <c r="CW129" s="1170" t="s">
        <v>882</v>
      </c>
      <c r="CX129" s="1175" t="s">
        <v>787</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235</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1"/>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883</v>
      </c>
      <c r="AE131" s="1494" t="s">
        <v>884</v>
      </c>
      <c r="AF131" s="320"/>
      <c r="AG131" s="856" t="s">
        <v>885</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3"/>
      <c r="CW131" s="1170" t="s">
        <v>886</v>
      </c>
    </row>
    <row customHeight="1" ht="16.672500000000003" hidden="1">
      <c r="E132" s="794">
        <v>17.1</v>
      </c>
      <c r="F132" s="919" cm="1" t="str">
        <f t="array" ref="F132:F132">OFFSET(G132,-1,-1)</f>
        <v>0</v>
      </c>
      <c r="L132" s="919" cm="1" t="str">
        <f t="array" ref="L132:L132">OFFSET(M132,-1,-1)</f>
        <v>false</v>
      </c>
      <c r="R132" s="919" t="s">
        <v>725</v>
      </c>
      <c r="S132" s="156" cm="1" t="str">
        <f t="array" ref="S132:S132">OFFSET(T132,-1,-1)</f>
        <v>false</v>
      </c>
      <c r="T132" s="156" cm="1" t="str">
        <f t="array" ref="T132:T132">L132</f>
        <v>false</v>
      </c>
      <c r="U132" s="816">
        <f>AND(S132,IF(ISBLANK(T132),TRUE,T132))</f>
        <v>0</v>
      </c>
      <c r="AB132" s="1524"/>
      <c r="AD132" s="157" t="str">
        <f>AD131&amp;".0"</f>
        <v>41.0</v>
      </c>
      <c r="AE132" s="1346" t="s">
        <v>736</v>
      </c>
      <c r="AF132" s="161"/>
      <c r="AG132" s="856" t="s">
        <v>885</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3"/>
      <c r="CW132" s="1170" t="s">
        <v>887</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233</v>
      </c>
      <c r="AB133" s="1524"/>
      <c r="AD133" s="157" t="s">
        <v>888</v>
      </c>
      <c r="AE133" s="971"/>
      <c r="AF133" s="622"/>
      <c r="AG133" s="856" t="s">
        <v>885</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3"/>
      <c r="CW133" s="1170" t="s">
        <v>887</v>
      </c>
      <c r="CX133" s="1175" t="s">
        <v>787</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235</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1"/>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889</v>
      </c>
      <c r="AE135" s="1494" t="s">
        <v>890</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3"/>
      <c r="CW135" s="1170" t="s">
        <v>891</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233</v>
      </c>
      <c r="AB136" s="1524"/>
      <c r="AD136" s="157" t="s">
        <v>892</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3"/>
      <c r="CW136" s="1170" t="s">
        <v>891</v>
      </c>
      <c r="CX136" s="1175" t="s">
        <v>787</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235</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1"/>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893</v>
      </c>
      <c r="AE138" s="1494" t="s">
        <v>894</v>
      </c>
      <c r="AF138" s="320"/>
      <c r="AG138" s="856" t="s">
        <v>895</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3"/>
      <c r="CW138" s="1170" t="s">
        <v>896</v>
      </c>
    </row>
    <row s="1619" customFormat="1" customHeight="1" ht="16.5">
      <c r="A139" s="1440"/>
      <c r="B139" s="924"/>
      <c r="C139" s="1440"/>
      <c r="D139" s="1440"/>
      <c r="E139" s="794">
        <v>17.1</v>
      </c>
      <c r="F139" s="919" cm="1" t="str">
        <f t="array" ref="F139:F139">Y139</f>
        <v>1</v>
      </c>
      <c r="G139" s="210" cm="1" t="str">
        <f t="array" ref="G139:G139">INDEX('Общие сведения'!$AE$169:$AE$218,MATCH($F139,'Общие сведения'!$Z$169:$Z$218,0))</f>
        <v>Теплоснабжение</v>
      </c>
      <c r="H139" s="210" cm="1" t="str">
        <f t="array" ref="H139:H139">INDEX('Общие сведения'!$AK$169:$AK$218,MATCH($F139,'Общие сведения'!$Z$169:$Z$218,0))</f>
        <v>одноставочный</v>
      </c>
      <c r="I139" s="210" cm="1" t="str">
        <f t="array" ref="I139:I139">INDEX('Общие сведения'!$AH$169:$AH$218,MATCH($F139,'Общие сведения'!$Z$169:$Z$218,0))</f>
        <v>0</v>
      </c>
      <c r="J139" s="210" cm="1" t="str">
        <f t="array" ref="J139:J139">INDEX('Общие сведения'!$AI$169:$AI$218,MATCH($F139,'Общие сведения'!$Z$169:$Z$218,0))</f>
        <v>вода</v>
      </c>
      <c r="K139" s="210" cm="1" t="str">
        <f t="array" ref="K139:K139">INDEX('Общие сведения'!$AJ$169:$AJ$218,MATCH($F139,'Общие сведения'!$Z$169:$Z$218,0))</f>
        <v>Тариф: Носитель - горячая вода (Т); Носитель - горячая вода (Т)</v>
      </c>
      <c r="L139" s="211" cm="1" t="str">
        <f t="array" ref="L139:L139">INDEX('Общие сведения'!$AN$169:$AN$218,MATCH($F139,'Общие сведения'!$Z$169:$Z$218,0))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X139" s="1440"/>
      <c r="Y139" s="1518" t="s">
        <v>335</v>
      </c>
      <c r="Z139" s="1440"/>
      <c r="AA139" s="817"/>
      <c r="AB139" s="463" cm="1" t="str">
        <f t="array" ref="AB139:AB139">IF(ISBLANK('Баланс Тр'!$AB$35),"",'Баланс Тр'!$AB$35)</f>
        <v>Тариф 1 (Теплоснабжение) - Тариф на тепловую энергию (мощность), поставляемую потребителям (Тариф: Носитель - горячая вода (Т); Носитель - горячая вода (Т))</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19"/>
      <c r="CV139" s="1619"/>
      <c r="CW139" s="1170" t="str">
        <f>IF(AND(ISNUMBER(VALUE(TRIM(SUBSTITUTE(AD139,".","")))),TRIM(SUBSTITUTE(AD139,".",""))&lt;&gt;""),"P"&amp;SUBSTITUTE(AD139,".",""),"")</f>
        <v/>
      </c>
      <c r="CX139" s="1175"/>
      <c r="CY139" s="1175"/>
      <c r="CZ139" s="1175"/>
      <c r="DA139" s="1176"/>
      <c r="DB139" s="1176"/>
    </row>
    <row s="1619"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725</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726</v>
      </c>
      <c r="AC140" s="1619"/>
      <c r="AD140" s="157">
        <v>1</v>
      </c>
      <c r="AE140" s="1495" t="s">
        <v>727</v>
      </c>
      <c r="AF140" s="165"/>
      <c r="AG140" s="157" t="s">
        <v>728</v>
      </c>
      <c r="AH140" s="86"/>
      <c r="AI140" s="87"/>
      <c r="AJ140" s="87"/>
      <c r="AK140" s="87"/>
      <c r="AL140" s="859">
        <f>AM140+AN140</f>
        <v>0</v>
      </c>
      <c r="AM140" s="87"/>
      <c r="AN140" s="87"/>
      <c r="AO140" s="859">
        <f>AP140+AQ140</f>
        <v>0</v>
      </c>
      <c r="AP140" s="976"/>
      <c r="AQ140" s="976"/>
      <c r="AR140" s="859">
        <f>AS140+AT140</f>
        <v>0</v>
      </c>
      <c r="AS140" s="976"/>
      <c r="AT140" s="976"/>
      <c r="AU140" s="859">
        <f>AV140+AW140</f>
        <v>0</v>
      </c>
      <c r="AV140" s="976"/>
      <c r="AW140" s="976"/>
      <c r="AX140" s="859">
        <f>AY140+AZ140</f>
        <v>0</v>
      </c>
      <c r="AY140" s="976"/>
      <c r="AZ140" s="976"/>
      <c r="BA140" s="859">
        <f>BB140+BC140</f>
        <v>0</v>
      </c>
      <c r="BB140" s="87"/>
      <c r="BC140" s="87"/>
      <c r="BD140" s="859">
        <f>BE140+BF140</f>
        <v>0</v>
      </c>
      <c r="BE140" s="87"/>
      <c r="BF140" s="87"/>
      <c r="BG140" s="859">
        <f>BH140+BI140</f>
        <v>0</v>
      </c>
      <c r="BH140" s="87"/>
      <c r="BI140" s="87"/>
      <c r="BJ140" s="859">
        <f>BK140+BL140</f>
        <v>0</v>
      </c>
      <c r="BK140" s="87"/>
      <c r="BL140" s="87"/>
      <c r="BM140" s="859">
        <f>BN140+BO140</f>
        <v>0</v>
      </c>
      <c r="BN140" s="87"/>
      <c r="BO140" s="87"/>
      <c r="BP140" s="859">
        <f>BQ140+BR140</f>
        <v>0</v>
      </c>
      <c r="BQ140" s="976"/>
      <c r="BR140" s="976"/>
      <c r="BS140" s="859">
        <f>BT140+BU140</f>
        <v>0</v>
      </c>
      <c r="BT140" s="976"/>
      <c r="BU140" s="976"/>
      <c r="BV140" s="859">
        <f>BW140+BX140</f>
        <v>0</v>
      </c>
      <c r="BW140" s="976"/>
      <c r="BX140" s="976"/>
      <c r="BY140" s="859">
        <f>BZ140+CA140</f>
        <v>0</v>
      </c>
      <c r="BZ140" s="976"/>
      <c r="CA140" s="976"/>
      <c r="CB140" s="859">
        <f>CC140+CD140</f>
        <v>0</v>
      </c>
      <c r="CC140" s="976"/>
      <c r="CD140" s="976"/>
      <c r="CE140" s="859">
        <f>CF140+CG140</f>
        <v>0</v>
      </c>
      <c r="CF140" s="87"/>
      <c r="CG140" s="87"/>
      <c r="CH140" s="859">
        <f>CI140+CJ140</f>
        <v>0</v>
      </c>
      <c r="CI140" s="87"/>
      <c r="CJ140" s="87"/>
      <c r="CK140" s="859">
        <f>CL140+CM140</f>
        <v>0</v>
      </c>
      <c r="CL140" s="87"/>
      <c r="CM140" s="87"/>
      <c r="CN140" s="859">
        <f>CO140+CP140</f>
        <v>0</v>
      </c>
      <c r="CO140" s="87"/>
      <c r="CP140" s="87"/>
      <c r="CQ140" s="859">
        <f>CR140+CS140</f>
        <v>0</v>
      </c>
      <c r="CR140" s="87"/>
      <c r="CS140" s="87"/>
      <c r="CT140" s="73"/>
      <c r="CU140" s="1619"/>
      <c r="CV140" s="1619"/>
      <c r="CW140" s="1170" t="s">
        <v>729</v>
      </c>
      <c r="CX140" s="1175"/>
      <c r="CY140" s="1175"/>
      <c r="CZ140" s="1175"/>
      <c r="DA140" s="1176"/>
      <c r="DB140" s="1176"/>
    </row>
    <row s="1619"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725</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19"/>
      <c r="AD141" s="157">
        <v>2</v>
      </c>
      <c r="AE141" s="1495" t="s">
        <v>730</v>
      </c>
      <c r="AF141" s="165"/>
      <c r="AG141" s="157" t="s">
        <v>728</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3"/>
      <c r="CU141" s="1619"/>
      <c r="CV141" s="1619"/>
      <c r="CW141" s="1170" t="s">
        <v>731</v>
      </c>
      <c r="CX141" s="1175"/>
      <c r="CY141" s="1175"/>
      <c r="CZ141" s="1175"/>
      <c r="DA141" s="1176"/>
      <c r="DB141" s="1176"/>
    </row>
    <row s="1619"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725</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19"/>
      <c r="AD142" s="157" t="s">
        <v>448</v>
      </c>
      <c r="AE142" s="1507" t="s">
        <v>732</v>
      </c>
      <c r="AF142" s="162"/>
      <c r="AG142" s="157" t="s">
        <v>728</v>
      </c>
      <c r="AH142" s="86"/>
      <c r="AI142" s="87"/>
      <c r="AJ142" s="87"/>
      <c r="AK142" s="87"/>
      <c r="AL142" s="859">
        <f>AM142+AN142</f>
        <v>0</v>
      </c>
      <c r="AM142" s="87"/>
      <c r="AN142" s="87"/>
      <c r="AO142" s="859">
        <f>AP142+AQ142</f>
        <v>0</v>
      </c>
      <c r="AP142" s="976"/>
      <c r="AQ142" s="976"/>
      <c r="AR142" s="859">
        <f>AS142+AT142</f>
        <v>0</v>
      </c>
      <c r="AS142" s="976"/>
      <c r="AT142" s="976"/>
      <c r="AU142" s="859">
        <f>AV142+AW142</f>
        <v>0</v>
      </c>
      <c r="AV142" s="976"/>
      <c r="AW142" s="976"/>
      <c r="AX142" s="859">
        <f>AY142+AZ142</f>
        <v>0</v>
      </c>
      <c r="AY142" s="976"/>
      <c r="AZ142" s="976"/>
      <c r="BA142" s="859">
        <f>BB142+BC142</f>
        <v>0</v>
      </c>
      <c r="BB142" s="87"/>
      <c r="BC142" s="87"/>
      <c r="BD142" s="859">
        <f>BE142+BF142</f>
        <v>0</v>
      </c>
      <c r="BE142" s="87"/>
      <c r="BF142" s="87"/>
      <c r="BG142" s="859">
        <f>BH142+BI142</f>
        <v>0</v>
      </c>
      <c r="BH142" s="87"/>
      <c r="BI142" s="87"/>
      <c r="BJ142" s="859">
        <f>BK142+BL142</f>
        <v>0</v>
      </c>
      <c r="BK142" s="87"/>
      <c r="BL142" s="87"/>
      <c r="BM142" s="859">
        <f>BN142+BO142</f>
        <v>0</v>
      </c>
      <c r="BN142" s="87"/>
      <c r="BO142" s="87"/>
      <c r="BP142" s="859">
        <f>BQ142+BR142</f>
        <v>0</v>
      </c>
      <c r="BQ142" s="976"/>
      <c r="BR142" s="976"/>
      <c r="BS142" s="859">
        <f>BT142+BU142</f>
        <v>0</v>
      </c>
      <c r="BT142" s="976"/>
      <c r="BU142" s="976"/>
      <c r="BV142" s="859">
        <f>BW142+BX142</f>
        <v>0</v>
      </c>
      <c r="BW142" s="976"/>
      <c r="BX142" s="976"/>
      <c r="BY142" s="859">
        <f>BZ142+CA142</f>
        <v>0</v>
      </c>
      <c r="BZ142" s="976"/>
      <c r="CA142" s="976"/>
      <c r="CB142" s="859">
        <f>CC142+CD142</f>
        <v>0</v>
      </c>
      <c r="CC142" s="976"/>
      <c r="CD142" s="976"/>
      <c r="CE142" s="859">
        <f>CF142+CG142</f>
        <v>0</v>
      </c>
      <c r="CF142" s="87"/>
      <c r="CG142" s="87"/>
      <c r="CH142" s="859">
        <f>CI142+CJ142</f>
        <v>0</v>
      </c>
      <c r="CI142" s="87"/>
      <c r="CJ142" s="87"/>
      <c r="CK142" s="859">
        <f>CL142+CM142</f>
        <v>0</v>
      </c>
      <c r="CL142" s="87"/>
      <c r="CM142" s="87"/>
      <c r="CN142" s="859">
        <f>CO142+CP142</f>
        <v>0</v>
      </c>
      <c r="CO142" s="87"/>
      <c r="CP142" s="87"/>
      <c r="CQ142" s="859">
        <f>CR142+CS142</f>
        <v>0</v>
      </c>
      <c r="CR142" s="87"/>
      <c r="CS142" s="87"/>
      <c r="CT142" s="73"/>
      <c r="CU142" s="1619"/>
      <c r="CV142" s="1619"/>
      <c r="CW142" s="1170" t="s">
        <v>733</v>
      </c>
      <c r="CX142" s="1175"/>
      <c r="CY142" s="1175"/>
      <c r="CZ142" s="1175"/>
      <c r="DA142" s="1176"/>
      <c r="DB142" s="1176"/>
    </row>
    <row s="1619"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725</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19"/>
      <c r="AD143" s="157" t="s">
        <v>451</v>
      </c>
      <c r="AE143" s="1512" t="s">
        <v>734</v>
      </c>
      <c r="AF143" s="163"/>
      <c r="AG143" s="157" t="s">
        <v>490</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3"/>
      <c r="CU143" s="1619"/>
      <c r="CV143" s="1619"/>
      <c r="CW143" s="1170" t="s">
        <v>735</v>
      </c>
      <c r="CX143" s="1175"/>
      <c r="CY143" s="1175"/>
      <c r="CZ143" s="1175"/>
      <c r="DA143" s="1176"/>
      <c r="DB143" s="1176"/>
    </row>
    <row s="1619"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725</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19"/>
      <c r="AD144" s="157" t="s">
        <v>475</v>
      </c>
      <c r="AE144" s="1507" t="s">
        <v>736</v>
      </c>
      <c r="AF144" s="162"/>
      <c r="AG144" s="157" t="s">
        <v>728</v>
      </c>
      <c r="AH144" s="86"/>
      <c r="AI144" s="87"/>
      <c r="AJ144" s="87"/>
      <c r="AK144" s="87"/>
      <c r="AL144" s="859">
        <f>AM144+AN144</f>
        <v>0</v>
      </c>
      <c r="AM144" s="87"/>
      <c r="AN144" s="87"/>
      <c r="AO144" s="859">
        <f>AP144+AQ144</f>
        <v>0</v>
      </c>
      <c r="AP144" s="976"/>
      <c r="AQ144" s="976"/>
      <c r="AR144" s="859">
        <f>AS144+AT144</f>
        <v>0</v>
      </c>
      <c r="AS144" s="976"/>
      <c r="AT144" s="976"/>
      <c r="AU144" s="859">
        <f>AV144+AW144</f>
        <v>0</v>
      </c>
      <c r="AV144" s="976"/>
      <c r="AW144" s="976"/>
      <c r="AX144" s="859">
        <f>AY144+AZ144</f>
        <v>0</v>
      </c>
      <c r="AY144" s="976"/>
      <c r="AZ144" s="976"/>
      <c r="BA144" s="859">
        <f>BB144+BC144</f>
        <v>0</v>
      </c>
      <c r="BB144" s="87"/>
      <c r="BC144" s="87"/>
      <c r="BD144" s="859">
        <f>BE144+BF144</f>
        <v>0</v>
      </c>
      <c r="BE144" s="87"/>
      <c r="BF144" s="87"/>
      <c r="BG144" s="859">
        <f>BH144+BI144</f>
        <v>0</v>
      </c>
      <c r="BH144" s="87"/>
      <c r="BI144" s="87"/>
      <c r="BJ144" s="859">
        <f>BK144+BL144</f>
        <v>0</v>
      </c>
      <c r="BK144" s="87"/>
      <c r="BL144" s="87"/>
      <c r="BM144" s="859">
        <f>BN144+BO144</f>
        <v>0</v>
      </c>
      <c r="BN144" s="87"/>
      <c r="BO144" s="87"/>
      <c r="BP144" s="859">
        <f>BQ144+BR144</f>
        <v>0</v>
      </c>
      <c r="BQ144" s="976"/>
      <c r="BR144" s="976"/>
      <c r="BS144" s="859">
        <f>BT144+BU144</f>
        <v>0</v>
      </c>
      <c r="BT144" s="976"/>
      <c r="BU144" s="976"/>
      <c r="BV144" s="859">
        <f>BW144+BX144</f>
        <v>0</v>
      </c>
      <c r="BW144" s="976"/>
      <c r="BX144" s="976"/>
      <c r="BY144" s="859">
        <f>BZ144+CA144</f>
        <v>0</v>
      </c>
      <c r="BZ144" s="976"/>
      <c r="CA144" s="976"/>
      <c r="CB144" s="859">
        <f>CC144+CD144</f>
        <v>0</v>
      </c>
      <c r="CC144" s="976"/>
      <c r="CD144" s="976"/>
      <c r="CE144" s="859">
        <f>CF144+CG144</f>
        <v>0</v>
      </c>
      <c r="CF144" s="87"/>
      <c r="CG144" s="87"/>
      <c r="CH144" s="859">
        <f>CI144+CJ144</f>
        <v>0</v>
      </c>
      <c r="CI144" s="87"/>
      <c r="CJ144" s="87"/>
      <c r="CK144" s="859">
        <f>CL144+CM144</f>
        <v>0</v>
      </c>
      <c r="CL144" s="87"/>
      <c r="CM144" s="87"/>
      <c r="CN144" s="859">
        <f>CO144+CP144</f>
        <v>0</v>
      </c>
      <c r="CO144" s="87"/>
      <c r="CP144" s="87"/>
      <c r="CQ144" s="859">
        <f>CR144+CS144</f>
        <v>0</v>
      </c>
      <c r="CR144" s="87"/>
      <c r="CS144" s="87"/>
      <c r="CT144" s="73"/>
      <c r="CU144" s="1619"/>
      <c r="CV144" s="1619"/>
      <c r="CW144" s="1170" t="s">
        <v>737</v>
      </c>
      <c r="CX144" s="1175"/>
      <c r="CY144" s="1175"/>
      <c r="CZ144" s="1175"/>
      <c r="DA144" s="1176"/>
      <c r="DB144" s="1176"/>
    </row>
    <row s="1619"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725</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19"/>
      <c r="AD145" s="157" t="s">
        <v>738</v>
      </c>
      <c r="AE145" s="1512" t="s">
        <v>739</v>
      </c>
      <c r="AF145" s="163"/>
      <c r="AG145" s="157" t="s">
        <v>740</v>
      </c>
      <c r="AH145" s="86"/>
      <c r="AI145" s="87"/>
      <c r="AJ145" s="87"/>
      <c r="AK145" s="87"/>
      <c r="AL145" s="87"/>
      <c r="AM145" s="87"/>
      <c r="AN145" s="87"/>
      <c r="AO145" s="976"/>
      <c r="AP145" s="976"/>
      <c r="AQ145" s="976"/>
      <c r="AR145" s="976"/>
      <c r="AS145" s="976"/>
      <c r="AT145" s="976"/>
      <c r="AU145" s="976"/>
      <c r="AV145" s="976"/>
      <c r="AW145" s="976"/>
      <c r="AX145" s="976"/>
      <c r="AY145" s="976"/>
      <c r="AZ145" s="976"/>
      <c r="BA145" s="87"/>
      <c r="BB145" s="87"/>
      <c r="BC145" s="87"/>
      <c r="BD145" s="87"/>
      <c r="BE145" s="87"/>
      <c r="BF145" s="87"/>
      <c r="BG145" s="87"/>
      <c r="BH145" s="87"/>
      <c r="BI145" s="87"/>
      <c r="BJ145" s="87"/>
      <c r="BK145" s="87"/>
      <c r="BL145" s="87"/>
      <c r="BM145" s="87"/>
      <c r="BN145" s="87"/>
      <c r="BO145" s="87"/>
      <c r="BP145" s="976"/>
      <c r="BQ145" s="976"/>
      <c r="BR145" s="976"/>
      <c r="BS145" s="976"/>
      <c r="BT145" s="976"/>
      <c r="BU145" s="976"/>
      <c r="BV145" s="976"/>
      <c r="BW145" s="976"/>
      <c r="BX145" s="976"/>
      <c r="BY145" s="976"/>
      <c r="BZ145" s="976"/>
      <c r="CA145" s="976"/>
      <c r="CB145" s="976"/>
      <c r="CC145" s="976"/>
      <c r="CD145" s="976"/>
      <c r="CE145" s="87"/>
      <c r="CF145" s="87"/>
      <c r="CG145" s="87"/>
      <c r="CH145" s="87"/>
      <c r="CI145" s="87"/>
      <c r="CJ145" s="87"/>
      <c r="CK145" s="87"/>
      <c r="CL145" s="87"/>
      <c r="CM145" s="87"/>
      <c r="CN145" s="87"/>
      <c r="CO145" s="87"/>
      <c r="CP145" s="87"/>
      <c r="CQ145" s="87"/>
      <c r="CR145" s="87"/>
      <c r="CS145" s="87"/>
      <c r="CT145" s="73"/>
      <c r="CU145" s="1619"/>
      <c r="CV145" s="1619"/>
      <c r="CW145" s="1170" t="s">
        <v>741</v>
      </c>
      <c r="CX145" s="1175"/>
      <c r="CY145" s="1175"/>
      <c r="CZ145" s="1175"/>
      <c r="DA145" s="1176"/>
      <c r="DB145" s="1176"/>
    </row>
    <row s="1619"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725</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19"/>
      <c r="AD146" s="157">
        <v>3</v>
      </c>
      <c r="AE146" s="1495" t="s">
        <v>742</v>
      </c>
      <c r="AF146" s="165"/>
      <c r="AG146" s="157" t="s">
        <v>728</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3"/>
      <c r="CU146" s="1619"/>
      <c r="CV146" s="1619"/>
      <c r="CW146" s="1170" t="s">
        <v>743</v>
      </c>
      <c r="CX146" s="1175"/>
      <c r="CY146" s="1175"/>
      <c r="CZ146" s="1175"/>
      <c r="DA146" s="1176"/>
      <c r="DB146" s="1176"/>
    </row>
    <row s="1619"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725</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19"/>
      <c r="AD147" s="157">
        <v>4</v>
      </c>
      <c r="AE147" s="1495" t="s">
        <v>744</v>
      </c>
      <c r="AF147" s="165"/>
      <c r="AG147" s="157" t="s">
        <v>728</v>
      </c>
      <c r="AH147" s="86"/>
      <c r="AI147" s="87"/>
      <c r="AJ147" s="87"/>
      <c r="AK147" s="87"/>
      <c r="AL147" s="859">
        <f>AM147+AN147</f>
        <v>0</v>
      </c>
      <c r="AM147" s="87"/>
      <c r="AN147" s="87"/>
      <c r="AO147" s="859">
        <f>AP147+AQ147</f>
        <v>0</v>
      </c>
      <c r="AP147" s="976"/>
      <c r="AQ147" s="976"/>
      <c r="AR147" s="859">
        <f>AS147+AT147</f>
        <v>0</v>
      </c>
      <c r="AS147" s="976"/>
      <c r="AT147" s="976"/>
      <c r="AU147" s="859">
        <f>AV147+AW147</f>
        <v>0</v>
      </c>
      <c r="AV147" s="976"/>
      <c r="AW147" s="976"/>
      <c r="AX147" s="859">
        <f>AY147+AZ147</f>
        <v>0</v>
      </c>
      <c r="AY147" s="976"/>
      <c r="AZ147" s="976"/>
      <c r="BA147" s="859">
        <f>BB147+BC147</f>
        <v>0</v>
      </c>
      <c r="BB147" s="87"/>
      <c r="BC147" s="87"/>
      <c r="BD147" s="859">
        <f>BE147+BF147</f>
        <v>0</v>
      </c>
      <c r="BE147" s="87"/>
      <c r="BF147" s="87"/>
      <c r="BG147" s="859">
        <f>BH147+BI147</f>
        <v>0</v>
      </c>
      <c r="BH147" s="87"/>
      <c r="BI147" s="87"/>
      <c r="BJ147" s="859">
        <f>BK147+BL147</f>
        <v>0</v>
      </c>
      <c r="BK147" s="87"/>
      <c r="BL147" s="87"/>
      <c r="BM147" s="859">
        <f>BN147+BO147</f>
        <v>0</v>
      </c>
      <c r="BN147" s="87"/>
      <c r="BO147" s="87"/>
      <c r="BP147" s="859">
        <f>BQ147+BR147</f>
        <v>0</v>
      </c>
      <c r="BQ147" s="976"/>
      <c r="BR147" s="976"/>
      <c r="BS147" s="859">
        <f>BT147+BU147</f>
        <v>0</v>
      </c>
      <c r="BT147" s="976"/>
      <c r="BU147" s="976"/>
      <c r="BV147" s="859">
        <f>BW147+BX147</f>
        <v>0</v>
      </c>
      <c r="BW147" s="976"/>
      <c r="BX147" s="976"/>
      <c r="BY147" s="859">
        <f>BZ147+CA147</f>
        <v>0</v>
      </c>
      <c r="BZ147" s="976"/>
      <c r="CA147" s="976"/>
      <c r="CB147" s="859">
        <f>CC147+CD147</f>
        <v>0</v>
      </c>
      <c r="CC147" s="976"/>
      <c r="CD147" s="976"/>
      <c r="CE147" s="859">
        <f>CF147+CG147</f>
        <v>0</v>
      </c>
      <c r="CF147" s="87"/>
      <c r="CG147" s="87"/>
      <c r="CH147" s="859">
        <f>CI147+CJ147</f>
        <v>0</v>
      </c>
      <c r="CI147" s="87"/>
      <c r="CJ147" s="87"/>
      <c r="CK147" s="859">
        <f>CL147+CM147</f>
        <v>0</v>
      </c>
      <c r="CL147" s="87"/>
      <c r="CM147" s="87"/>
      <c r="CN147" s="859">
        <f>CO147+CP147</f>
        <v>0</v>
      </c>
      <c r="CO147" s="87"/>
      <c r="CP147" s="87"/>
      <c r="CQ147" s="859">
        <f>CR147+CS147</f>
        <v>0</v>
      </c>
      <c r="CR147" s="87"/>
      <c r="CS147" s="87"/>
      <c r="CT147" s="73"/>
      <c r="CU147" s="1619"/>
      <c r="CV147" s="1619"/>
      <c r="CW147" s="1170" t="s">
        <v>745</v>
      </c>
      <c r="CX147" s="1175"/>
      <c r="CY147" s="1175"/>
      <c r="CZ147" s="1175"/>
      <c r="DA147" s="1176"/>
      <c r="DB147" s="1176"/>
    </row>
    <row s="1619"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725</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19"/>
      <c r="AD148" s="157" t="s">
        <v>746</v>
      </c>
      <c r="AE148" s="1507" t="s">
        <v>747</v>
      </c>
      <c r="AF148" s="162"/>
      <c r="AG148" s="157" t="s">
        <v>490</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3"/>
      <c r="CU148" s="1619"/>
      <c r="CV148" s="1619"/>
      <c r="CW148" s="1170" t="s">
        <v>748</v>
      </c>
      <c r="CX148" s="1175"/>
      <c r="CY148" s="1175"/>
      <c r="CZ148" s="1175"/>
      <c r="DA148" s="1176"/>
      <c r="DB148" s="1176"/>
    </row>
    <row s="1619"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725</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19"/>
      <c r="AD149" s="157">
        <v>5</v>
      </c>
      <c r="AE149" s="1514" t="s">
        <v>749</v>
      </c>
      <c r="AF149" s="1515"/>
      <c r="AG149" s="157" t="s">
        <v>728</v>
      </c>
      <c r="AH149" s="86"/>
      <c r="AI149" s="87"/>
      <c r="AJ149" s="87"/>
      <c r="AK149" s="87"/>
      <c r="AL149" s="859">
        <f>AM149+AN149</f>
        <v>0</v>
      </c>
      <c r="AM149" s="87"/>
      <c r="AN149" s="87"/>
      <c r="AO149" s="859">
        <f>AP149+AQ149</f>
        <v>0</v>
      </c>
      <c r="AP149" s="976"/>
      <c r="AQ149" s="976"/>
      <c r="AR149" s="859">
        <f>AS149+AT149</f>
        <v>0</v>
      </c>
      <c r="AS149" s="976"/>
      <c r="AT149" s="976"/>
      <c r="AU149" s="859">
        <f>AV149+AW149</f>
        <v>0</v>
      </c>
      <c r="AV149" s="976"/>
      <c r="AW149" s="976"/>
      <c r="AX149" s="859">
        <f>AY149+AZ149</f>
        <v>0</v>
      </c>
      <c r="AY149" s="976"/>
      <c r="AZ149" s="976"/>
      <c r="BA149" s="859">
        <f>BB149+BC149</f>
        <v>0</v>
      </c>
      <c r="BB149" s="87"/>
      <c r="BC149" s="87"/>
      <c r="BD149" s="859">
        <f>BE149+BF149</f>
        <v>0</v>
      </c>
      <c r="BE149" s="87"/>
      <c r="BF149" s="87"/>
      <c r="BG149" s="859">
        <f>BH149+BI149</f>
        <v>0</v>
      </c>
      <c r="BH149" s="87"/>
      <c r="BI149" s="87"/>
      <c r="BJ149" s="859">
        <f>BK149+BL149</f>
        <v>0</v>
      </c>
      <c r="BK149" s="87"/>
      <c r="BL149" s="87"/>
      <c r="BM149" s="859">
        <f>BN149+BO149</f>
        <v>0</v>
      </c>
      <c r="BN149" s="87"/>
      <c r="BO149" s="87"/>
      <c r="BP149" s="859">
        <f>BQ149+BR149</f>
        <v>0</v>
      </c>
      <c r="BQ149" s="976"/>
      <c r="BR149" s="976"/>
      <c r="BS149" s="859">
        <f>BT149+BU149</f>
        <v>0</v>
      </c>
      <c r="BT149" s="976"/>
      <c r="BU149" s="976"/>
      <c r="BV149" s="859">
        <f>BW149+BX149</f>
        <v>0</v>
      </c>
      <c r="BW149" s="976"/>
      <c r="BX149" s="976"/>
      <c r="BY149" s="859">
        <f>BZ149+CA149</f>
        <v>0</v>
      </c>
      <c r="BZ149" s="976"/>
      <c r="CA149" s="976"/>
      <c r="CB149" s="859">
        <f>CC149+CD149</f>
        <v>0</v>
      </c>
      <c r="CC149" s="976"/>
      <c r="CD149" s="976"/>
      <c r="CE149" s="859">
        <f>CF149+CG149</f>
        <v>0</v>
      </c>
      <c r="CF149" s="87"/>
      <c r="CG149" s="87"/>
      <c r="CH149" s="859">
        <f>CI149+CJ149</f>
        <v>0</v>
      </c>
      <c r="CI149" s="87"/>
      <c r="CJ149" s="87"/>
      <c r="CK149" s="859">
        <f>CL149+CM149</f>
        <v>0</v>
      </c>
      <c r="CL149" s="87"/>
      <c r="CM149" s="87"/>
      <c r="CN149" s="859">
        <f>CO149+CP149</f>
        <v>0</v>
      </c>
      <c r="CO149" s="87"/>
      <c r="CP149" s="87"/>
      <c r="CQ149" s="859">
        <f>CR149+CS149</f>
        <v>0</v>
      </c>
      <c r="CR149" s="87"/>
      <c r="CS149" s="87"/>
      <c r="CT149" s="73"/>
      <c r="CU149" s="1619"/>
      <c r="CV149" s="1619"/>
      <c r="CW149" s="1170" t="s">
        <v>750</v>
      </c>
      <c r="CX149" s="1175"/>
      <c r="CY149" s="1175"/>
      <c r="CZ149" s="1175"/>
      <c r="DA149" s="1176"/>
      <c r="DB149" s="1176"/>
    </row>
    <row s="1619"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725</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19"/>
      <c r="AD150" s="157" t="s">
        <v>751</v>
      </c>
      <c r="AE150" s="1507" t="s">
        <v>747</v>
      </c>
      <c r="AF150" s="162"/>
      <c r="AG150" s="157" t="s">
        <v>490</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3"/>
      <c r="CU150" s="1619"/>
      <c r="CV150" s="1619"/>
      <c r="CW150" s="1170" t="s">
        <v>752</v>
      </c>
      <c r="CX150" s="1175"/>
      <c r="CY150" s="1175"/>
      <c r="CZ150" s="1175"/>
      <c r="DA150" s="1176"/>
      <c r="DB150" s="1176"/>
    </row>
    <row s="1619"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725</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19"/>
      <c r="AD151" s="157">
        <v>6</v>
      </c>
      <c r="AE151" s="1514" t="s">
        <v>753</v>
      </c>
      <c r="AF151" s="1515"/>
      <c r="AG151" s="157" t="s">
        <v>728</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3"/>
      <c r="CU151" s="1619"/>
      <c r="CV151" s="1619"/>
      <c r="CW151" s="1170" t="s">
        <v>754</v>
      </c>
      <c r="CX151" s="1175"/>
      <c r="CY151" s="1175"/>
      <c r="CZ151" s="1175"/>
      <c r="DA151" s="1176"/>
      <c r="DB151" s="1176"/>
    </row>
    <row s="1619"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19"/>
      <c r="AD152" s="157">
        <v>7</v>
      </c>
      <c r="AE152" s="1510" t="s">
        <v>755</v>
      </c>
      <c r="AF152" s="164"/>
      <c r="AG152" s="869" t="s">
        <v>591</v>
      </c>
      <c r="AH152" s="857">
        <f>_xlfn.SUMIFS('Баланс Пр'!AE$27:AE$233,'Баланс Пр'!$AB$27:$AB$233,"3.1",'Баланс Пр'!$F$27:$F$233,$F152)+_xlfn.SUMIFS('Баланс Пр'!AE$27:AE$233,'Баланс Пр'!$AB$27:$AB$233,"3.2",'Баланс Пр'!$F$27:$F$233,$F152)</f>
        <v>0</v>
      </c>
      <c r="AI152" s="857">
        <f>_xlfn.SUMIFS('Баланс Пр'!AF$27:AF$233,'Баланс Пр'!$AB$27:$AB$233,"3.1",'Баланс Пр'!$F$27:$F$233,$F152)+_xlfn.SUMIFS('Баланс Пр'!AF$27:AF$233,'Баланс Пр'!$AB$27:$AB$233,"3.2",'Баланс Пр'!$F$27:$F$233,$F152)</f>
        <v>0</v>
      </c>
      <c r="AJ152" s="857">
        <f>_xlfn.SUMIFS('Баланс Пр'!AG$27:AG$233,'Баланс Пр'!$AB$27:$AB$233,"3.1",'Баланс Пр'!$F$27:$F$233,$F152)+_xlfn.SUMIFS('Баланс Пр'!AG$27:AG$233,'Баланс Пр'!$AB$27:$AB$233,"3.2",'Баланс Пр'!$F$27:$F$233,$F152)</f>
        <v>0</v>
      </c>
      <c r="AK152" s="857">
        <f>_xlfn.SUMIFS('Баланс Пр'!AH$27:AH$233,'Баланс Пр'!$AB$27:$AB$233,"3.1",'Баланс Пр'!$F$27:$F$233,$F152)+_xlfn.SUMIFS('Баланс Пр'!AH$27:AH$233,'Баланс Пр'!$AB$27:$AB$233,"3.2",'Баланс Пр'!$F$27:$F$233,$F152)</f>
        <v>0</v>
      </c>
      <c r="AL152" s="857">
        <f>_xlfn.SUMIFS('Баланс Пр'!AI$27:AI$233,'Баланс Пр'!$AB$27:$AB$233,"3.1",'Баланс Пр'!$F$27:$F$233,$F152)+_xlfn.SUMIFS('Баланс Пр'!AI$27:AI$233,'Баланс Пр'!$AB$27:$AB$233,"3.2",'Баланс Пр'!$F$27:$F$233,$F152)</f>
        <v>1370</v>
      </c>
      <c r="AM152" s="1766">
        <v>1024</v>
      </c>
      <c r="AN152" s="859">
        <f>AL152-AM152</f>
        <v>346</v>
      </c>
      <c r="AO152" s="857">
        <f>_xlfn.SUMIFS('Баланс Пр'!AJ$27:AJ$233,'Баланс Пр'!$AB$27:$AB$233,"3.1",'Баланс Пр'!$F$27:$F$233,$F152)+_xlfn.SUMIFS('Баланс Пр'!AJ$27:AJ$233,'Баланс Пр'!$AB$27:$AB$233,"3.2",'Баланс Пр'!$F$27:$F$233,$F152)</f>
        <v>1370</v>
      </c>
      <c r="AP152" s="976">
        <v>1024</v>
      </c>
      <c r="AQ152" s="859">
        <f>AO152-AP152</f>
        <v>346</v>
      </c>
      <c r="AR152" s="857">
        <f>_xlfn.SUMIFS('Баланс Пр'!AK$27:AK$233,'Баланс Пр'!$AB$27:$AB$233,"3.1",'Баланс Пр'!$F$27:$F$233,$F152)+_xlfn.SUMIFS('Баланс Пр'!AK$27:AK$233,'Баланс Пр'!$AB$27:$AB$233,"3.2",'Баланс Пр'!$F$27:$F$233,$F152)</f>
        <v>1370</v>
      </c>
      <c r="AS152" s="976">
        <v>1024</v>
      </c>
      <c r="AT152" s="859">
        <f>AR152-AS152</f>
        <v>346</v>
      </c>
      <c r="AU152" s="857">
        <f>_xlfn.SUMIFS('Баланс Пр'!AL$27:AL$233,'Баланс Пр'!$AB$27:$AB$233,"3.1",'Баланс Пр'!$F$27:$F$233,$F152)+_xlfn.SUMIFS('Баланс Пр'!AL$27:AL$233,'Баланс Пр'!$AB$27:$AB$233,"3.2",'Баланс Пр'!$F$27:$F$233,$F152)</f>
        <v>1370</v>
      </c>
      <c r="AV152" s="976">
        <v>1024</v>
      </c>
      <c r="AW152" s="859">
        <f>AU152-AV152</f>
        <v>346</v>
      </c>
      <c r="AX152" s="857">
        <f>_xlfn.SUMIFS('Баланс Пр'!AM$27:AM$233,'Баланс Пр'!$AB$27:$AB$233,"3.1",'Баланс Пр'!$F$27:$F$233,$F152)+_xlfn.SUMIFS('Баланс Пр'!AM$27:AM$233,'Баланс Пр'!$AB$27:$AB$233,"3.2",'Баланс Пр'!$F$27:$F$233,$F152)</f>
        <v>1370</v>
      </c>
      <c r="AY152" s="976">
        <v>1024</v>
      </c>
      <c r="AZ152" s="859">
        <f>AX152-AY152</f>
        <v>346</v>
      </c>
      <c r="BA152" s="857">
        <f>_xlfn.SUMIFS('Баланс Пр'!AN$27:AN$233,'Баланс Пр'!$AB$27:$AB$233,"3.1",'Баланс Пр'!$F$27:$F$233,$F152)+_xlfn.SUMIFS('Баланс Пр'!AN$27:AN$233,'Баланс Пр'!$AB$27:$AB$233,"3.2",'Баланс Пр'!$F$27:$F$233,$F152)</f>
        <v>1370</v>
      </c>
      <c r="BB152" s="1766"/>
      <c r="BC152" s="859">
        <f>BA152-BB152</f>
        <v>1370</v>
      </c>
      <c r="BD152" s="857">
        <f>_xlfn.SUMIFS('Баланс Пр'!AO$27:AO$233,'Баланс Пр'!$AB$27:$AB$233,"3.1",'Баланс Пр'!$F$27:$F$233,$F152)+_xlfn.SUMIFS('Баланс Пр'!AO$27:AO$233,'Баланс Пр'!$AB$27:$AB$233,"3.2",'Баланс Пр'!$F$27:$F$233,$F152)</f>
        <v>1370</v>
      </c>
      <c r="BE152" s="1766"/>
      <c r="BF152" s="859">
        <f>BD152-BE152</f>
        <v>1370</v>
      </c>
      <c r="BG152" s="857">
        <f>_xlfn.SUMIFS('Баланс Пр'!AP$27:AP$233,'Баланс Пр'!$AB$27:$AB$233,"3.1",'Баланс Пр'!$F$27:$F$233,$F152)+_xlfn.SUMIFS('Баланс Пр'!AP$27:AP$233,'Баланс Пр'!$AB$27:$AB$233,"3.2",'Баланс Пр'!$F$27:$F$233,$F152)</f>
        <v>1370</v>
      </c>
      <c r="BH152" s="1766"/>
      <c r="BI152" s="859">
        <f>BG152-BH152</f>
        <v>1370</v>
      </c>
      <c r="BJ152" s="857">
        <f>_xlfn.SUMIFS('Баланс Пр'!AQ$27:AQ$233,'Баланс Пр'!$AB$27:$AB$233,"3.1",'Баланс Пр'!$F$27:$F$233,$F152)+_xlfn.SUMIFS('Баланс Пр'!AQ$27:AQ$233,'Баланс Пр'!$AB$27:$AB$233,"3.2",'Баланс Пр'!$F$27:$F$233,$F152)</f>
        <v>1370</v>
      </c>
      <c r="BK152" s="1766"/>
      <c r="BL152" s="859">
        <f>BJ152-BK152</f>
        <v>1370</v>
      </c>
      <c r="BM152" s="857">
        <f>_xlfn.SUMIFS('Баланс Пр'!AR$27:AR$233,'Баланс Пр'!$AB$27:$AB$233,"3.1",'Баланс Пр'!$F$27:$F$233,$F152)+_xlfn.SUMIFS('Баланс Пр'!AR$27:AR$233,'Баланс Пр'!$AB$27:$AB$233,"3.2",'Баланс Пр'!$F$27:$F$233,$F152)</f>
        <v>1370</v>
      </c>
      <c r="BN152" s="1766"/>
      <c r="BO152" s="859">
        <f>BM152-BN152</f>
        <v>1370</v>
      </c>
      <c r="BP152" s="857">
        <f>_xlfn.SUMIFS('Баланс Пр'!AS$27:AS$233,'Баланс Пр'!$AB$27:$AB$233,"3.1",'Баланс Пр'!$F$27:$F$233,$F152)+_xlfn.SUMIFS('Баланс Пр'!AS$27:AS$233,'Баланс Пр'!$AB$27:$AB$233,"3.2",'Баланс Пр'!$F$27:$F$233,$F152)</f>
        <v>1370</v>
      </c>
      <c r="BQ152" s="976">
        <v>1024</v>
      </c>
      <c r="BR152" s="859">
        <f>BP152-BQ152</f>
        <v>346</v>
      </c>
      <c r="BS152" s="857">
        <f>_xlfn.SUMIFS('Баланс Пр'!AT$27:AT$233,'Баланс Пр'!$AB$27:$AB$233,"3.1",'Баланс Пр'!$F$27:$F$233,$F152)+_xlfn.SUMIFS('Баланс Пр'!AT$27:AT$233,'Баланс Пр'!$AB$27:$AB$233,"3.2",'Баланс Пр'!$F$27:$F$233,$F152)</f>
        <v>1370</v>
      </c>
      <c r="BT152" s="976">
        <v>1024</v>
      </c>
      <c r="BU152" s="859">
        <f>BS152-BT152</f>
        <v>346</v>
      </c>
      <c r="BV152" s="857">
        <f>_xlfn.SUMIFS('Баланс Пр'!AU$27:AU$233,'Баланс Пр'!$AB$27:$AB$233,"3.1",'Баланс Пр'!$F$27:$F$233,$F152)+_xlfn.SUMIFS('Баланс Пр'!AU$27:AU$233,'Баланс Пр'!$AB$27:$AB$233,"3.2",'Баланс Пр'!$F$27:$F$233,$F152)</f>
        <v>1370</v>
      </c>
      <c r="BW152" s="976">
        <v>1024</v>
      </c>
      <c r="BX152" s="859">
        <f>BV152-BW152</f>
        <v>346</v>
      </c>
      <c r="BY152" s="857">
        <f>_xlfn.SUMIFS('Баланс Пр'!AV$27:AV$233,'Баланс Пр'!$AB$27:$AB$233,"3.1",'Баланс Пр'!$F$27:$F$233,$F152)+_xlfn.SUMIFS('Баланс Пр'!AV$27:AV$233,'Баланс Пр'!$AB$27:$AB$233,"3.2",'Баланс Пр'!$F$27:$F$233,$F152)</f>
        <v>1370</v>
      </c>
      <c r="BZ152" s="976">
        <v>1024</v>
      </c>
      <c r="CA152" s="859">
        <f>BY152-BZ152</f>
        <v>346</v>
      </c>
      <c r="CB152" s="857">
        <f>_xlfn.SUMIFS('Баланс Пр'!AW$27:AW$233,'Баланс Пр'!$AB$27:$AB$233,"3.1",'Баланс Пр'!$F$27:$F$233,$F152)+_xlfn.SUMIFS('Баланс Пр'!AW$27:AW$233,'Баланс Пр'!$AB$27:$AB$233,"3.2",'Баланс Пр'!$F$27:$F$233,$F152)</f>
        <v>1370</v>
      </c>
      <c r="CC152" s="976">
        <v>1024</v>
      </c>
      <c r="CD152" s="859">
        <f>CB152-CC152</f>
        <v>346</v>
      </c>
      <c r="CE152" s="857">
        <f>_xlfn.SUMIFS('Баланс Пр'!AX$27:AX$233,'Баланс Пр'!$AB$27:$AB$233,"3.1",'Баланс Пр'!$F$27:$F$233,$F152)+_xlfn.SUMIFS('Баланс Пр'!AX$27:AX$233,'Баланс Пр'!$AB$27:$AB$233,"3.2",'Баланс Пр'!$F$27:$F$233,$F152)</f>
        <v>0</v>
      </c>
      <c r="CF152" s="1766"/>
      <c r="CG152" s="859">
        <f>CE152-CF152</f>
        <v>0</v>
      </c>
      <c r="CH152" s="857">
        <f>_xlfn.SUMIFS('Баланс Пр'!AY$27:AY$233,'Баланс Пр'!$AB$27:$AB$233,"3.1",'Баланс Пр'!$F$27:$F$233,$F152)+_xlfn.SUMIFS('Баланс Пр'!AY$27:AY$233,'Баланс Пр'!$AB$27:$AB$233,"3.2",'Баланс Пр'!$F$27:$F$233,$F152)</f>
        <v>0</v>
      </c>
      <c r="CI152" s="1766"/>
      <c r="CJ152" s="859">
        <f>CH152-CI152</f>
        <v>0</v>
      </c>
      <c r="CK152" s="857">
        <f>_xlfn.SUMIFS('Баланс Пр'!AZ$27:AZ$233,'Баланс Пр'!$AB$27:$AB$233,"3.1",'Баланс Пр'!$F$27:$F$233,$F152)+_xlfn.SUMIFS('Баланс Пр'!AZ$27:AZ$233,'Баланс Пр'!$AB$27:$AB$233,"3.2",'Баланс Пр'!$F$27:$F$233,$F152)</f>
        <v>0</v>
      </c>
      <c r="CL152" s="1766"/>
      <c r="CM152" s="859">
        <f>CK152-CL152</f>
        <v>0</v>
      </c>
      <c r="CN152" s="857">
        <f>_xlfn.SUMIFS('Баланс Пр'!BA$27:BA$233,'Баланс Пр'!$AB$27:$AB$233,"3.1",'Баланс Пр'!$F$27:$F$233,$F152)+_xlfn.SUMIFS('Баланс Пр'!BA$27:BA$233,'Баланс Пр'!$AB$27:$AB$233,"3.2",'Баланс Пр'!$F$27:$F$233,$F152)</f>
        <v>0</v>
      </c>
      <c r="CO152" s="1766"/>
      <c r="CP152" s="859">
        <f>CN152-CO152</f>
        <v>0</v>
      </c>
      <c r="CQ152" s="857">
        <f>_xlfn.SUMIFS('Баланс Пр'!BB$27:BB$233,'Баланс Пр'!$AB$27:$AB$233,"3.1",'Баланс Пр'!$F$27:$F$233,$F152)+_xlfn.SUMIFS('Баланс Пр'!BB$27:BB$233,'Баланс Пр'!$AB$27:$AB$233,"3.2",'Баланс Пр'!$F$27:$F$233,$F152)</f>
        <v>0</v>
      </c>
      <c r="CR152" s="1766"/>
      <c r="CS152" s="859">
        <f>CQ152-CR152</f>
        <v>0</v>
      </c>
      <c r="CT152" s="1730"/>
      <c r="CU152" s="1619"/>
      <c r="CV152" s="1619"/>
      <c r="CW152" s="1170" t="s">
        <v>756</v>
      </c>
      <c r="CX152" s="1175"/>
      <c r="CY152" s="1175"/>
      <c r="CZ152" s="1175"/>
      <c r="DA152" s="1176"/>
      <c r="DB152" s="1176"/>
    </row>
    <row s="1619"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19"/>
      <c r="AD153" s="157">
        <v>8</v>
      </c>
      <c r="AE153" s="1510" t="s">
        <v>757</v>
      </c>
      <c r="AF153" s="164"/>
      <c r="AG153" s="869" t="s">
        <v>591</v>
      </c>
      <c r="AH153" s="857">
        <f>_xlfn.SUMIFS('Баланс Пр'!AE$27:AE$233,'Баланс Пр'!$AB$27:$AB$233,"5",'Баланс Пр'!$F$27:$F$233,$F152)</f>
        <v>0</v>
      </c>
      <c r="AI153" s="857">
        <f>_xlfn.SUMIFS('Баланс Пр'!AF$27:AF$233,'Баланс Пр'!$AB$27:$AB$233,"5",'Баланс Пр'!$F$27:$F$233,$F152)</f>
        <v>0</v>
      </c>
      <c r="AJ153" s="857">
        <f>_xlfn.SUMIFS('Баланс Пр'!AG$27:AG$233,'Баланс Пр'!$AB$27:$AB$233,"5",'Баланс Пр'!$F$27:$F$233,$F152)</f>
        <v>0</v>
      </c>
      <c r="AK153" s="857">
        <f>_xlfn.SUMIFS('Баланс Пр'!AH$27:AH$233,'Баланс Пр'!$AB$27:$AB$233,"5",'Баланс Пр'!$F$27:$F$233,$F152)</f>
        <v>0</v>
      </c>
      <c r="AL153" s="857">
        <f>_xlfn.SUMIFS('Баланс Пр'!AI$27:AI$233,'Баланс Пр'!$AB$27:$AB$233,"5",'Баланс Пр'!$F$27:$F$233,$F152)</f>
        <v>0</v>
      </c>
      <c r="AM153" s="1766">
        <v>14</v>
      </c>
      <c r="AN153" s="859">
        <f>AL153-AM153</f>
        <v>-14</v>
      </c>
      <c r="AO153" s="857">
        <f>_xlfn.SUMIFS('Баланс Пр'!AJ$27:AJ$233,'Баланс Пр'!$AB$27:$AB$233,"5",'Баланс Пр'!$F$27:$F$233,$F152)</f>
        <v>0</v>
      </c>
      <c r="AP153" s="976">
        <v>14</v>
      </c>
      <c r="AQ153" s="859">
        <f>AO153-AP153</f>
        <v>-14</v>
      </c>
      <c r="AR153" s="857">
        <f>_xlfn.SUMIFS('Баланс Пр'!AK$27:AK$233,'Баланс Пр'!$AB$27:$AB$233,"5",'Баланс Пр'!$F$27:$F$233,$F152)</f>
        <v>0</v>
      </c>
      <c r="AS153" s="976">
        <v>14</v>
      </c>
      <c r="AT153" s="859">
        <f>AR153-AS153</f>
        <v>-14</v>
      </c>
      <c r="AU153" s="857">
        <f>_xlfn.SUMIFS('Баланс Пр'!AL$27:AL$233,'Баланс Пр'!$AB$27:$AB$233,"5",'Баланс Пр'!$F$27:$F$233,$F152)</f>
        <v>0</v>
      </c>
      <c r="AV153" s="976">
        <v>14</v>
      </c>
      <c r="AW153" s="859">
        <f>AU153-AV153</f>
        <v>-14</v>
      </c>
      <c r="AX153" s="857">
        <f>_xlfn.SUMIFS('Баланс Пр'!AM$27:AM$233,'Баланс Пр'!$AB$27:$AB$233,"5",'Баланс Пр'!$F$27:$F$233,$F152)</f>
        <v>0</v>
      </c>
      <c r="AY153" s="976">
        <v>14</v>
      </c>
      <c r="AZ153" s="859">
        <f>AX153-AY153</f>
        <v>-14</v>
      </c>
      <c r="BA153" s="857">
        <f>_xlfn.SUMIFS('Баланс Пр'!AN$27:AN$233,'Баланс Пр'!$AB$27:$AB$233,"5",'Баланс Пр'!$F$27:$F$233,$F152)</f>
        <v>0</v>
      </c>
      <c r="BB153" s="1766"/>
      <c r="BC153" s="859">
        <f>BA153-BB153</f>
        <v>0</v>
      </c>
      <c r="BD153" s="857">
        <f>_xlfn.SUMIFS('Баланс Пр'!AO$27:AO$233,'Баланс Пр'!$AB$27:$AB$233,"5",'Баланс Пр'!$F$27:$F$233,$F152)</f>
        <v>0</v>
      </c>
      <c r="BE153" s="1766"/>
      <c r="BF153" s="859">
        <f>BD153-BE153</f>
        <v>0</v>
      </c>
      <c r="BG153" s="857">
        <f>_xlfn.SUMIFS('Баланс Пр'!AP$27:AP$233,'Баланс Пр'!$AB$27:$AB$233,"5",'Баланс Пр'!$F$27:$F$233,$F152)</f>
        <v>0</v>
      </c>
      <c r="BH153" s="1766"/>
      <c r="BI153" s="859">
        <f>BG153-BH153</f>
        <v>0</v>
      </c>
      <c r="BJ153" s="857">
        <f>_xlfn.SUMIFS('Баланс Пр'!AQ$27:AQ$233,'Баланс Пр'!$AB$27:$AB$233,"5",'Баланс Пр'!$F$27:$F$233,$F152)</f>
        <v>0</v>
      </c>
      <c r="BK153" s="1766"/>
      <c r="BL153" s="859">
        <f>BJ153-BK153</f>
        <v>0</v>
      </c>
      <c r="BM153" s="857">
        <f>_xlfn.SUMIFS('Баланс Пр'!AR$27:AR$233,'Баланс Пр'!$AB$27:$AB$233,"5",'Баланс Пр'!$F$27:$F$233,$F152)</f>
        <v>0</v>
      </c>
      <c r="BN153" s="1766"/>
      <c r="BO153" s="859">
        <f>BM153-BN153</f>
        <v>0</v>
      </c>
      <c r="BP153" s="857">
        <f>_xlfn.SUMIFS('Баланс Пр'!AS$27:AS$233,'Баланс Пр'!$AB$27:$AB$233,"5",'Баланс Пр'!$F$27:$F$233,$F152)</f>
        <v>0</v>
      </c>
      <c r="BQ153" s="976">
        <v>14</v>
      </c>
      <c r="BR153" s="859">
        <f>BP153-BQ153</f>
        <v>-14</v>
      </c>
      <c r="BS153" s="857">
        <f>_xlfn.SUMIFS('Баланс Пр'!AT$27:AT$233,'Баланс Пр'!$AB$27:$AB$233,"5",'Баланс Пр'!$F$27:$F$233,$F152)</f>
        <v>0</v>
      </c>
      <c r="BT153" s="976">
        <v>14</v>
      </c>
      <c r="BU153" s="859">
        <f>BS153-BT153</f>
        <v>-14</v>
      </c>
      <c r="BV153" s="857">
        <f>_xlfn.SUMIFS('Баланс Пр'!AU$27:AU$233,'Баланс Пр'!$AB$27:$AB$233,"5",'Баланс Пр'!$F$27:$F$233,$F152)</f>
        <v>0</v>
      </c>
      <c r="BW153" s="976">
        <v>14</v>
      </c>
      <c r="BX153" s="859">
        <f>BV153-BW153</f>
        <v>-14</v>
      </c>
      <c r="BY153" s="857">
        <f>_xlfn.SUMIFS('Баланс Пр'!AV$27:AV$233,'Баланс Пр'!$AB$27:$AB$233,"5",'Баланс Пр'!$F$27:$F$233,$F152)</f>
        <v>0</v>
      </c>
      <c r="BZ153" s="976"/>
      <c r="CA153" s="859">
        <f>BY153-BZ153</f>
        <v>0</v>
      </c>
      <c r="CB153" s="857">
        <f>_xlfn.SUMIFS('Баланс Пр'!AW$27:AW$233,'Баланс Пр'!$AB$27:$AB$233,"5",'Баланс Пр'!$F$27:$F$233,$F152)</f>
        <v>0</v>
      </c>
      <c r="CC153" s="976"/>
      <c r="CD153" s="859">
        <f>CB153-CC153</f>
        <v>0</v>
      </c>
      <c r="CE153" s="857">
        <f>_xlfn.SUMIFS('Баланс Пр'!AX$27:AX$233,'Баланс Пр'!$AB$27:$AB$233,"5",'Баланс Пр'!$F$27:$F$233,$F152)</f>
        <v>0</v>
      </c>
      <c r="CF153" s="1766"/>
      <c r="CG153" s="859">
        <f>CE153-CF153</f>
        <v>0</v>
      </c>
      <c r="CH153" s="857">
        <f>_xlfn.SUMIFS('Баланс Пр'!AY$27:AY$233,'Баланс Пр'!$AB$27:$AB$233,"5",'Баланс Пр'!$F$27:$F$233,$F152)</f>
        <v>0</v>
      </c>
      <c r="CI153" s="1766"/>
      <c r="CJ153" s="859">
        <f>CH153-CI153</f>
        <v>0</v>
      </c>
      <c r="CK153" s="857">
        <f>_xlfn.SUMIFS('Баланс Пр'!AZ$27:AZ$233,'Баланс Пр'!$AB$27:$AB$233,"5",'Баланс Пр'!$F$27:$F$233,$F152)</f>
        <v>0</v>
      </c>
      <c r="CL153" s="1766"/>
      <c r="CM153" s="859">
        <f>CK153-CL153</f>
        <v>0</v>
      </c>
      <c r="CN153" s="857">
        <f>_xlfn.SUMIFS('Баланс Пр'!BA$27:BA$233,'Баланс Пр'!$AB$27:$AB$233,"5",'Баланс Пр'!$F$27:$F$233,$F152)</f>
        <v>0</v>
      </c>
      <c r="CO153" s="1766"/>
      <c r="CP153" s="859">
        <f>CN153-CO153</f>
        <v>0</v>
      </c>
      <c r="CQ153" s="857">
        <f>_xlfn.SUMIFS('Баланс Пр'!BB$27:BB$233,'Баланс Пр'!$AB$27:$AB$233,"5",'Баланс Пр'!$F$27:$F$233,$F152)</f>
        <v>0</v>
      </c>
      <c r="CR153" s="1766"/>
      <c r="CS153" s="859">
        <f>CQ153-CR153</f>
        <v>0</v>
      </c>
      <c r="CT153" s="1730"/>
      <c r="CU153" s="1619"/>
      <c r="CV153" s="1619"/>
      <c r="CW153" s="1170" t="s">
        <v>758</v>
      </c>
      <c r="CX153" s="1175"/>
      <c r="CY153" s="1175"/>
      <c r="CZ153" s="1175"/>
      <c r="DA153" s="1176"/>
      <c r="DB153" s="1176"/>
    </row>
    <row s="1619"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19"/>
      <c r="AD154" s="157" t="s">
        <v>759</v>
      </c>
      <c r="AE154" s="1516" t="s">
        <v>760</v>
      </c>
      <c r="AF154" s="1517"/>
      <c r="AG154" s="648" t="s">
        <v>490</v>
      </c>
      <c r="AH154" s="863">
        <f>_xlfn.IFERROR(AH153/AH152,0)</f>
        <v>0</v>
      </c>
      <c r="AI154" s="864">
        <f>_xlfn.IFERROR(AI153/AI152,0)</f>
        <v>0</v>
      </c>
      <c r="AJ154" s="864">
        <f>_xlfn.IFERROR(AJ153/AJ152,0)</f>
        <v>0</v>
      </c>
      <c r="AK154" s="864">
        <f>_xlfn.IFERROR(AK153/AK152,0)</f>
        <v>0</v>
      </c>
      <c r="AL154" s="864">
        <f>_xlfn.IFERROR(AL153/AL152,0)</f>
        <v>0</v>
      </c>
      <c r="AM154" s="864">
        <f>_xlfn.IFERROR(AM153/AM152,0)</f>
        <v>0.013671875</v>
      </c>
      <c r="AN154" s="864">
        <f>_xlfn.IFERROR(AN153/AN152,0)</f>
        <v>-0.0404624277456647</v>
      </c>
      <c r="AO154" s="864">
        <f>_xlfn.IFERROR(AO153/AO152,0)</f>
        <v>0</v>
      </c>
      <c r="AP154" s="864">
        <f>_xlfn.IFERROR(AP153/AP152,0)</f>
        <v>0.013671875</v>
      </c>
      <c r="AQ154" s="864">
        <f>_xlfn.IFERROR(AQ153/AQ152,0)</f>
        <v>-0.0404624277456647</v>
      </c>
      <c r="AR154" s="864">
        <f>_xlfn.IFERROR(AR153/AR152,0)</f>
        <v>0</v>
      </c>
      <c r="AS154" s="864">
        <f>_xlfn.IFERROR(AS153/AS152,0)</f>
        <v>0.013671875</v>
      </c>
      <c r="AT154" s="864">
        <f>_xlfn.IFERROR(AT153/AT152,0)</f>
        <v>-0.0404624277456647</v>
      </c>
      <c r="AU154" s="864">
        <f>_xlfn.IFERROR(AU153/AU152,0)</f>
        <v>0</v>
      </c>
      <c r="AV154" s="864">
        <f>_xlfn.IFERROR(AV153/AV152,0)</f>
        <v>0.013671875</v>
      </c>
      <c r="AW154" s="864">
        <f>_xlfn.IFERROR(AW153/AW152,0)</f>
        <v>-0.0404624277456647</v>
      </c>
      <c r="AX154" s="864">
        <f>_xlfn.IFERROR(AX153/AX152,0)</f>
        <v>0</v>
      </c>
      <c r="AY154" s="864">
        <f>_xlfn.IFERROR(AY153/AY152,0)</f>
        <v>0.013671875</v>
      </c>
      <c r="AZ154" s="864">
        <f>_xlfn.IFERROR(AZ153/AZ152,0)</f>
        <v>-0.0404624277456647</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0.013671875</v>
      </c>
      <c r="BR154" s="864">
        <f>_xlfn.IFERROR(BR153/BR152,0)</f>
        <v>-0.0404624277456647</v>
      </c>
      <c r="BS154" s="864">
        <f>_xlfn.IFERROR(BS153/BS152,0)</f>
        <v>0</v>
      </c>
      <c r="BT154" s="864">
        <f>_xlfn.IFERROR(BT153/BT152,0)</f>
        <v>0.013671875</v>
      </c>
      <c r="BU154" s="864">
        <f>_xlfn.IFERROR(BU153/BU152,0)</f>
        <v>-0.0404624277456647</v>
      </c>
      <c r="BV154" s="864">
        <f>_xlfn.IFERROR(BV153/BV152,0)</f>
        <v>0</v>
      </c>
      <c r="BW154" s="864">
        <f>_xlfn.IFERROR(BW153/BW152,0)</f>
        <v>0.013671875</v>
      </c>
      <c r="BX154" s="864">
        <f>_xlfn.IFERROR(BX153/BX152,0)</f>
        <v>-0.0404624277456647</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30"/>
      <c r="CU154" s="1619"/>
      <c r="CV154" s="1619"/>
      <c r="CW154" s="1170" t="s">
        <v>761</v>
      </c>
      <c r="CX154" s="1175"/>
      <c r="CY154" s="1175"/>
      <c r="CZ154" s="1175"/>
      <c r="DA154" s="1176"/>
      <c r="DB154" s="1176"/>
    </row>
    <row s="1619"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19"/>
      <c r="AD155" s="157">
        <v>9</v>
      </c>
      <c r="AE155" s="1495" t="s">
        <v>762</v>
      </c>
      <c r="AF155" s="165"/>
      <c r="AG155" s="869" t="s">
        <v>591</v>
      </c>
      <c r="AH155" s="857">
        <f>AH152-AH153</f>
        <v>0</v>
      </c>
      <c r="AI155" s="859">
        <f>AI152-AI153</f>
        <v>0</v>
      </c>
      <c r="AJ155" s="859">
        <f>AJ152-AJ153</f>
        <v>0</v>
      </c>
      <c r="AK155" s="859">
        <f>AK152-AK153</f>
        <v>0</v>
      </c>
      <c r="AL155" s="859">
        <f>AL152-AL153</f>
        <v>1370</v>
      </c>
      <c r="AM155" s="859">
        <f>AM152-AM153</f>
        <v>1010</v>
      </c>
      <c r="AN155" s="859">
        <f>AN152-AN153</f>
        <v>360</v>
      </c>
      <c r="AO155" s="859">
        <f>AO152-AO153</f>
        <v>1370</v>
      </c>
      <c r="AP155" s="859">
        <f>AP152-AP153</f>
        <v>1010</v>
      </c>
      <c r="AQ155" s="859">
        <f>AQ152-AQ153</f>
        <v>360</v>
      </c>
      <c r="AR155" s="859">
        <f>AR152-AR153</f>
        <v>1370</v>
      </c>
      <c r="AS155" s="859">
        <f>AS152-AS153</f>
        <v>1010</v>
      </c>
      <c r="AT155" s="859">
        <f>AT152-AT153</f>
        <v>360</v>
      </c>
      <c r="AU155" s="859">
        <f>AU152-AU153</f>
        <v>1370</v>
      </c>
      <c r="AV155" s="859">
        <f>AV152-AV153</f>
        <v>1010</v>
      </c>
      <c r="AW155" s="859">
        <f>AW152-AW153</f>
        <v>360</v>
      </c>
      <c r="AX155" s="859">
        <f>AX152-AX153</f>
        <v>1370</v>
      </c>
      <c r="AY155" s="859">
        <f>AY152-AY153</f>
        <v>1010</v>
      </c>
      <c r="AZ155" s="859">
        <f>AZ152-AZ153</f>
        <v>360</v>
      </c>
      <c r="BA155" s="859">
        <f>BA152-BA153</f>
        <v>1370</v>
      </c>
      <c r="BB155" s="859">
        <f>BB152-BB153</f>
        <v>0</v>
      </c>
      <c r="BC155" s="859">
        <f>BC152-BC153</f>
        <v>1370</v>
      </c>
      <c r="BD155" s="859">
        <f>BD152-BD153</f>
        <v>1370</v>
      </c>
      <c r="BE155" s="859">
        <f>BE152-BE153</f>
        <v>0</v>
      </c>
      <c r="BF155" s="859">
        <f>BF152-BF153</f>
        <v>1370</v>
      </c>
      <c r="BG155" s="859">
        <f>BG152-BG153</f>
        <v>1370</v>
      </c>
      <c r="BH155" s="859">
        <f>BH152-BH153</f>
        <v>0</v>
      </c>
      <c r="BI155" s="859">
        <f>BI152-BI153</f>
        <v>1370</v>
      </c>
      <c r="BJ155" s="859">
        <f>BJ152-BJ153</f>
        <v>1370</v>
      </c>
      <c r="BK155" s="859">
        <f>BK152-BK153</f>
        <v>0</v>
      </c>
      <c r="BL155" s="859">
        <f>BL152-BL153</f>
        <v>1370</v>
      </c>
      <c r="BM155" s="859">
        <f>BM152-BM153</f>
        <v>1370</v>
      </c>
      <c r="BN155" s="859">
        <f>BN152-BN153</f>
        <v>0</v>
      </c>
      <c r="BO155" s="859">
        <f>BO152-BO153</f>
        <v>1370</v>
      </c>
      <c r="BP155" s="859">
        <f>BP152-BP153</f>
        <v>1370</v>
      </c>
      <c r="BQ155" s="859">
        <f>BQ152-BQ153</f>
        <v>1010</v>
      </c>
      <c r="BR155" s="859">
        <f>BR152-BR153</f>
        <v>360</v>
      </c>
      <c r="BS155" s="859">
        <f>BS152-BS153</f>
        <v>1370</v>
      </c>
      <c r="BT155" s="859">
        <f>BT152-BT153</f>
        <v>1010</v>
      </c>
      <c r="BU155" s="859">
        <f>BU152-BU153</f>
        <v>360</v>
      </c>
      <c r="BV155" s="859">
        <f>BV152-BV153</f>
        <v>1370</v>
      </c>
      <c r="BW155" s="859">
        <f>BW152-BW153</f>
        <v>1010</v>
      </c>
      <c r="BX155" s="859">
        <f>BX152-BX153</f>
        <v>360</v>
      </c>
      <c r="BY155" s="859">
        <f>BY152-BY153</f>
        <v>1370</v>
      </c>
      <c r="BZ155" s="859">
        <f>BZ152-BZ153</f>
        <v>1024</v>
      </c>
      <c r="CA155" s="859">
        <f>CA152-CA153</f>
        <v>346</v>
      </c>
      <c r="CB155" s="859">
        <f>CB152-CB153</f>
        <v>1370</v>
      </c>
      <c r="CC155" s="859">
        <f>CC152-CC153</f>
        <v>1024</v>
      </c>
      <c r="CD155" s="859">
        <f>CD152-CD153</f>
        <v>346</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30"/>
      <c r="CU155" s="1619"/>
      <c r="CV155" s="1619"/>
      <c r="CW155" s="1170" t="s">
        <v>763</v>
      </c>
      <c r="CX155" s="1175"/>
      <c r="CY155" s="1175"/>
      <c r="CZ155" s="1175"/>
      <c r="DA155" s="1176"/>
      <c r="DB155" s="1176"/>
    </row>
    <row s="1619"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725</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19"/>
      <c r="AD156" s="157">
        <v>10</v>
      </c>
      <c r="AE156" s="1495" t="s">
        <v>742</v>
      </c>
      <c r="AF156" s="165"/>
      <c r="AG156" s="648" t="s">
        <v>728</v>
      </c>
      <c r="AH156" s="86"/>
      <c r="AI156" s="87"/>
      <c r="AJ156" s="87"/>
      <c r="AK156" s="87"/>
      <c r="AL156" s="859">
        <f>AM156+AN156</f>
        <v>0</v>
      </c>
      <c r="AM156" s="87"/>
      <c r="AN156" s="87"/>
      <c r="AO156" s="859">
        <f>AP156+AQ156</f>
        <v>0</v>
      </c>
      <c r="AP156" s="976"/>
      <c r="AQ156" s="976"/>
      <c r="AR156" s="859">
        <f>AS156+AT156</f>
        <v>0</v>
      </c>
      <c r="AS156" s="976"/>
      <c r="AT156" s="976"/>
      <c r="AU156" s="859">
        <f>AV156+AW156</f>
        <v>0</v>
      </c>
      <c r="AV156" s="976"/>
      <c r="AW156" s="976"/>
      <c r="AX156" s="859">
        <f>AY156+AZ156</f>
        <v>0</v>
      </c>
      <c r="AY156" s="976"/>
      <c r="AZ156" s="976"/>
      <c r="BA156" s="859">
        <f>BB156+BC156</f>
        <v>0</v>
      </c>
      <c r="BB156" s="87"/>
      <c r="BC156" s="87"/>
      <c r="BD156" s="859">
        <f>BE156+BF156</f>
        <v>0</v>
      </c>
      <c r="BE156" s="87"/>
      <c r="BF156" s="87"/>
      <c r="BG156" s="859">
        <f>BH156+BI156</f>
        <v>0</v>
      </c>
      <c r="BH156" s="87"/>
      <c r="BI156" s="87"/>
      <c r="BJ156" s="859">
        <f>BK156+BL156</f>
        <v>0</v>
      </c>
      <c r="BK156" s="87"/>
      <c r="BL156" s="87"/>
      <c r="BM156" s="859">
        <f>BN156+BO156</f>
        <v>0</v>
      </c>
      <c r="BN156" s="87"/>
      <c r="BO156" s="87"/>
      <c r="BP156" s="859">
        <f>BQ156+BR156</f>
        <v>0</v>
      </c>
      <c r="BQ156" s="976"/>
      <c r="BR156" s="976"/>
      <c r="BS156" s="859">
        <f>BT156+BU156</f>
        <v>0</v>
      </c>
      <c r="BT156" s="976"/>
      <c r="BU156" s="976"/>
      <c r="BV156" s="859">
        <f>BW156+BX156</f>
        <v>0</v>
      </c>
      <c r="BW156" s="976"/>
      <c r="BX156" s="976"/>
      <c r="BY156" s="859">
        <f>BZ156+CA156</f>
        <v>0</v>
      </c>
      <c r="BZ156" s="976"/>
      <c r="CA156" s="976"/>
      <c r="CB156" s="859">
        <f>CC156+CD156</f>
        <v>0</v>
      </c>
      <c r="CC156" s="976"/>
      <c r="CD156" s="976"/>
      <c r="CE156" s="859">
        <f>CF156+CG156</f>
        <v>0</v>
      </c>
      <c r="CF156" s="87"/>
      <c r="CG156" s="87"/>
      <c r="CH156" s="859">
        <f>CI156+CJ156</f>
        <v>0</v>
      </c>
      <c r="CI156" s="87"/>
      <c r="CJ156" s="87"/>
      <c r="CK156" s="859">
        <f>CL156+CM156</f>
        <v>0</v>
      </c>
      <c r="CL156" s="87"/>
      <c r="CM156" s="87"/>
      <c r="CN156" s="859">
        <f>CO156+CP156</f>
        <v>0</v>
      </c>
      <c r="CO156" s="87"/>
      <c r="CP156" s="87"/>
      <c r="CQ156" s="859">
        <f>CR156+CS156</f>
        <v>0</v>
      </c>
      <c r="CR156" s="87"/>
      <c r="CS156" s="87"/>
      <c r="CT156" s="73"/>
      <c r="CU156" s="1619"/>
      <c r="CV156" s="1619"/>
      <c r="CW156" s="1170" t="s">
        <v>764</v>
      </c>
      <c r="CX156" s="1175"/>
      <c r="CY156" s="1175"/>
      <c r="CZ156" s="1175"/>
      <c r="DA156" s="1176"/>
      <c r="DB156" s="1176"/>
    </row>
    <row s="1619"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725</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19"/>
      <c r="AD157" s="157">
        <v>11</v>
      </c>
      <c r="AE157" s="1495" t="s">
        <v>765</v>
      </c>
      <c r="AF157" s="165"/>
      <c r="AG157" s="648" t="s">
        <v>766</v>
      </c>
      <c r="AH157" s="86"/>
      <c r="AI157" s="87"/>
      <c r="AJ157" s="87"/>
      <c r="AK157" s="87"/>
      <c r="AL157" s="859">
        <f>_xlfn.IFERROR(AL158*1000/AL156,0)</f>
        <v>0</v>
      </c>
      <c r="AM157" s="87"/>
      <c r="AN157" s="87" cm="1" t="str">
        <f t="array" ref="AN157:AN157">AM157</f>
        <v>0</v>
      </c>
      <c r="AO157" s="859">
        <f>_xlfn.IFERROR(AO158*1000/AO156,0)</f>
        <v>0</v>
      </c>
      <c r="AP157" s="976"/>
      <c r="AQ157" s="976" cm="1" t="str">
        <f t="array" ref="AQ157:AQ157">AP157</f>
        <v>0</v>
      </c>
      <c r="AR157" s="859">
        <f>_xlfn.IFERROR(AR158*1000/AR156,0)</f>
        <v>0</v>
      </c>
      <c r="AS157" s="976"/>
      <c r="AT157" s="976" cm="1" t="str">
        <f t="array" ref="AT157:AT157">AS157</f>
        <v>0</v>
      </c>
      <c r="AU157" s="859">
        <f>_xlfn.IFERROR(AU158*1000/AU156,0)</f>
        <v>0</v>
      </c>
      <c r="AV157" s="976"/>
      <c r="AW157" s="976" cm="1" t="str">
        <f t="array" ref="AW157:AW157">AV157</f>
        <v>0</v>
      </c>
      <c r="AX157" s="859">
        <f>_xlfn.IFERROR(AX158*1000/AX156,0)</f>
        <v>0</v>
      </c>
      <c r="AY157" s="976"/>
      <c r="AZ157" s="976" cm="1" t="str">
        <f t="array" ref="AZ157:AZ157">AY157</f>
        <v>0</v>
      </c>
      <c r="BA157" s="859">
        <f>_xlfn.IFERROR(BA158*1000/BA156,0)</f>
        <v>0</v>
      </c>
      <c r="BB157" s="87"/>
      <c r="BC157" s="87" cm="1" t="str">
        <f t="array" ref="BC157:BC157">BB157</f>
        <v>0</v>
      </c>
      <c r="BD157" s="859">
        <f>_xlfn.IFERROR(BD158*1000/BD156,0)</f>
        <v>0</v>
      </c>
      <c r="BE157" s="87"/>
      <c r="BF157" s="87" cm="1" t="str">
        <f t="array" ref="BF157:BF157">BE157</f>
        <v>0</v>
      </c>
      <c r="BG157" s="859">
        <f>_xlfn.IFERROR(BG158*1000/BG156,0)</f>
        <v>0</v>
      </c>
      <c r="BH157" s="87"/>
      <c r="BI157" s="87" cm="1" t="str">
        <f t="array" ref="BI157:BI157">BH157</f>
        <v>0</v>
      </c>
      <c r="BJ157" s="859">
        <f>_xlfn.IFERROR(BJ158*1000/BJ156,0)</f>
        <v>0</v>
      </c>
      <c r="BK157" s="87"/>
      <c r="BL157" s="87" cm="1" t="str">
        <f t="array" ref="BL157:BL157">BK157</f>
        <v>0</v>
      </c>
      <c r="BM157" s="859">
        <f>_xlfn.IFERROR(BM158*1000/BM156,0)</f>
        <v>0</v>
      </c>
      <c r="BN157" s="87"/>
      <c r="BO157" s="87" cm="1" t="str">
        <f t="array" ref="BO157:BO157">BN157</f>
        <v>0</v>
      </c>
      <c r="BP157" s="859">
        <f>_xlfn.IFERROR(BP158*1000/BP156,0)</f>
        <v>0</v>
      </c>
      <c r="BQ157" s="976"/>
      <c r="BR157" s="976" cm="1" t="str">
        <f t="array" ref="BR157:BR157">BQ157</f>
        <v>0</v>
      </c>
      <c r="BS157" s="859">
        <f>_xlfn.IFERROR(BS158*1000/BS156,0)</f>
        <v>0</v>
      </c>
      <c r="BT157" s="976"/>
      <c r="BU157" s="976" cm="1" t="str">
        <f t="array" ref="BU157:BU157">BT157</f>
        <v>0</v>
      </c>
      <c r="BV157" s="859">
        <f>_xlfn.IFERROR(BV158*1000/BV156,0)</f>
        <v>0</v>
      </c>
      <c r="BW157" s="976"/>
      <c r="BX157" s="976" cm="1" t="str">
        <f t="array" ref="BX157:BX157">BW157</f>
        <v>0</v>
      </c>
      <c r="BY157" s="859">
        <f>_xlfn.IFERROR(BY158*1000/BY156,0)</f>
        <v>0</v>
      </c>
      <c r="BZ157" s="976"/>
      <c r="CA157" s="976" cm="1" t="str">
        <f t="array" ref="CA157:CA157">BZ157</f>
        <v>0</v>
      </c>
      <c r="CB157" s="859">
        <f>_xlfn.IFERROR(CB158*1000/CB156,0)</f>
        <v>0</v>
      </c>
      <c r="CC157" s="976"/>
      <c r="CD157" s="976" cm="1" t="str">
        <f t="array" ref="CD157:CD157">CC157</f>
        <v>0</v>
      </c>
      <c r="CE157" s="859">
        <f>_xlfn.IFERROR(CE158*1000/CE156,0)</f>
        <v>0</v>
      </c>
      <c r="CF157" s="87"/>
      <c r="CG157" s="87" cm="1" t="str">
        <f t="array" ref="CG157:CG157">CF157</f>
        <v>0</v>
      </c>
      <c r="CH157" s="859">
        <f>_xlfn.IFERROR(CH158*1000/CH156,0)</f>
        <v>0</v>
      </c>
      <c r="CI157" s="87"/>
      <c r="CJ157" s="87" cm="1" t="str">
        <f t="array" ref="CJ157:CJ157">CI157</f>
        <v>0</v>
      </c>
      <c r="CK157" s="859">
        <f>_xlfn.IFERROR(CK158*1000/CK156,0)</f>
        <v>0</v>
      </c>
      <c r="CL157" s="87"/>
      <c r="CM157" s="87" cm="1" t="str">
        <f t="array" ref="CM157:CM157">CL157</f>
        <v>0</v>
      </c>
      <c r="CN157" s="859">
        <f>_xlfn.IFERROR(CN158*1000/CN156,0)</f>
        <v>0</v>
      </c>
      <c r="CO157" s="87"/>
      <c r="CP157" s="87" cm="1" t="str">
        <f t="array" ref="CP157:CP157">CO157</f>
        <v>0</v>
      </c>
      <c r="CQ157" s="859">
        <f>_xlfn.IFERROR(CQ158*1000/CQ156,0)</f>
        <v>0</v>
      </c>
      <c r="CR157" s="87"/>
      <c r="CS157" s="87" cm="1" t="str">
        <f t="array" ref="CS157:CS157">CR157</f>
        <v>0</v>
      </c>
      <c r="CT157" s="73"/>
      <c r="CU157" s="1619"/>
      <c r="CV157" s="1619"/>
      <c r="CW157" s="1170" t="s">
        <v>767</v>
      </c>
      <c r="CX157" s="1175"/>
      <c r="CY157" s="1175"/>
      <c r="CZ157" s="1175"/>
      <c r="DA157" s="1176"/>
      <c r="DB157" s="1176"/>
    </row>
    <row s="1619"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725</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19"/>
      <c r="AD158" s="157">
        <v>12</v>
      </c>
      <c r="AE158" s="1495" t="s">
        <v>768</v>
      </c>
      <c r="AF158" s="165"/>
      <c r="AG158" s="648" t="s">
        <v>769</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3"/>
      <c r="CU158" s="1619"/>
      <c r="CV158" s="1619"/>
      <c r="CW158" s="1170" t="s">
        <v>770</v>
      </c>
      <c r="CX158" s="1175"/>
      <c r="CY158" s="1175"/>
      <c r="CZ158" s="1175"/>
      <c r="DA158" s="1176"/>
      <c r="DB158" s="1176"/>
    </row>
    <row s="1619"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19"/>
      <c r="AD159" s="157">
        <v>13</v>
      </c>
      <c r="AE159" s="1495" t="s">
        <v>755</v>
      </c>
      <c r="AF159" s="165"/>
      <c r="AG159" s="648" t="s">
        <v>591</v>
      </c>
      <c r="AH159" s="1768" cm="1" t="str">
        <f t="array" ref="AH159:AH159">AH152</f>
        <v>0</v>
      </c>
      <c r="AI159" s="1768" cm="1" t="str">
        <f t="array" ref="AI159:AI159">AI152</f>
        <v>0</v>
      </c>
      <c r="AJ159" s="1768" cm="1" t="str">
        <f t="array" ref="AJ159:AJ159">AJ152</f>
        <v>0</v>
      </c>
      <c r="AK159" s="1768" cm="1" t="str">
        <f t="array" ref="AK159:AK159">AK152</f>
        <v>0</v>
      </c>
      <c r="AL159" s="1768" cm="1" t="str">
        <f t="array" ref="AL159:AL159">AL152</f>
        <v>1370</v>
      </c>
      <c r="AM159" s="1768" cm="1" t="str">
        <f t="array" ref="AM159:AM159">AM152</f>
        <v>1024</v>
      </c>
      <c r="AN159" s="1768" cm="1" t="str">
        <f t="array" ref="AN159:AN159">AN152</f>
        <v>346</v>
      </c>
      <c r="AO159" s="977" cm="1" t="str">
        <f t="array" ref="AO159:AO159">AO152</f>
        <v>1370</v>
      </c>
      <c r="AP159" s="977" cm="1" t="str">
        <f t="array" ref="AP159:AP159">AP152</f>
        <v>1024</v>
      </c>
      <c r="AQ159" s="977" cm="1" t="str">
        <f t="array" ref="AQ159:AQ159">AQ152</f>
        <v>346</v>
      </c>
      <c r="AR159" s="977" cm="1" t="str">
        <f t="array" ref="AR159:AR159">AR152</f>
        <v>1370</v>
      </c>
      <c r="AS159" s="977" cm="1" t="str">
        <f t="array" ref="AS159:AS159">AS152</f>
        <v>1024</v>
      </c>
      <c r="AT159" s="977" cm="1" t="str">
        <f t="array" ref="AT159:AT159">AT152</f>
        <v>346</v>
      </c>
      <c r="AU159" s="977" cm="1" t="str">
        <f t="array" ref="AU159:AU159">AU152</f>
        <v>1370</v>
      </c>
      <c r="AV159" s="977" cm="1" t="str">
        <f t="array" ref="AV159:AV159">AV152</f>
        <v>1024</v>
      </c>
      <c r="AW159" s="977" cm="1" t="str">
        <f t="array" ref="AW159:AW159">AW152</f>
        <v>346</v>
      </c>
      <c r="AX159" s="977" cm="1" t="str">
        <f t="array" ref="AX159:AX159">AX152</f>
        <v>1370</v>
      </c>
      <c r="AY159" s="977" cm="1" t="str">
        <f t="array" ref="AY159:AY159">AY152</f>
        <v>1024</v>
      </c>
      <c r="AZ159" s="977" cm="1" t="str">
        <f t="array" ref="AZ159:AZ159">AZ152</f>
        <v>346</v>
      </c>
      <c r="BA159" s="1768" cm="1" t="str">
        <f t="array" ref="BA159:BA159">BA152</f>
        <v>1370</v>
      </c>
      <c r="BB159" s="1768" cm="1" t="str">
        <f t="array" ref="BB159:BB159">BB152</f>
        <v>0</v>
      </c>
      <c r="BC159" s="1768" cm="1" t="str">
        <f t="array" ref="BC159:BC159">BC152</f>
        <v>1370</v>
      </c>
      <c r="BD159" s="1768" cm="1" t="str">
        <f t="array" ref="BD159:BD159">BD152</f>
        <v>1370</v>
      </c>
      <c r="BE159" s="1768" cm="1" t="str">
        <f t="array" ref="BE159:BE159">BE152</f>
        <v>0</v>
      </c>
      <c r="BF159" s="1768" cm="1" t="str">
        <f t="array" ref="BF159:BF159">BF152</f>
        <v>1370</v>
      </c>
      <c r="BG159" s="1768" cm="1" t="str">
        <f t="array" ref="BG159:BG159">BG152</f>
        <v>1370</v>
      </c>
      <c r="BH159" s="1768" cm="1" t="str">
        <f t="array" ref="BH159:BH159">BH152</f>
        <v>0</v>
      </c>
      <c r="BI159" s="1768" cm="1" t="str">
        <f t="array" ref="BI159:BI159">BI152</f>
        <v>1370</v>
      </c>
      <c r="BJ159" s="1768" cm="1" t="str">
        <f t="array" ref="BJ159:BJ159">BJ152</f>
        <v>1370</v>
      </c>
      <c r="BK159" s="1768" cm="1" t="str">
        <f t="array" ref="BK159:BK159">BK152</f>
        <v>0</v>
      </c>
      <c r="BL159" s="1768" cm="1" t="str">
        <f t="array" ref="BL159:BL159">BL152</f>
        <v>1370</v>
      </c>
      <c r="BM159" s="1768" cm="1" t="str">
        <f t="array" ref="BM159:BM159">BM152</f>
        <v>1370</v>
      </c>
      <c r="BN159" s="1768" cm="1" t="str">
        <f t="array" ref="BN159:BN159">BN152</f>
        <v>0</v>
      </c>
      <c r="BO159" s="1768" cm="1" t="str">
        <f t="array" ref="BO159:BO159">BO152</f>
        <v>1370</v>
      </c>
      <c r="BP159" s="977" cm="1" t="str">
        <f t="array" ref="BP159:BP159">BP152</f>
        <v>1370</v>
      </c>
      <c r="BQ159" s="977" cm="1" t="str">
        <f t="array" ref="BQ159:BQ159">BQ152</f>
        <v>1024</v>
      </c>
      <c r="BR159" s="977" cm="1" t="str">
        <f t="array" ref="BR159:BR159">BR152</f>
        <v>346</v>
      </c>
      <c r="BS159" s="977" cm="1" t="str">
        <f t="array" ref="BS159:BS159">BS152</f>
        <v>1370</v>
      </c>
      <c r="BT159" s="977" cm="1" t="str">
        <f t="array" ref="BT159:BT159">BT152</f>
        <v>1024</v>
      </c>
      <c r="BU159" s="977" cm="1" t="str">
        <f t="array" ref="BU159:BU159">BU152</f>
        <v>346</v>
      </c>
      <c r="BV159" s="977" cm="1" t="str">
        <f t="array" ref="BV159:BV159">BV152</f>
        <v>1370</v>
      </c>
      <c r="BW159" s="977" cm="1" t="str">
        <f t="array" ref="BW159:BW159">BW152</f>
        <v>1024</v>
      </c>
      <c r="BX159" s="977" cm="1" t="str">
        <f t="array" ref="BX159:BX159">BX152</f>
        <v>346</v>
      </c>
      <c r="BY159" s="977" cm="1" t="str">
        <f t="array" ref="BY159:BY159">BY152</f>
        <v>1370</v>
      </c>
      <c r="BZ159" s="977" cm="1" t="str">
        <f t="array" ref="BZ159:BZ159">BZ152</f>
        <v>1024</v>
      </c>
      <c r="CA159" s="977" cm="1" t="str">
        <f t="array" ref="CA159:CA159">CA152</f>
        <v>346</v>
      </c>
      <c r="CB159" s="977" cm="1" t="str">
        <f t="array" ref="CB159:CB159">CB152</f>
        <v>1370</v>
      </c>
      <c r="CC159" s="977" cm="1" t="str">
        <f t="array" ref="CC159:CC159">CC152</f>
        <v>1024</v>
      </c>
      <c r="CD159" s="977" cm="1" t="str">
        <f t="array" ref="CD159:CD159">CD152</f>
        <v>346</v>
      </c>
      <c r="CE159" s="1768" cm="1" t="str">
        <f t="array" ref="CE159:CE159">CE152</f>
        <v>0</v>
      </c>
      <c r="CF159" s="1768" cm="1" t="str">
        <f t="array" ref="CF159:CF159">CF152</f>
        <v>0</v>
      </c>
      <c r="CG159" s="1768" cm="1" t="str">
        <f t="array" ref="CG159:CG159">CG152</f>
        <v>0</v>
      </c>
      <c r="CH159" s="1768" cm="1" t="str">
        <f t="array" ref="CH159:CH159">CH152</f>
        <v>0</v>
      </c>
      <c r="CI159" s="1768" cm="1" t="str">
        <f t="array" ref="CI159:CI159">CI152</f>
        <v>0</v>
      </c>
      <c r="CJ159" s="1768" cm="1" t="str">
        <f t="array" ref="CJ159:CJ159">CJ152</f>
        <v>0</v>
      </c>
      <c r="CK159" s="1768" cm="1" t="str">
        <f t="array" ref="CK159:CK159">CK152</f>
        <v>0</v>
      </c>
      <c r="CL159" s="1768" cm="1" t="str">
        <f t="array" ref="CL159:CL159">CL152</f>
        <v>0</v>
      </c>
      <c r="CM159" s="1768" cm="1" t="str">
        <f t="array" ref="CM159:CM159">CM152</f>
        <v>0</v>
      </c>
      <c r="CN159" s="1768" cm="1" t="str">
        <f t="array" ref="CN159:CN159">CN152</f>
        <v>0</v>
      </c>
      <c r="CO159" s="1768" cm="1" t="str">
        <f t="array" ref="CO159:CO159">CO152</f>
        <v>0</v>
      </c>
      <c r="CP159" s="1768" cm="1" t="str">
        <f t="array" ref="CP159:CP159">CP152</f>
        <v>0</v>
      </c>
      <c r="CQ159" s="1768" cm="1" t="str">
        <f t="array" ref="CQ159:CQ159">CQ152</f>
        <v>0</v>
      </c>
      <c r="CR159" s="1768" cm="1" t="str">
        <f t="array" ref="CR159:CR159">CR152</f>
        <v>0</v>
      </c>
      <c r="CS159" s="1768" cm="1" t="str">
        <f t="array" ref="CS159:CS159">CS152</f>
        <v>0</v>
      </c>
      <c r="CT159" s="1730"/>
      <c r="CU159" s="1619"/>
      <c r="CV159" s="1619"/>
      <c r="CW159" s="1170" t="s">
        <v>771</v>
      </c>
      <c r="CX159" s="1175"/>
      <c r="CY159" s="1175"/>
      <c r="CZ159" s="1175"/>
      <c r="DA159" s="1176"/>
      <c r="DB159" s="1176"/>
    </row>
    <row s="1619"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19"/>
      <c r="AD160" s="157">
        <v>14</v>
      </c>
      <c r="AE160" s="1495" t="s">
        <v>772</v>
      </c>
      <c r="AF160" s="165"/>
      <c r="AG160" s="157" t="s">
        <v>773</v>
      </c>
      <c r="AH160" s="1768">
        <f>_xlfn.IFERROR(AH161/AH159*1000,0)</f>
        <v>0</v>
      </c>
      <c r="AI160" s="1768">
        <f>_xlfn.IFERROR(AI161/AI159*1000,0)</f>
        <v>0</v>
      </c>
      <c r="AJ160" s="1768">
        <f>_xlfn.IFERROR(AJ161/AJ159*1000,0)</f>
        <v>0</v>
      </c>
      <c r="AK160" s="1768">
        <f>_xlfn.IFERROR(AK161/AK159*1000,0)</f>
        <v>0</v>
      </c>
      <c r="AL160" s="1768">
        <v>213</v>
      </c>
      <c r="AM160" s="1768" cm="1" t="str">
        <f t="array" ref="AM160:AM160">AL160</f>
        <v>213</v>
      </c>
      <c r="AN160" s="1768" cm="1" t="str">
        <f t="array" ref="AN160:AN160">AL160</f>
        <v>213</v>
      </c>
      <c r="AO160" s="977">
        <v>213</v>
      </c>
      <c r="AP160" s="977" cm="1" t="str">
        <f t="array" ref="AP160:AP160">AO160</f>
        <v>213</v>
      </c>
      <c r="AQ160" s="977" cm="1" t="str">
        <f t="array" ref="AQ160:AQ160">AO160</f>
        <v>213</v>
      </c>
      <c r="AR160" s="977">
        <v>213</v>
      </c>
      <c r="AS160" s="977" cm="1" t="str">
        <f t="array" ref="AS160:AS160">AR160</f>
        <v>213</v>
      </c>
      <c r="AT160" s="977" cm="1" t="str">
        <f t="array" ref="AT160:AT160">AR160</f>
        <v>213</v>
      </c>
      <c r="AU160" s="977">
        <v>213</v>
      </c>
      <c r="AV160" s="977" cm="1" t="str">
        <f t="array" ref="AV160:AV160">AU160</f>
        <v>213</v>
      </c>
      <c r="AW160" s="977" cm="1" t="str">
        <f t="array" ref="AW160:AW160">AU160</f>
        <v>213</v>
      </c>
      <c r="AX160" s="977">
        <v>213</v>
      </c>
      <c r="AY160" s="977" cm="1" t="str">
        <f t="array" ref="AY160:AY160">AX160</f>
        <v>213</v>
      </c>
      <c r="AZ160" s="977" cm="1" t="str">
        <f t="array" ref="AZ160:AZ160">AX160</f>
        <v>213</v>
      </c>
      <c r="BA160" s="1768"/>
      <c r="BB160" s="1768" cm="1" t="str">
        <f t="array" ref="BB160:BB160">BA160</f>
        <v>0</v>
      </c>
      <c r="BC160" s="1768" cm="1" t="str">
        <f t="array" ref="BC160:BC160">BA160</f>
        <v>0</v>
      </c>
      <c r="BD160" s="1768"/>
      <c r="BE160" s="1768" cm="1" t="str">
        <f t="array" ref="BE160:BE160">BD160</f>
        <v>0</v>
      </c>
      <c r="BF160" s="1768" cm="1" t="str">
        <f t="array" ref="BF160:BF160">BD160</f>
        <v>0</v>
      </c>
      <c r="BG160" s="1768"/>
      <c r="BH160" s="1768" cm="1" t="str">
        <f t="array" ref="BH160:BH160">BG160</f>
        <v>0</v>
      </c>
      <c r="BI160" s="1768" cm="1" t="str">
        <f t="array" ref="BI160:BI160">BG160</f>
        <v>0</v>
      </c>
      <c r="BJ160" s="1768"/>
      <c r="BK160" s="1768" cm="1" t="str">
        <f t="array" ref="BK160:BK160">BJ160</f>
        <v>0</v>
      </c>
      <c r="BL160" s="1768" cm="1" t="str">
        <f t="array" ref="BL160:BL160">BJ160</f>
        <v>0</v>
      </c>
      <c r="BM160" s="1768"/>
      <c r="BN160" s="1768" cm="1" t="str">
        <f t="array" ref="BN160:BN160">BM160</f>
        <v>0</v>
      </c>
      <c r="BO160" s="1768" cm="1" t="str">
        <f t="array" ref="BO160:BO160">BM160</f>
        <v>0</v>
      </c>
      <c r="BP160" s="977">
        <v>213</v>
      </c>
      <c r="BQ160" s="977" cm="1" t="str">
        <f t="array" ref="BQ160:BQ160">BP160</f>
        <v>213</v>
      </c>
      <c r="BR160" s="977" cm="1" t="str">
        <f t="array" ref="BR160:BR160">BP160</f>
        <v>213</v>
      </c>
      <c r="BS160" s="977">
        <v>213</v>
      </c>
      <c r="BT160" s="977" cm="1" t="str">
        <f t="array" ref="BT160:BT160">BS160</f>
        <v>213</v>
      </c>
      <c r="BU160" s="977" cm="1" t="str">
        <f t="array" ref="BU160:BU160">BS160</f>
        <v>213</v>
      </c>
      <c r="BV160" s="977">
        <v>213</v>
      </c>
      <c r="BW160" s="977" cm="1" t="str">
        <f t="array" ref="BW160:BW160">BV160</f>
        <v>213</v>
      </c>
      <c r="BX160" s="977" cm="1" t="str">
        <f t="array" ref="BX160:BX160">BV160</f>
        <v>213</v>
      </c>
      <c r="BY160" s="977">
        <v>213</v>
      </c>
      <c r="BZ160" s="977" cm="1" t="str">
        <f t="array" ref="BZ160:BZ160">BY160</f>
        <v>213</v>
      </c>
      <c r="CA160" s="977" cm="1" t="str">
        <f t="array" ref="CA160:CA160">BY160</f>
        <v>213</v>
      </c>
      <c r="CB160" s="977">
        <v>213</v>
      </c>
      <c r="CC160" s="977" cm="1" t="str">
        <f t="array" ref="CC160:CC160">CB160</f>
        <v>213</v>
      </c>
      <c r="CD160" s="977" cm="1" t="str">
        <f t="array" ref="CD160:CD160">CB160</f>
        <v>213</v>
      </c>
      <c r="CE160" s="1768"/>
      <c r="CF160" s="1768" cm="1" t="str">
        <f t="array" ref="CF160:CF160">CE160</f>
        <v>0</v>
      </c>
      <c r="CG160" s="1768" cm="1" t="str">
        <f t="array" ref="CG160:CG160">CE160</f>
        <v>0</v>
      </c>
      <c r="CH160" s="1768"/>
      <c r="CI160" s="1768" cm="1" t="str">
        <f t="array" ref="CI160:CI160">CH160</f>
        <v>0</v>
      </c>
      <c r="CJ160" s="1768" cm="1" t="str">
        <f t="array" ref="CJ160:CJ160">CH160</f>
        <v>0</v>
      </c>
      <c r="CK160" s="1768"/>
      <c r="CL160" s="1768" cm="1" t="str">
        <f t="array" ref="CL160:CL160">CK160</f>
        <v>0</v>
      </c>
      <c r="CM160" s="1768" cm="1" t="str">
        <f t="array" ref="CM160:CM160">CK160</f>
        <v>0</v>
      </c>
      <c r="CN160" s="1768"/>
      <c r="CO160" s="1768" cm="1" t="str">
        <f t="array" ref="CO160:CO160">CN160</f>
        <v>0</v>
      </c>
      <c r="CP160" s="1768" cm="1" t="str">
        <f t="array" ref="CP160:CP160">CN160</f>
        <v>0</v>
      </c>
      <c r="CQ160" s="1768"/>
      <c r="CR160" s="1768" cm="1" t="str">
        <f t="array" ref="CR160:CR160">CQ160</f>
        <v>0</v>
      </c>
      <c r="CS160" s="1768" cm="1" t="str">
        <f t="array" ref="CS160:CS160">CQ160</f>
        <v>0</v>
      </c>
      <c r="CT160" s="1730"/>
      <c r="CU160" s="1619"/>
      <c r="CV160" s="1619"/>
      <c r="CW160" s="1170" t="s">
        <v>774</v>
      </c>
      <c r="CX160" s="1175"/>
      <c r="CY160" s="1175"/>
      <c r="CZ160" s="1175"/>
      <c r="DA160" s="1176"/>
      <c r="DB160" s="1176"/>
    </row>
    <row s="1619" customFormat="1" customHeight="1" ht="16.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775</v>
      </c>
      <c r="AC161" s="1619"/>
      <c r="AD161" s="157">
        <v>15</v>
      </c>
      <c r="AE161" s="1495" t="s">
        <v>776</v>
      </c>
      <c r="AF161" s="165"/>
      <c r="AG161" s="157" t="s">
        <v>769</v>
      </c>
      <c r="AH161" s="1768"/>
      <c r="AI161" s="1768"/>
      <c r="AJ161" s="1768"/>
      <c r="AK161" s="1768"/>
      <c r="AL161" s="857">
        <f>AM161+AN161</f>
        <v>291.81</v>
      </c>
      <c r="AM161" s="1768">
        <f>AM160*AM159/1000</f>
        <v>218.112</v>
      </c>
      <c r="AN161" s="1768">
        <f>AN160*AN159/1000</f>
        <v>73.698</v>
      </c>
      <c r="AO161" s="857">
        <f>AP161+AQ161</f>
        <v>291.81</v>
      </c>
      <c r="AP161" s="977">
        <f>AP160*AP159/1000</f>
        <v>218.112</v>
      </c>
      <c r="AQ161" s="977">
        <f>AQ160*AQ159/1000</f>
        <v>73.698</v>
      </c>
      <c r="AR161" s="857">
        <f>AS161+AT161</f>
        <v>291.81</v>
      </c>
      <c r="AS161" s="977">
        <f>AS160*AS159/1000</f>
        <v>218.112</v>
      </c>
      <c r="AT161" s="977">
        <f>AT160*AT159/1000</f>
        <v>73.698</v>
      </c>
      <c r="AU161" s="857">
        <f>AV161+AW161</f>
        <v>291.81</v>
      </c>
      <c r="AV161" s="977">
        <f>AV160*AV159/1000</f>
        <v>218.112</v>
      </c>
      <c r="AW161" s="977">
        <f>AW160*AW159/1000</f>
        <v>73.698</v>
      </c>
      <c r="AX161" s="857">
        <f>AY161+AZ161</f>
        <v>291.81</v>
      </c>
      <c r="AY161" s="977">
        <f>AY160*AY159/1000</f>
        <v>218.112</v>
      </c>
      <c r="AZ161" s="977">
        <f>AZ160*AZ159/1000</f>
        <v>73.698</v>
      </c>
      <c r="BA161" s="857">
        <f>BB161+BC161</f>
        <v>0</v>
      </c>
      <c r="BB161" s="1768">
        <f>BB160*BB159/1000</f>
        <v>0</v>
      </c>
      <c r="BC161" s="1768">
        <f>BC160*BC159/1000</f>
        <v>0</v>
      </c>
      <c r="BD161" s="857">
        <f>BE161+BF161</f>
        <v>0</v>
      </c>
      <c r="BE161" s="1768">
        <f>BE160*BE159/1000</f>
        <v>0</v>
      </c>
      <c r="BF161" s="1768">
        <f>BF160*BF159/1000</f>
        <v>0</v>
      </c>
      <c r="BG161" s="857">
        <f>BH161+BI161</f>
        <v>0</v>
      </c>
      <c r="BH161" s="1768">
        <f>BH160*BH159/1000</f>
        <v>0</v>
      </c>
      <c r="BI161" s="1768">
        <f>BI160*BI159/1000</f>
        <v>0</v>
      </c>
      <c r="BJ161" s="857">
        <f>BK161+BL161</f>
        <v>0</v>
      </c>
      <c r="BK161" s="1768">
        <f>BK160*BK159/1000</f>
        <v>0</v>
      </c>
      <c r="BL161" s="1768">
        <f>BL160*BL159/1000</f>
        <v>0</v>
      </c>
      <c r="BM161" s="857">
        <f>BN161+BO161</f>
        <v>0</v>
      </c>
      <c r="BN161" s="1768">
        <f>BN160*BN159/1000</f>
        <v>0</v>
      </c>
      <c r="BO161" s="1768">
        <f>BO160*BO159/1000</f>
        <v>0</v>
      </c>
      <c r="BP161" s="857">
        <f>BQ161+BR161</f>
        <v>291.81</v>
      </c>
      <c r="BQ161" s="977">
        <f>BQ160*BQ159/1000</f>
        <v>218.112</v>
      </c>
      <c r="BR161" s="977">
        <f>BR160*BR159/1000</f>
        <v>73.698</v>
      </c>
      <c r="BS161" s="857">
        <f>BT161+BU161</f>
        <v>291.81</v>
      </c>
      <c r="BT161" s="977">
        <f>BT160*BT159/1000</f>
        <v>218.112</v>
      </c>
      <c r="BU161" s="977">
        <f>BU160*BU159/1000</f>
        <v>73.698</v>
      </c>
      <c r="BV161" s="857">
        <f>BW161+BX161</f>
        <v>291.81</v>
      </c>
      <c r="BW161" s="977">
        <f>BW160*BW159/1000</f>
        <v>218.112</v>
      </c>
      <c r="BX161" s="977">
        <f>BX160*BX159/1000</f>
        <v>73.698</v>
      </c>
      <c r="BY161" s="857">
        <f>BZ161+CA161</f>
        <v>291.81</v>
      </c>
      <c r="BZ161" s="977">
        <f>BZ160*BZ159/1000</f>
        <v>218.112</v>
      </c>
      <c r="CA161" s="977">
        <f>CA160*CA159/1000</f>
        <v>73.698</v>
      </c>
      <c r="CB161" s="857">
        <f>CC161+CD161</f>
        <v>291.81</v>
      </c>
      <c r="CC161" s="977">
        <f>CC160*CC159/1000</f>
        <v>218.112</v>
      </c>
      <c r="CD161" s="977">
        <f>CD160*CD159/1000</f>
        <v>73.698</v>
      </c>
      <c r="CE161" s="857">
        <f>CF161+CG161</f>
        <v>0</v>
      </c>
      <c r="CF161" s="1768">
        <f>CF160*CF159/1000</f>
        <v>0</v>
      </c>
      <c r="CG161" s="1768">
        <f>CG160*CG159/1000</f>
        <v>0</v>
      </c>
      <c r="CH161" s="857">
        <f>CI161+CJ161</f>
        <v>0</v>
      </c>
      <c r="CI161" s="1768">
        <f>CI160*CI159/1000</f>
        <v>0</v>
      </c>
      <c r="CJ161" s="1768">
        <f>CJ160*CJ159/1000</f>
        <v>0</v>
      </c>
      <c r="CK161" s="857">
        <f>CL161+CM161</f>
        <v>0</v>
      </c>
      <c r="CL161" s="1768">
        <f>CL160*CL159/1000</f>
        <v>0</v>
      </c>
      <c r="CM161" s="1768">
        <f>CM160*CM159/1000</f>
        <v>0</v>
      </c>
      <c r="CN161" s="857">
        <f>CO161+CP161</f>
        <v>0</v>
      </c>
      <c r="CO161" s="1768">
        <f>CO160*CO159/1000</f>
        <v>0</v>
      </c>
      <c r="CP161" s="1768">
        <f>CP160*CP159/1000</f>
        <v>0</v>
      </c>
      <c r="CQ161" s="857">
        <f>CR161+CS161</f>
        <v>0</v>
      </c>
      <c r="CR161" s="1768">
        <f>CR160*CR159/1000</f>
        <v>0</v>
      </c>
      <c r="CS161" s="1768">
        <f>CS160*CS159/1000</f>
        <v>0</v>
      </c>
      <c r="CT161" s="1730"/>
      <c r="CU161" s="1619"/>
      <c r="CV161" s="1619"/>
      <c r="CW161" s="1170" t="s">
        <v>777</v>
      </c>
      <c r="CX161" s="1175"/>
      <c r="CY161" s="1175"/>
      <c r="CZ161" s="1175"/>
      <c r="DA161" s="1176"/>
      <c r="DB161" s="1176"/>
    </row>
    <row s="1619"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19"/>
      <c r="AD162" s="157">
        <v>16</v>
      </c>
      <c r="AE162" s="1495" t="s">
        <v>778</v>
      </c>
      <c r="AF162" s="165"/>
      <c r="AG162" s="157" t="s">
        <v>769</v>
      </c>
      <c r="AH162" s="857">
        <f>AH161+AH158</f>
        <v>0</v>
      </c>
      <c r="AI162" s="857">
        <f>AI161+AI158</f>
        <v>0</v>
      </c>
      <c r="AJ162" s="857">
        <f>AJ161+AJ158</f>
        <v>0</v>
      </c>
      <c r="AK162" s="857">
        <f>AK161+AK158</f>
        <v>0</v>
      </c>
      <c r="AL162" s="857">
        <f>AM162+AN162</f>
        <v>291.81</v>
      </c>
      <c r="AM162" s="857">
        <f>AM161+AM158</f>
        <v>218.112</v>
      </c>
      <c r="AN162" s="857">
        <f>AN161+AN158</f>
        <v>73.698</v>
      </c>
      <c r="AO162" s="857">
        <f>AP162+AQ162</f>
        <v>291.81</v>
      </c>
      <c r="AP162" s="857">
        <f>AP161+AP158</f>
        <v>218.112</v>
      </c>
      <c r="AQ162" s="857">
        <f>AQ161+AQ158</f>
        <v>73.698</v>
      </c>
      <c r="AR162" s="857">
        <f>AS162+AT162</f>
        <v>291.81</v>
      </c>
      <c r="AS162" s="857">
        <f>AS161+AS158</f>
        <v>218.112</v>
      </c>
      <c r="AT162" s="857">
        <f>AT161+AT158</f>
        <v>73.698</v>
      </c>
      <c r="AU162" s="857">
        <f>AV162+AW162</f>
        <v>291.81</v>
      </c>
      <c r="AV162" s="857">
        <f>AV161+AV158</f>
        <v>218.112</v>
      </c>
      <c r="AW162" s="857">
        <f>AW161+AW158</f>
        <v>73.698</v>
      </c>
      <c r="AX162" s="857">
        <f>AY162+AZ162</f>
        <v>291.81</v>
      </c>
      <c r="AY162" s="857">
        <f>AY161+AY158</f>
        <v>218.112</v>
      </c>
      <c r="AZ162" s="857">
        <f>AZ161+AZ158</f>
        <v>73.698</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291.81</v>
      </c>
      <c r="BQ162" s="857">
        <f>BQ161+BQ158</f>
        <v>218.112</v>
      </c>
      <c r="BR162" s="857">
        <f>BR161+BR158</f>
        <v>73.698</v>
      </c>
      <c r="BS162" s="857">
        <f>BT162+BU162</f>
        <v>291.81</v>
      </c>
      <c r="BT162" s="857">
        <f>BT161+BT158</f>
        <v>218.112</v>
      </c>
      <c r="BU162" s="857">
        <f>BU161+BU158</f>
        <v>73.698</v>
      </c>
      <c r="BV162" s="857">
        <f>BW162+BX162</f>
        <v>291.81</v>
      </c>
      <c r="BW162" s="857">
        <f>BW161+BW158</f>
        <v>218.112</v>
      </c>
      <c r="BX162" s="857">
        <f>BX161+BX158</f>
        <v>73.698</v>
      </c>
      <c r="BY162" s="857">
        <f>BZ162+CA162</f>
        <v>291.81</v>
      </c>
      <c r="BZ162" s="857">
        <f>BZ161+BZ158</f>
        <v>218.112</v>
      </c>
      <c r="CA162" s="857">
        <f>CA161+CA158</f>
        <v>73.698</v>
      </c>
      <c r="CB162" s="857">
        <f>CC162+CD162</f>
        <v>291.81</v>
      </c>
      <c r="CC162" s="857">
        <f>CC161+CC158</f>
        <v>218.112</v>
      </c>
      <c r="CD162" s="857">
        <f>CD161+CD158</f>
        <v>73.698</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30"/>
      <c r="CU162" s="1619"/>
      <c r="CV162" s="1619"/>
      <c r="CW162" s="1170" t="s">
        <v>779</v>
      </c>
      <c r="CX162" s="1175"/>
      <c r="CY162" s="1175"/>
      <c r="CZ162" s="1175"/>
      <c r="DA162" s="1176"/>
      <c r="DB162" s="1176"/>
    </row>
    <row s="1619"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725</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19"/>
      <c r="AD163" s="157">
        <v>17</v>
      </c>
      <c r="AE163" s="1495" t="s">
        <v>780</v>
      </c>
      <c r="AF163" s="165"/>
      <c r="AG163" s="157" t="s">
        <v>490</v>
      </c>
      <c r="AH163" s="863">
        <f>_xlfn.IFERROR(AH161/AH162,0)</f>
        <v>0</v>
      </c>
      <c r="AI163" s="864">
        <f>_xlfn.IFERROR(AI161/AI162,0)</f>
        <v>0</v>
      </c>
      <c r="AJ163" s="864">
        <f>_xlfn.IFERROR(AJ161/AJ162,0)</f>
        <v>0</v>
      </c>
      <c r="AK163" s="864">
        <f>_xlfn.IFERROR(AK161/AK162,0)</f>
        <v>0</v>
      </c>
      <c r="AL163" s="864">
        <f>_xlfn.IFERROR(AL161/AL162,0)</f>
        <v>1</v>
      </c>
      <c r="AM163" s="864">
        <f>_xlfn.IFERROR(AM161/AM162,0)</f>
        <v>1</v>
      </c>
      <c r="AN163" s="864">
        <f>_xlfn.IFERROR(AN161/AN162,0)</f>
        <v>1</v>
      </c>
      <c r="AO163" s="864">
        <f>_xlfn.IFERROR(AO161/AO162,0)</f>
        <v>1</v>
      </c>
      <c r="AP163" s="864">
        <f>_xlfn.IFERROR(AP161/AP162,0)</f>
        <v>1</v>
      </c>
      <c r="AQ163" s="864">
        <f>_xlfn.IFERROR(AQ161/AQ162,0)</f>
        <v>1</v>
      </c>
      <c r="AR163" s="864">
        <f>_xlfn.IFERROR(AR161/AR162,0)</f>
        <v>1</v>
      </c>
      <c r="AS163" s="864">
        <f>_xlfn.IFERROR(AS161/AS162,0)</f>
        <v>1</v>
      </c>
      <c r="AT163" s="864">
        <f>_xlfn.IFERROR(AT161/AT162,0)</f>
        <v>1</v>
      </c>
      <c r="AU163" s="864">
        <f>_xlfn.IFERROR(AU161/AU162,0)</f>
        <v>1</v>
      </c>
      <c r="AV163" s="864">
        <f>_xlfn.IFERROR(AV161/AV162,0)</f>
        <v>1</v>
      </c>
      <c r="AW163" s="864">
        <f>_xlfn.IFERROR(AW161/AW162,0)</f>
        <v>1</v>
      </c>
      <c r="AX163" s="864">
        <f>_xlfn.IFERROR(AX161/AX162,0)</f>
        <v>1</v>
      </c>
      <c r="AY163" s="864">
        <f>_xlfn.IFERROR(AY161/AY162,0)</f>
        <v>1</v>
      </c>
      <c r="AZ163" s="864">
        <f>_xlfn.IFERROR(AZ161/AZ162,0)</f>
        <v>1</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1</v>
      </c>
      <c r="BQ163" s="864">
        <f>_xlfn.IFERROR(BQ161/BQ162,0)</f>
        <v>1</v>
      </c>
      <c r="BR163" s="864">
        <f>_xlfn.IFERROR(BR161/BR162,0)</f>
        <v>1</v>
      </c>
      <c r="BS163" s="864">
        <f>_xlfn.IFERROR(BS161/BS162,0)</f>
        <v>1</v>
      </c>
      <c r="BT163" s="864">
        <f>_xlfn.IFERROR(BT161/BT162,0)</f>
        <v>1</v>
      </c>
      <c r="BU163" s="864">
        <f>_xlfn.IFERROR(BU161/BU162,0)</f>
        <v>1</v>
      </c>
      <c r="BV163" s="864">
        <f>_xlfn.IFERROR(BV161/BV162,0)</f>
        <v>1</v>
      </c>
      <c r="BW163" s="864">
        <f>_xlfn.IFERROR(BW161/BW162,0)</f>
        <v>1</v>
      </c>
      <c r="BX163" s="864">
        <f>_xlfn.IFERROR(BX161/BX162,0)</f>
        <v>1</v>
      </c>
      <c r="BY163" s="864">
        <f>_xlfn.IFERROR(BY161/BY162,0)</f>
        <v>1</v>
      </c>
      <c r="BZ163" s="864">
        <f>_xlfn.IFERROR(BZ161/BZ162,0)</f>
        <v>1</v>
      </c>
      <c r="CA163" s="864">
        <f>_xlfn.IFERROR(CA161/CA162,0)</f>
        <v>1</v>
      </c>
      <c r="CB163" s="864">
        <f>_xlfn.IFERROR(CB161/CB162,0)</f>
        <v>1</v>
      </c>
      <c r="CC163" s="864">
        <f>_xlfn.IFERROR(CC161/CC162,0)</f>
        <v>1</v>
      </c>
      <c r="CD163" s="864">
        <f>_xlfn.IFERROR(CD161/CD162,0)</f>
        <v>1</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3"/>
      <c r="CU163" s="1619"/>
      <c r="CV163" s="1619"/>
      <c r="CW163" s="1170" t="s">
        <v>781</v>
      </c>
      <c r="CX163" s="1175"/>
      <c r="CY163" s="1175"/>
      <c r="CZ163" s="1175"/>
      <c r="DA163" s="1176"/>
      <c r="DB163" s="1176"/>
    </row>
    <row s="1619"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19"/>
      <c r="AD164" s="157">
        <v>18</v>
      </c>
      <c r="AE164" s="1495" t="s">
        <v>782</v>
      </c>
      <c r="AF164" s="165"/>
      <c r="AG164" s="157" t="s">
        <v>769</v>
      </c>
      <c r="AH164" s="857">
        <f>SUM(AH166:AH168)</f>
        <v>0</v>
      </c>
      <c r="AI164" s="857">
        <f>SUM(AI166:AI168)</f>
        <v>0</v>
      </c>
      <c r="AJ164" s="857">
        <f>SUM(AJ166:AJ168)</f>
        <v>0</v>
      </c>
      <c r="AK164" s="857">
        <f>SUM(AK166:AK168)</f>
        <v>0</v>
      </c>
      <c r="AL164" s="857">
        <f>SUM(AL166:AL168)</f>
        <v>291.81</v>
      </c>
      <c r="AM164" s="857">
        <f>SUM(AM166:AM168)</f>
        <v>218.112</v>
      </c>
      <c r="AN164" s="857">
        <f>SUM(AN166:AN168)</f>
        <v>73.698</v>
      </c>
      <c r="AO164" s="857">
        <f>SUM(AO166:AO168)</f>
        <v>291.81</v>
      </c>
      <c r="AP164" s="857">
        <f>SUM(AP166:AP168)</f>
        <v>218.112</v>
      </c>
      <c r="AQ164" s="857">
        <f>SUM(AQ166:AQ168)</f>
        <v>73.698</v>
      </c>
      <c r="AR164" s="857">
        <f>SUM(AR166:AR168)</f>
        <v>291.81</v>
      </c>
      <c r="AS164" s="857">
        <f>SUM(AS166:AS168)</f>
        <v>218.112</v>
      </c>
      <c r="AT164" s="857">
        <f>SUM(AT166:AT168)</f>
        <v>73.698</v>
      </c>
      <c r="AU164" s="857">
        <f>SUM(AU166:AU168)</f>
        <v>291.81</v>
      </c>
      <c r="AV164" s="857">
        <f>SUM(AV166:AV168)</f>
        <v>218.112</v>
      </c>
      <c r="AW164" s="857">
        <f>SUM(AW166:AW168)</f>
        <v>73.698</v>
      </c>
      <c r="AX164" s="857">
        <f>SUM(AX166:AX168)</f>
        <v>291.81</v>
      </c>
      <c r="AY164" s="857">
        <f>SUM(AY166:AY168)</f>
        <v>218.112</v>
      </c>
      <c r="AZ164" s="857">
        <f>SUM(AZ166:AZ168)</f>
        <v>73.698</v>
      </c>
      <c r="BA164" s="857">
        <f>SUM(BA166:BA168)</f>
        <v>0</v>
      </c>
      <c r="BB164" s="857">
        <f>SUM(BB166:BB168)</f>
        <v>0</v>
      </c>
      <c r="BC164" s="857">
        <f>SUM(BC166:BC168)</f>
        <v>0</v>
      </c>
      <c r="BD164" s="857">
        <f>SUM(BD166:BD168)</f>
        <v>0</v>
      </c>
      <c r="BE164" s="857">
        <f>SUM(BE166:BE168)</f>
        <v>0</v>
      </c>
      <c r="BF164" s="857">
        <f>SUM(BF166:BF168)</f>
        <v>0</v>
      </c>
      <c r="BG164" s="857">
        <f>SUM(BG166:BG168)</f>
        <v>0</v>
      </c>
      <c r="BH164" s="857">
        <f>SUM(BH166:BH168)</f>
        <v>0</v>
      </c>
      <c r="BI164" s="857">
        <f>SUM(BI166:BI168)</f>
        <v>0</v>
      </c>
      <c r="BJ164" s="857">
        <f>SUM(BJ166:BJ168)</f>
        <v>0</v>
      </c>
      <c r="BK164" s="857">
        <f>SUM(BK166:BK168)</f>
        <v>0</v>
      </c>
      <c r="BL164" s="857">
        <f>SUM(BL166:BL168)</f>
        <v>0</v>
      </c>
      <c r="BM164" s="857">
        <f>SUM(BM166:BM168)</f>
        <v>0</v>
      </c>
      <c r="BN164" s="857">
        <f>SUM(BN166:BN168)</f>
        <v>0</v>
      </c>
      <c r="BO164" s="857">
        <f>SUM(BO166:BO168)</f>
        <v>0</v>
      </c>
      <c r="BP164" s="857">
        <f>SUM(BP166:BP168)</f>
        <v>291.81</v>
      </c>
      <c r="BQ164" s="857">
        <f>SUM(BQ166:BQ168)</f>
        <v>218.112</v>
      </c>
      <c r="BR164" s="857">
        <f>SUM(BR166:BR168)</f>
        <v>73.698</v>
      </c>
      <c r="BS164" s="857">
        <f>SUM(BS166:BS168)</f>
        <v>291.81</v>
      </c>
      <c r="BT164" s="857">
        <f>SUM(BT166:BT168)</f>
        <v>218.112</v>
      </c>
      <c r="BU164" s="857">
        <f>SUM(BU166:BU168)</f>
        <v>73.698</v>
      </c>
      <c r="BV164" s="857">
        <f>SUM(BV166:BV168)</f>
        <v>291.81</v>
      </c>
      <c r="BW164" s="857">
        <f>SUM(BW166:BW168)</f>
        <v>218.112</v>
      </c>
      <c r="BX164" s="857">
        <f>SUM(BX166:BX168)</f>
        <v>73.698</v>
      </c>
      <c r="BY164" s="857">
        <f>SUM(BY166:BY168)</f>
        <v>291.81</v>
      </c>
      <c r="BZ164" s="857">
        <f>SUM(BZ166:BZ168)</f>
        <v>218.112</v>
      </c>
      <c r="CA164" s="857">
        <f>SUM(CA166:CA168)</f>
        <v>73.698</v>
      </c>
      <c r="CB164" s="857">
        <f>SUM(CB166:CB168)</f>
        <v>291.81</v>
      </c>
      <c r="CC164" s="857">
        <f>SUM(CC166:CC168)</f>
        <v>218.112</v>
      </c>
      <c r="CD164" s="857">
        <f>SUM(CD166:CD168)</f>
        <v>73.698</v>
      </c>
      <c r="CE164" s="857">
        <f>SUM(CE166:CE168)</f>
        <v>0</v>
      </c>
      <c r="CF164" s="857">
        <f>SUM(CF166:CF168)</f>
        <v>0</v>
      </c>
      <c r="CG164" s="857">
        <f>SUM(CG166:CG168)</f>
        <v>0</v>
      </c>
      <c r="CH164" s="857">
        <f>SUM(CH166:CH168)</f>
        <v>0</v>
      </c>
      <c r="CI164" s="857">
        <f>SUM(CI166:CI168)</f>
        <v>0</v>
      </c>
      <c r="CJ164" s="857">
        <f>SUM(CJ166:CJ168)</f>
        <v>0</v>
      </c>
      <c r="CK164" s="857">
        <f>SUM(CK166:CK168)</f>
        <v>0</v>
      </c>
      <c r="CL164" s="857">
        <f>SUM(CL166:CL168)</f>
        <v>0</v>
      </c>
      <c r="CM164" s="857">
        <f>SUM(CM166:CM168)</f>
        <v>0</v>
      </c>
      <c r="CN164" s="857">
        <f>SUM(CN166:CN168)</f>
        <v>0</v>
      </c>
      <c r="CO164" s="857">
        <f>SUM(CO166:CO168)</f>
        <v>0</v>
      </c>
      <c r="CP164" s="857">
        <f>SUM(CP166:CP168)</f>
        <v>0</v>
      </c>
      <c r="CQ164" s="857">
        <f>SUM(CQ166:CQ168)</f>
        <v>0</v>
      </c>
      <c r="CR164" s="857">
        <f>SUM(CR166:CR168)</f>
        <v>0</v>
      </c>
      <c r="CS164" s="857">
        <f>SUM(CS166:CS168)</f>
        <v>0</v>
      </c>
      <c r="CT164" s="1730"/>
      <c r="CU164" s="1619"/>
      <c r="CV164" s="1619"/>
      <c r="CW164" s="1170" t="s">
        <v>783</v>
      </c>
      <c r="CX164" s="1175"/>
      <c r="CY164" s="1175"/>
      <c r="CZ164" s="1175"/>
      <c r="DA164" s="1176"/>
      <c r="DB164" s="1176"/>
    </row>
    <row s="1619"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725</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19"/>
      <c r="AD165" s="157" t="s">
        <v>784</v>
      </c>
      <c r="AE165" s="1495" t="s">
        <v>736</v>
      </c>
      <c r="AF165" s="165"/>
      <c r="AG165" s="157" t="s">
        <v>769</v>
      </c>
      <c r="AH165" s="86">
        <f>AH$163*AH164</f>
        <v>0</v>
      </c>
      <c r="AI165" s="87">
        <f>AI$163*AI164</f>
        <v>0</v>
      </c>
      <c r="AJ165" s="87">
        <f>AJ$163*AJ164</f>
        <v>0</v>
      </c>
      <c r="AK165" s="87">
        <f>AK$163*AK164</f>
        <v>0</v>
      </c>
      <c r="AL165" s="857">
        <f>AM165+AN165</f>
        <v>291.81</v>
      </c>
      <c r="AM165" s="87">
        <f>AM$163*AM164</f>
        <v>218.112</v>
      </c>
      <c r="AN165" s="87">
        <f>AN$163*AN164</f>
        <v>73.698</v>
      </c>
      <c r="AO165" s="857">
        <f>AP165+AQ165</f>
        <v>291.81</v>
      </c>
      <c r="AP165" s="976">
        <f>AP$163*AP164</f>
        <v>218.112</v>
      </c>
      <c r="AQ165" s="976">
        <f>AQ$163*AQ164</f>
        <v>73.698</v>
      </c>
      <c r="AR165" s="857">
        <f>AS165+AT165</f>
        <v>291.81</v>
      </c>
      <c r="AS165" s="976">
        <f>AS$163*AS164</f>
        <v>218.112</v>
      </c>
      <c r="AT165" s="976">
        <f>AT$163*AT164</f>
        <v>73.698</v>
      </c>
      <c r="AU165" s="857">
        <f>AV165+AW165</f>
        <v>291.81</v>
      </c>
      <c r="AV165" s="976">
        <f>AV$163*AV164</f>
        <v>218.112</v>
      </c>
      <c r="AW165" s="976">
        <f>AW$163*AW164</f>
        <v>73.698</v>
      </c>
      <c r="AX165" s="857">
        <f>AY165+AZ165</f>
        <v>291.81</v>
      </c>
      <c r="AY165" s="976">
        <f>AY$163*AY164</f>
        <v>218.112</v>
      </c>
      <c r="AZ165" s="976">
        <f>AZ$163*AZ164</f>
        <v>73.698</v>
      </c>
      <c r="BA165" s="857">
        <f>BB165+BC165</f>
        <v>0</v>
      </c>
      <c r="BB165" s="87">
        <f>BB$163*BB164</f>
        <v>0</v>
      </c>
      <c r="BC165" s="87">
        <f>BC$163*BC164</f>
        <v>0</v>
      </c>
      <c r="BD165" s="857">
        <f>BE165+BF165</f>
        <v>0</v>
      </c>
      <c r="BE165" s="87">
        <f>BE$163*BE164</f>
        <v>0</v>
      </c>
      <c r="BF165" s="87">
        <f>BF$163*BF164</f>
        <v>0</v>
      </c>
      <c r="BG165" s="857">
        <f>BH165+BI165</f>
        <v>0</v>
      </c>
      <c r="BH165" s="87">
        <f>BH$163*BH164</f>
        <v>0</v>
      </c>
      <c r="BI165" s="87">
        <f>BI$163*BI164</f>
        <v>0</v>
      </c>
      <c r="BJ165" s="857">
        <f>BK165+BL165</f>
        <v>0</v>
      </c>
      <c r="BK165" s="87">
        <f>BK$163*BK164</f>
        <v>0</v>
      </c>
      <c r="BL165" s="87">
        <f>BL$163*BL164</f>
        <v>0</v>
      </c>
      <c r="BM165" s="857">
        <f>BN165+BO165</f>
        <v>0</v>
      </c>
      <c r="BN165" s="87">
        <f>BN$163*BN164</f>
        <v>0</v>
      </c>
      <c r="BO165" s="87">
        <f>BO$163*BO164</f>
        <v>0</v>
      </c>
      <c r="BP165" s="857">
        <f>BQ165+BR165</f>
        <v>291.81</v>
      </c>
      <c r="BQ165" s="976">
        <f>BQ$163*BQ164</f>
        <v>218.112</v>
      </c>
      <c r="BR165" s="976">
        <f>BR$163*BR164</f>
        <v>73.698</v>
      </c>
      <c r="BS165" s="857">
        <f>BT165+BU165</f>
        <v>291.81</v>
      </c>
      <c r="BT165" s="976">
        <f>BT$163*BT164</f>
        <v>218.112</v>
      </c>
      <c r="BU165" s="976">
        <f>BU$163*BU164</f>
        <v>73.698</v>
      </c>
      <c r="BV165" s="857">
        <f>BW165+BX165</f>
        <v>291.81</v>
      </c>
      <c r="BW165" s="976">
        <f>BW$163*BW164</f>
        <v>218.112</v>
      </c>
      <c r="BX165" s="976">
        <f>BX$163*BX164</f>
        <v>73.698</v>
      </c>
      <c r="BY165" s="857">
        <f>BZ165+CA165</f>
        <v>291.81</v>
      </c>
      <c r="BZ165" s="976">
        <f>BZ$163*BZ164</f>
        <v>218.112</v>
      </c>
      <c r="CA165" s="976">
        <f>CA$163*CA164</f>
        <v>73.698</v>
      </c>
      <c r="CB165" s="857">
        <f>CC165+CD165</f>
        <v>291.81</v>
      </c>
      <c r="CC165" s="976">
        <f>CC$163*CC164</f>
        <v>218.112</v>
      </c>
      <c r="CD165" s="976">
        <f>CD$163*CD164</f>
        <v>73.698</v>
      </c>
      <c r="CE165" s="857">
        <f>CF165+CG165</f>
        <v>0</v>
      </c>
      <c r="CF165" s="87">
        <f>CF$163*CF164</f>
        <v>0</v>
      </c>
      <c r="CG165" s="87">
        <f>CG$163*CG164</f>
        <v>0</v>
      </c>
      <c r="CH165" s="857">
        <f>CI165+CJ165</f>
        <v>0</v>
      </c>
      <c r="CI165" s="87">
        <f>CI$163*CI164</f>
        <v>0</v>
      </c>
      <c r="CJ165" s="87">
        <f>CJ$163*CJ164</f>
        <v>0</v>
      </c>
      <c r="CK165" s="857">
        <f>CL165+CM165</f>
        <v>0</v>
      </c>
      <c r="CL165" s="87">
        <f>CL$163*CL164</f>
        <v>0</v>
      </c>
      <c r="CM165" s="87">
        <f>CM$163*CM164</f>
        <v>0</v>
      </c>
      <c r="CN165" s="857">
        <f>CO165+CP165</f>
        <v>0</v>
      </c>
      <c r="CO165" s="87">
        <f>CO$163*CO164</f>
        <v>0</v>
      </c>
      <c r="CP165" s="87">
        <f>CP$163*CP164</f>
        <v>0</v>
      </c>
      <c r="CQ165" s="857">
        <f>CR165+CS165</f>
        <v>0</v>
      </c>
      <c r="CR165" s="87">
        <f>CR$163*CR164</f>
        <v>0</v>
      </c>
      <c r="CS165" s="87">
        <f>CS$163*CS164</f>
        <v>0</v>
      </c>
      <c r="CT165" s="73"/>
      <c r="CU165" s="1619"/>
      <c r="CV165" s="1619"/>
      <c r="CW165" s="1170" t="s">
        <v>785</v>
      </c>
      <c r="CX165" s="1175"/>
      <c r="CY165" s="1175"/>
      <c r="CZ165" s="1175"/>
      <c r="DA165" s="1176"/>
      <c r="DB165" s="1176"/>
    </row>
    <row s="1619" customFormat="1" customHeight="1" ht="16.5" hidden="1">
      <c r="E166" s="794">
        <v>17.1</v>
      </c>
      <c r="F166" s="919" cm="1" t="str">
        <f t="array" ref="F166:F166">OFFSET(G166,-1,-1)</f>
        <v>1</v>
      </c>
      <c r="L166" s="919" cm="1" t="str">
        <f t="array" ref="L166:L166">OFFSET(M166,-1,-1)</f>
        <v>false</v>
      </c>
      <c r="S166" s="156" cm="1" t="str">
        <f t="array" ref="S166:S166">OFFSET(T166,-1,-1)</f>
        <v>true</v>
      </c>
      <c r="T166" s="156">
        <f>AD166&lt;&gt;"18.0"</f>
        <v>0</v>
      </c>
      <c r="U166" s="816">
        <f>AND(S166,IF(ISBLANK(T166),TRUE,T166))</f>
        <v>0</v>
      </c>
      <c r="X166" s="156" t="s">
        <v>233</v>
      </c>
      <c r="AB166" s="1486"/>
      <c r="AC166" s="914" t="s">
        <v>217</v>
      </c>
      <c r="AD166" s="157" t="s">
        <v>784</v>
      </c>
      <c r="AE166" s="88"/>
      <c r="AF166" s="89"/>
      <c r="AG166" s="157" t="s">
        <v>769</v>
      </c>
      <c r="AH166" s="86">
        <f>AH$162*AH170</f>
        <v>0</v>
      </c>
      <c r="AI166" s="86">
        <f>AI178*AI174</f>
        <v>0</v>
      </c>
      <c r="AJ166" s="86">
        <f>AJ178*AJ174</f>
        <v>0</v>
      </c>
      <c r="AK166" s="86">
        <f>AK$162*AK170</f>
        <v>0</v>
      </c>
      <c r="AL166" s="857">
        <f>AM166+AN166</f>
        <v>0</v>
      </c>
      <c r="AM166" s="86">
        <f>AM$162*AM170</f>
        <v>0</v>
      </c>
      <c r="AN166" s="86">
        <f>AN$162*AN170</f>
        <v>0</v>
      </c>
      <c r="AO166" s="857">
        <f>AP166+AQ166</f>
        <v>0</v>
      </c>
      <c r="AP166" s="977">
        <f>AP$162*AP170</f>
        <v>0</v>
      </c>
      <c r="AQ166" s="977">
        <f>AQ$162*AQ170</f>
        <v>0</v>
      </c>
      <c r="AR166" s="857">
        <f>AS166+AT166</f>
        <v>0</v>
      </c>
      <c r="AS166" s="977">
        <f>AS$162*AS170</f>
        <v>0</v>
      </c>
      <c r="AT166" s="977">
        <f>AT$162*AT170</f>
        <v>0</v>
      </c>
      <c r="AU166" s="857">
        <f>AV166+AW166</f>
        <v>0</v>
      </c>
      <c r="AV166" s="977">
        <f>AV$162*AV170</f>
        <v>0</v>
      </c>
      <c r="AW166" s="977">
        <f>AW$162*AW170</f>
        <v>0</v>
      </c>
      <c r="AX166" s="857">
        <f>AY166+AZ166</f>
        <v>0</v>
      </c>
      <c r="AY166" s="977">
        <f>AY$162*AY170</f>
        <v>0</v>
      </c>
      <c r="AZ166" s="977">
        <f>AZ$162*AZ170</f>
        <v>0</v>
      </c>
      <c r="BA166" s="857">
        <f>BB166+BC166</f>
        <v>0</v>
      </c>
      <c r="BB166" s="86">
        <f>BB$162*BB170</f>
        <v>0</v>
      </c>
      <c r="BC166" s="86">
        <f>BC$162*BC170</f>
        <v>0</v>
      </c>
      <c r="BD166" s="857">
        <f>BE166+BF166</f>
        <v>0</v>
      </c>
      <c r="BE166" s="86">
        <f>BE$162*BE170</f>
        <v>0</v>
      </c>
      <c r="BF166" s="86">
        <f>BF$162*BF170</f>
        <v>0</v>
      </c>
      <c r="BG166" s="857">
        <f>BH166+BI166</f>
        <v>0</v>
      </c>
      <c r="BH166" s="86">
        <f>BH$162*BH170</f>
        <v>0</v>
      </c>
      <c r="BI166" s="86">
        <f>BI$162*BI170</f>
        <v>0</v>
      </c>
      <c r="BJ166" s="857">
        <f>BK166+BL166</f>
        <v>0</v>
      </c>
      <c r="BK166" s="86">
        <f>BK$162*BK170</f>
        <v>0</v>
      </c>
      <c r="BL166" s="86">
        <f>BL$162*BL170</f>
        <v>0</v>
      </c>
      <c r="BM166" s="857">
        <f>BN166+BO166</f>
        <v>0</v>
      </c>
      <c r="BN166" s="86">
        <f>BN$162*BN170</f>
        <v>0</v>
      </c>
      <c r="BO166" s="86">
        <f>BO$162*BO170</f>
        <v>0</v>
      </c>
      <c r="BP166" s="857">
        <f>BQ166+BR166</f>
        <v>0</v>
      </c>
      <c r="BQ166" s="977">
        <f>BQ$162*BQ170</f>
        <v>0</v>
      </c>
      <c r="BR166" s="977">
        <f>BR$162*BR170</f>
        <v>0</v>
      </c>
      <c r="BS166" s="857">
        <f>BT166+BU166</f>
        <v>0</v>
      </c>
      <c r="BT166" s="977">
        <f>BT$162*BT170</f>
        <v>0</v>
      </c>
      <c r="BU166" s="977">
        <f>BU$162*BU170</f>
        <v>0</v>
      </c>
      <c r="BV166" s="857">
        <f>BW166+BX166</f>
        <v>0</v>
      </c>
      <c r="BW166" s="977">
        <f>BW$162*BW170</f>
        <v>0</v>
      </c>
      <c r="BX166" s="977">
        <f>BX$162*BX170</f>
        <v>0</v>
      </c>
      <c r="BY166" s="857">
        <f>BZ166+CA166</f>
        <v>0</v>
      </c>
      <c r="BZ166" s="977">
        <f>BZ$162*BZ170</f>
        <v>0</v>
      </c>
      <c r="CA166" s="977">
        <f>CA$162*CA170</f>
        <v>0</v>
      </c>
      <c r="CB166" s="857">
        <f>CC166+CD166</f>
        <v>0</v>
      </c>
      <c r="CC166" s="977">
        <f>CC$162*CC170</f>
        <v>0</v>
      </c>
      <c r="CD166" s="977">
        <f>CD$162*CD170</f>
        <v>0</v>
      </c>
      <c r="CE166" s="857">
        <f>CF166+CG166</f>
        <v>0</v>
      </c>
      <c r="CF166" s="86">
        <f>CF$162*CF170</f>
        <v>0</v>
      </c>
      <c r="CG166" s="86">
        <f>CG$162*CG170</f>
        <v>0</v>
      </c>
      <c r="CH166" s="857">
        <f>CI166+CJ166</f>
        <v>0</v>
      </c>
      <c r="CI166" s="86">
        <f>CI$162*CI170</f>
        <v>0</v>
      </c>
      <c r="CJ166" s="86">
        <f>CJ$162*CJ170</f>
        <v>0</v>
      </c>
      <c r="CK166" s="857">
        <f>CL166+CM166</f>
        <v>0</v>
      </c>
      <c r="CL166" s="86">
        <f>CL$162*CL170</f>
        <v>0</v>
      </c>
      <c r="CM166" s="86">
        <f>CM$162*CM170</f>
        <v>0</v>
      </c>
      <c r="CN166" s="857">
        <f>CO166+CP166</f>
        <v>0</v>
      </c>
      <c r="CO166" s="86">
        <f>CO$162*CO170</f>
        <v>0</v>
      </c>
      <c r="CP166" s="86">
        <f>CP$162*CP170</f>
        <v>0</v>
      </c>
      <c r="CQ166" s="857">
        <f>CR166+CS166</f>
        <v>0</v>
      </c>
      <c r="CR166" s="86">
        <f>CR$162*CR170</f>
        <v>0</v>
      </c>
      <c r="CS166" s="86">
        <f>CS$162*CS170</f>
        <v>0</v>
      </c>
      <c r="CT166" s="73"/>
      <c r="CW166" s="1170" t="s">
        <v>786</v>
      </c>
      <c r="CX166" s="1175" t="s">
        <v>787</v>
      </c>
      <c r="CY166" s="1179" cm="1" t="str">
        <f t="array" ref="CY166:CY166">AE166</f>
        <v>0</v>
      </c>
      <c r="CZ166" s="1179" cm="1" t="str">
        <f t="array" ref="CZ166:CZ166">AF166</f>
        <v>0</v>
      </c>
      <c r="DA166" s="1176"/>
      <c r="DB166" s="1176" t="b">
        <v>1</v>
      </c>
    </row>
    <row s="1619" customFormat="1" customHeight="1" ht="16.5">
      <c r="A167" s="1619"/>
      <c r="B167" s="1619"/>
      <c r="C167" s="1619"/>
      <c r="D167" s="1619"/>
      <c r="E167" s="794">
        <v>17.1</v>
      </c>
      <c r="F167" s="919" cm="1" t="str">
        <f t="array" ref="F167:F167">OFFSET(G167,-1,-1)</f>
        <v>1</v>
      </c>
      <c r="G167" s="1619"/>
      <c r="H167" s="1619"/>
      <c r="I167" s="1619"/>
      <c r="J167" s="1619"/>
      <c r="K167" s="1619"/>
      <c r="L167" s="919" cm="1" t="str">
        <f t="array" ref="L167:L167">OFFSET(M167,-1,-1)</f>
        <v>false</v>
      </c>
      <c r="M167" s="1619"/>
      <c r="N167" s="1619"/>
      <c r="O167" s="1619"/>
      <c r="P167" s="1619"/>
      <c r="Q167" s="1619"/>
      <c r="R167" s="1619"/>
      <c r="S167" s="156" cm="1" t="str">
        <f t="array" ref="S167:S167">OFFSET(T167,-1,-1)</f>
        <v>true</v>
      </c>
      <c r="T167" s="156">
        <f>AD167&lt;&gt;"18.0"</f>
        <v>1</v>
      </c>
      <c r="U167" s="816">
        <f>AND(S167,IF(ISBLANK(T167),TRUE,T167))</f>
        <v>1</v>
      </c>
      <c r="V167" s="1619"/>
      <c r="W167" s="1619"/>
      <c r="X167" s="156"/>
      <c r="Y167" s="1619"/>
      <c r="Z167" s="1619"/>
      <c r="AA167" s="1619"/>
      <c r="AB167" s="1486"/>
      <c r="AC167" s="914" t="s">
        <v>217</v>
      </c>
      <c r="AD167" s="157" t="s">
        <v>557</v>
      </c>
      <c r="AE167" s="1770" t="s">
        <v>897</v>
      </c>
      <c r="AF167" s="1771" t="s">
        <v>898</v>
      </c>
      <c r="AG167" s="157" t="s">
        <v>769</v>
      </c>
      <c r="AH167" s="1768">
        <f>AH$162*AH171</f>
        <v>0</v>
      </c>
      <c r="AI167" s="1768">
        <f>AI179*AI175</f>
        <v>0</v>
      </c>
      <c r="AJ167" s="1768">
        <f>AJ179*AJ175</f>
        <v>0</v>
      </c>
      <c r="AK167" s="1768">
        <f>AK$162*AK171</f>
        <v>0</v>
      </c>
      <c r="AL167" s="857">
        <f>AM167+AN167</f>
        <v>291.81</v>
      </c>
      <c r="AM167" s="1768">
        <f>AM$162*AM171</f>
        <v>218.112</v>
      </c>
      <c r="AN167" s="1768">
        <f>AN$162*AN171</f>
        <v>73.698</v>
      </c>
      <c r="AO167" s="857">
        <f>AP167+AQ167</f>
        <v>291.81</v>
      </c>
      <c r="AP167" s="977">
        <f>AP$162*AP171</f>
        <v>218.112</v>
      </c>
      <c r="AQ167" s="977">
        <f>AQ$162*AQ171</f>
        <v>73.698</v>
      </c>
      <c r="AR167" s="857">
        <f>AS167+AT167</f>
        <v>291.81</v>
      </c>
      <c r="AS167" s="977">
        <f>AS$162*AS171</f>
        <v>218.112</v>
      </c>
      <c r="AT167" s="977">
        <f>AT$162*AT171</f>
        <v>73.698</v>
      </c>
      <c r="AU167" s="857">
        <f>AV167+AW167</f>
        <v>291.81</v>
      </c>
      <c r="AV167" s="977">
        <f>AV$162*AV171</f>
        <v>218.112</v>
      </c>
      <c r="AW167" s="977">
        <f>AW$162*AW171</f>
        <v>73.698</v>
      </c>
      <c r="AX167" s="857">
        <f>AY167+AZ167</f>
        <v>291.81</v>
      </c>
      <c r="AY167" s="977">
        <f>AY$162*AY171</f>
        <v>218.112</v>
      </c>
      <c r="AZ167" s="977">
        <f>AZ$162*AZ171</f>
        <v>73.698</v>
      </c>
      <c r="BA167" s="857">
        <f>BB167+BC167</f>
        <v>0</v>
      </c>
      <c r="BB167" s="1768">
        <f>BB$162*BB171</f>
        <v>0</v>
      </c>
      <c r="BC167" s="1768">
        <f>BC$162*BC171</f>
        <v>0</v>
      </c>
      <c r="BD167" s="857">
        <f>BE167+BF167</f>
        <v>0</v>
      </c>
      <c r="BE167" s="1768">
        <f>BE$162*BE171</f>
        <v>0</v>
      </c>
      <c r="BF167" s="1768">
        <f>BF$162*BF171</f>
        <v>0</v>
      </c>
      <c r="BG167" s="857">
        <f>BH167+BI167</f>
        <v>0</v>
      </c>
      <c r="BH167" s="1768">
        <f>BH$162*BH171</f>
        <v>0</v>
      </c>
      <c r="BI167" s="1768">
        <f>BI$162*BI171</f>
        <v>0</v>
      </c>
      <c r="BJ167" s="857">
        <f>BK167+BL167</f>
        <v>0</v>
      </c>
      <c r="BK167" s="1768">
        <f>BK$162*BK171</f>
        <v>0</v>
      </c>
      <c r="BL167" s="1768">
        <f>BL$162*BL171</f>
        <v>0</v>
      </c>
      <c r="BM167" s="857">
        <f>BN167+BO167</f>
        <v>0</v>
      </c>
      <c r="BN167" s="1768">
        <f>BN$162*BN171</f>
        <v>0</v>
      </c>
      <c r="BO167" s="1768">
        <f>BO$162*BO171</f>
        <v>0</v>
      </c>
      <c r="BP167" s="857">
        <f>BQ167+BR167</f>
        <v>291.81</v>
      </c>
      <c r="BQ167" s="977">
        <f>BQ$162*BQ171</f>
        <v>218.112</v>
      </c>
      <c r="BR167" s="977">
        <f>BR$162*BR171</f>
        <v>73.698</v>
      </c>
      <c r="BS167" s="857">
        <f>BT167+BU167</f>
        <v>291.81</v>
      </c>
      <c r="BT167" s="977">
        <f>BT$162*BT171</f>
        <v>218.112</v>
      </c>
      <c r="BU167" s="977">
        <f>BU$162*BU171</f>
        <v>73.698</v>
      </c>
      <c r="BV167" s="857">
        <f>BW167+BX167</f>
        <v>291.81</v>
      </c>
      <c r="BW167" s="977">
        <f>BW$162*BW171</f>
        <v>218.112</v>
      </c>
      <c r="BX167" s="977">
        <f>BX$162*BX171</f>
        <v>73.698</v>
      </c>
      <c r="BY167" s="857">
        <f>BZ167+CA167</f>
        <v>291.81</v>
      </c>
      <c r="BZ167" s="977">
        <f>BZ$162*BZ171</f>
        <v>218.112</v>
      </c>
      <c r="CA167" s="977">
        <f>CA$162*CA171</f>
        <v>73.698</v>
      </c>
      <c r="CB167" s="857">
        <f>CC167+CD167</f>
        <v>291.81</v>
      </c>
      <c r="CC167" s="977">
        <f>CC$162*CC171</f>
        <v>218.112</v>
      </c>
      <c r="CD167" s="977">
        <f>CD$162*CD171</f>
        <v>73.698</v>
      </c>
      <c r="CE167" s="857">
        <f>CF167+CG167</f>
        <v>0</v>
      </c>
      <c r="CF167" s="1768">
        <f>CF$162*CF171</f>
        <v>0</v>
      </c>
      <c r="CG167" s="1768">
        <f>CG$162*CG171</f>
        <v>0</v>
      </c>
      <c r="CH167" s="857">
        <f>CI167+CJ167</f>
        <v>0</v>
      </c>
      <c r="CI167" s="1768">
        <f>CI$162*CI171</f>
        <v>0</v>
      </c>
      <c r="CJ167" s="1768">
        <f>CJ$162*CJ171</f>
        <v>0</v>
      </c>
      <c r="CK167" s="857">
        <f>CL167+CM167</f>
        <v>0</v>
      </c>
      <c r="CL167" s="1768">
        <f>CL$162*CL171</f>
        <v>0</v>
      </c>
      <c r="CM167" s="1768">
        <f>CM$162*CM171</f>
        <v>0</v>
      </c>
      <c r="CN167" s="857">
        <f>CO167+CP167</f>
        <v>0</v>
      </c>
      <c r="CO167" s="1768">
        <f>CO$162*CO171</f>
        <v>0</v>
      </c>
      <c r="CP167" s="1768">
        <f>CP$162*CP171</f>
        <v>0</v>
      </c>
      <c r="CQ167" s="857">
        <f>CR167+CS167</f>
        <v>0</v>
      </c>
      <c r="CR167" s="1768">
        <f>CR$162*CR171</f>
        <v>0</v>
      </c>
      <c r="CS167" s="1768">
        <f>CS$162*CS171</f>
        <v>0</v>
      </c>
      <c r="CT167" s="1730"/>
      <c r="CU167" s="1619"/>
      <c r="CV167" s="1619"/>
      <c r="CW167" s="1170" t="s">
        <v>786</v>
      </c>
      <c r="CX167" s="1175" t="s">
        <v>787</v>
      </c>
      <c r="CY167" s="1179" cm="1" t="str">
        <f t="array" ref="CY167:CY167">AE167</f>
        <v>Уголь бурый</v>
      </c>
      <c r="CZ167" s="1179" cm="1" t="str">
        <f t="array" ref="CZ167:CZ167">AF167</f>
        <v>Б</v>
      </c>
      <c r="DA167" s="1176"/>
      <c r="DB167" s="1176" t="b">
        <v>1</v>
      </c>
    </row>
    <row s="1619" customFormat="1" customHeight="1" ht="16.5">
      <c r="A168" s="1440"/>
      <c r="B168" s="924"/>
      <c r="C168" s="1440"/>
      <c r="D168" s="1440"/>
      <c r="E168" s="794">
        <v>17.1</v>
      </c>
      <c r="F168" s="919" cm="1" t="str">
        <f t="array" ref="F168:F168">OFFSET(G168,-1,-1)</f>
        <v>1</v>
      </c>
      <c r="G168" s="962"/>
      <c r="H168" s="962"/>
      <c r="I168" s="962"/>
      <c r="J168" s="962"/>
      <c r="K168" s="962"/>
      <c r="L168" s="919" cm="1" t="str">
        <f t="array" ref="L168:L168">OFFSET(M168,-1,-1)</f>
        <v>false</v>
      </c>
      <c r="M168" s="962"/>
      <c r="N168" s="962"/>
      <c r="O168" s="962"/>
      <c r="P168" s="962"/>
      <c r="Q168" s="962"/>
      <c r="R168" s="1440"/>
      <c r="S168" s="156" cm="1" t="str">
        <f t="array" ref="S168:S168">OFFSET(T168,-1,-1)</f>
        <v>true</v>
      </c>
      <c r="T168" s="1440"/>
      <c r="U168" s="816">
        <f>AND(S168,IF(ISBLANK(T168),TRUE,T168))</f>
        <v>1</v>
      </c>
      <c r="V168" s="1440"/>
      <c r="W168" s="1440"/>
      <c r="X168" s="970" t="str">
        <f>"{                  
         funcDyn: 'msg',
         blok: 'blok_2',
         wsCross: 'Топливо 4.4',
         linkFormula: 'AE-AE#AF-AF',
         levelDyn: "&amp;Y139&amp;"
}"</f>
        <v>{                  
         funcDyn: 'msg',
         blok: 'blok_2',
         wsCross: 'Топливо 4.4',
         linkFormula: 'AE-AE#AF-AF',
         levelDyn: 1
}</v>
      </c>
      <c r="Y168" s="1440"/>
      <c r="Z168" s="1440"/>
      <c r="AA168" s="817"/>
      <c r="AB168" s="1486"/>
      <c r="AC168" s="1619"/>
      <c r="AD168" s="299"/>
      <c r="AE168" s="900" t="s">
        <v>235</v>
      </c>
      <c r="AF168" s="900"/>
      <c r="AG168" s="900"/>
      <c r="AH168" s="900"/>
      <c r="AI168" s="900"/>
      <c r="AJ168" s="900"/>
      <c r="AK168" s="900"/>
      <c r="AL168" s="900"/>
      <c r="AM168" s="900"/>
      <c r="AN168" s="900"/>
      <c r="AO168" s="900"/>
      <c r="AP168" s="900"/>
      <c r="AQ168" s="900"/>
      <c r="AR168" s="900"/>
      <c r="AS168" s="900"/>
      <c r="AT168" s="900"/>
      <c r="AU168" s="900"/>
      <c r="AV168" s="900"/>
      <c r="AW168" s="900"/>
      <c r="AX168" s="900"/>
      <c r="AY168" s="900"/>
      <c r="AZ168" s="900"/>
      <c r="BA168" s="900"/>
      <c r="BB168" s="900"/>
      <c r="BC168" s="900"/>
      <c r="BD168" s="900"/>
      <c r="BE168" s="900"/>
      <c r="BF168" s="900"/>
      <c r="BG168" s="900"/>
      <c r="BH168" s="900"/>
      <c r="BI168" s="900"/>
      <c r="BJ168" s="900"/>
      <c r="BK168" s="900"/>
      <c r="BL168" s="900"/>
      <c r="BM168" s="900"/>
      <c r="BN168" s="900"/>
      <c r="BO168" s="900"/>
      <c r="BP168" s="900"/>
      <c r="BQ168" s="900"/>
      <c r="BR168" s="900"/>
      <c r="BS168" s="900"/>
      <c r="BT168" s="900"/>
      <c r="BU168" s="900"/>
      <c r="BV168" s="900"/>
      <c r="BW168" s="900"/>
      <c r="BX168" s="900"/>
      <c r="BY168" s="900"/>
      <c r="BZ168" s="900"/>
      <c r="CA168" s="900"/>
      <c r="CB168" s="900"/>
      <c r="CC168" s="900"/>
      <c r="CD168" s="900"/>
      <c r="CE168" s="900"/>
      <c r="CF168" s="900"/>
      <c r="CG168" s="900"/>
      <c r="CH168" s="900"/>
      <c r="CI168" s="900"/>
      <c r="CJ168" s="900"/>
      <c r="CK168" s="900"/>
      <c r="CL168" s="900"/>
      <c r="CM168" s="900"/>
      <c r="CN168" s="900"/>
      <c r="CO168" s="900"/>
      <c r="CP168" s="900"/>
      <c r="CQ168" s="900"/>
      <c r="CR168" s="900"/>
      <c r="CS168" s="900"/>
      <c r="CT168" s="1087"/>
      <c r="CU168" s="1619"/>
      <c r="CV168" s="1619"/>
      <c r="CW168" s="1170" t="str">
        <f>IF(AND(ISNUMBER(VALUE(TRIM(SUBSTITUTE(AD168,".","")))),TRIM(SUBSTITUTE(AD168,".",""))&lt;&gt;""),"P"&amp;SUBSTITUTE(AD168,".",""),"")</f>
        <v/>
      </c>
      <c r="CX168" s="1175"/>
      <c r="CY168" s="1175"/>
      <c r="CZ168" s="1175"/>
      <c r="DA168" s="1176" t="s">
        <v>787</v>
      </c>
      <c r="DB168" s="1176"/>
    </row>
    <row s="1619" customFormat="1" customHeight="1" ht="16.5">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440"/>
      <c r="U169" s="816">
        <f>AND(S169,IF(ISBLANK(T169),TRUE,T169))</f>
        <v>1</v>
      </c>
      <c r="V169" s="1440"/>
      <c r="W169" s="1440"/>
      <c r="X169" s="1440"/>
      <c r="Y169" s="1440"/>
      <c r="Z169" s="1440"/>
      <c r="AA169" s="817"/>
      <c r="AB169" s="1486"/>
      <c r="AC169" s="1619"/>
      <c r="AD169" s="157">
        <v>19</v>
      </c>
      <c r="AE169" s="1521" t="s">
        <v>788</v>
      </c>
      <c r="AF169" s="1522"/>
      <c r="AG169" s="640" t="s">
        <v>490</v>
      </c>
      <c r="AH169" s="899">
        <f>SUM(AH170:AH172)</f>
        <v>0</v>
      </c>
      <c r="AI169" s="899">
        <f>SUM(AI170:AI172)</f>
        <v>0</v>
      </c>
      <c r="AJ169" s="899">
        <f>SUM(AJ170:AJ172)</f>
        <v>0</v>
      </c>
      <c r="AK169" s="899">
        <f>SUM(AK170:AK172)</f>
        <v>0</v>
      </c>
      <c r="AL169" s="899">
        <f>SUM(AL170:AL172)</f>
        <v>1</v>
      </c>
      <c r="AM169" s="899">
        <f>SUM(AM170:AM172)</f>
        <v>1</v>
      </c>
      <c r="AN169" s="899">
        <f>SUM(AN170:AN172)</f>
        <v>1</v>
      </c>
      <c r="AO169" s="899">
        <f>SUM(AO170:AO172)</f>
        <v>1</v>
      </c>
      <c r="AP169" s="899">
        <f>SUM(AP170:AP172)</f>
        <v>1</v>
      </c>
      <c r="AQ169" s="899">
        <f>SUM(AQ170:AQ172)</f>
        <v>1</v>
      </c>
      <c r="AR169" s="899">
        <f>SUM(AR170:AR172)</f>
        <v>1</v>
      </c>
      <c r="AS169" s="899">
        <f>SUM(AS170:AS172)</f>
        <v>1</v>
      </c>
      <c r="AT169" s="899">
        <f>SUM(AT170:AT172)</f>
        <v>1</v>
      </c>
      <c r="AU169" s="899">
        <f>SUM(AU170:AU172)</f>
        <v>1</v>
      </c>
      <c r="AV169" s="899">
        <f>SUM(AV170:AV172)</f>
        <v>1</v>
      </c>
      <c r="AW169" s="899">
        <f>SUM(AW170:AW172)</f>
        <v>1</v>
      </c>
      <c r="AX169" s="899">
        <f>SUM(AX170:AX172)</f>
        <v>1</v>
      </c>
      <c r="AY169" s="899">
        <f>SUM(AY170:AY172)</f>
        <v>1</v>
      </c>
      <c r="AZ169" s="899">
        <f>SUM(AZ170:AZ172)</f>
        <v>1</v>
      </c>
      <c r="BA169" s="899">
        <f>SUM(BA170:BA172)</f>
        <v>0</v>
      </c>
      <c r="BB169" s="899">
        <f>SUM(BB170:BB172)</f>
        <v>0</v>
      </c>
      <c r="BC169" s="899">
        <f>SUM(BC170:BC172)</f>
        <v>0</v>
      </c>
      <c r="BD169" s="899">
        <f>SUM(BD170:BD172)</f>
        <v>0</v>
      </c>
      <c r="BE169" s="899">
        <f>SUM(BE170:BE172)</f>
        <v>0</v>
      </c>
      <c r="BF169" s="899">
        <f>SUM(BF170:BF172)</f>
        <v>0</v>
      </c>
      <c r="BG169" s="899">
        <f>SUM(BG170:BG172)</f>
        <v>0</v>
      </c>
      <c r="BH169" s="899">
        <f>SUM(BH170:BH172)</f>
        <v>0</v>
      </c>
      <c r="BI169" s="899">
        <f>SUM(BI170:BI172)</f>
        <v>0</v>
      </c>
      <c r="BJ169" s="899">
        <f>SUM(BJ170:BJ172)</f>
        <v>0</v>
      </c>
      <c r="BK169" s="899">
        <f>SUM(BK170:BK172)</f>
        <v>0</v>
      </c>
      <c r="BL169" s="899">
        <f>SUM(BL170:BL172)</f>
        <v>0</v>
      </c>
      <c r="BM169" s="899">
        <f>SUM(BM170:BM172)</f>
        <v>0</v>
      </c>
      <c r="BN169" s="899">
        <f>SUM(BN170:BN172)</f>
        <v>0</v>
      </c>
      <c r="BO169" s="899">
        <f>SUM(BO170:BO172)</f>
        <v>0</v>
      </c>
      <c r="BP169" s="899">
        <f>SUM(BP170:BP172)</f>
        <v>1</v>
      </c>
      <c r="BQ169" s="899">
        <f>SUM(BQ170:BQ172)</f>
        <v>1</v>
      </c>
      <c r="BR169" s="899">
        <f>SUM(BR170:BR172)</f>
        <v>1</v>
      </c>
      <c r="BS169" s="899">
        <f>SUM(BS170:BS172)</f>
        <v>1</v>
      </c>
      <c r="BT169" s="899">
        <f>SUM(BT170:BT172)</f>
        <v>1</v>
      </c>
      <c r="BU169" s="899">
        <f>SUM(BU170:BU172)</f>
        <v>1</v>
      </c>
      <c r="BV169" s="899">
        <f>SUM(BV170:BV172)</f>
        <v>1</v>
      </c>
      <c r="BW169" s="899">
        <f>SUM(BW170:BW172)</f>
        <v>1</v>
      </c>
      <c r="BX169" s="899">
        <f>SUM(BX170:BX172)</f>
        <v>1</v>
      </c>
      <c r="BY169" s="899">
        <f>SUM(BY170:BY172)</f>
        <v>1</v>
      </c>
      <c r="BZ169" s="899">
        <f>SUM(BZ170:BZ172)</f>
        <v>1</v>
      </c>
      <c r="CA169" s="899">
        <f>SUM(CA170:CA172)</f>
        <v>1</v>
      </c>
      <c r="CB169" s="899">
        <f>SUM(CB170:CB172)</f>
        <v>1</v>
      </c>
      <c r="CC169" s="899">
        <f>SUM(CC170:CC172)</f>
        <v>1</v>
      </c>
      <c r="CD169" s="899">
        <f>SUM(CD170:CD172)</f>
        <v>1</v>
      </c>
      <c r="CE169" s="899">
        <f>SUM(CE170:CE172)</f>
        <v>0</v>
      </c>
      <c r="CF169" s="899">
        <f>SUM(CF170:CF172)</f>
        <v>0</v>
      </c>
      <c r="CG169" s="899">
        <f>SUM(CG170:CG172)</f>
        <v>0</v>
      </c>
      <c r="CH169" s="899">
        <f>SUM(CH170:CH172)</f>
        <v>0</v>
      </c>
      <c r="CI169" s="899">
        <f>SUM(CI170:CI172)</f>
        <v>0</v>
      </c>
      <c r="CJ169" s="899">
        <f>SUM(CJ170:CJ172)</f>
        <v>0</v>
      </c>
      <c r="CK169" s="899">
        <f>SUM(CK170:CK172)</f>
        <v>0</v>
      </c>
      <c r="CL169" s="899">
        <f>SUM(CL170:CL172)</f>
        <v>0</v>
      </c>
      <c r="CM169" s="899">
        <f>SUM(CM170:CM172)</f>
        <v>0</v>
      </c>
      <c r="CN169" s="899">
        <f>SUM(CN170:CN172)</f>
        <v>0</v>
      </c>
      <c r="CO169" s="899">
        <f>SUM(CO170:CO172)</f>
        <v>0</v>
      </c>
      <c r="CP169" s="899">
        <f>SUM(CP170:CP172)</f>
        <v>0</v>
      </c>
      <c r="CQ169" s="899">
        <f>SUM(CQ170:CQ172)</f>
        <v>0</v>
      </c>
      <c r="CR169" s="899">
        <f>SUM(CR170:CR172)</f>
        <v>0</v>
      </c>
      <c r="CS169" s="899">
        <f>SUM(CS170:CS172)</f>
        <v>0</v>
      </c>
      <c r="CT169" s="1743"/>
      <c r="CU169" s="1619"/>
      <c r="CV169" s="1619"/>
      <c r="CW169" s="1170" t="s">
        <v>789</v>
      </c>
      <c r="CX169" s="1175"/>
      <c r="CY169" s="1175"/>
      <c r="CZ169" s="1175"/>
      <c r="DA169" s="1176"/>
      <c r="DB169" s="1176"/>
    </row>
    <row s="1619" customFormat="1" customHeight="1" ht="16.5" hidden="1">
      <c r="E170" s="794">
        <v>17.1</v>
      </c>
      <c r="F170" s="919" cm="1" t="str">
        <f t="array" ref="F170:F170">OFFSET(G170,-1,-1)</f>
        <v>1</v>
      </c>
      <c r="L170" s="919" cm="1" t="str">
        <f t="array" ref="L170:L170">OFFSET(M170,-1,-1)</f>
        <v>false</v>
      </c>
      <c r="S170" s="156" cm="1" t="str">
        <f t="array" ref="S170:S170">OFFSET(T170,-1,-1)</f>
        <v>true</v>
      </c>
      <c r="T170" s="156">
        <f>AD170&lt;&gt;"19.0"</f>
        <v>0</v>
      </c>
      <c r="U170" s="816">
        <f>AND(S170,IF(ISBLANK(T170),TRUE,T170))</f>
        <v>0</v>
      </c>
      <c r="X170" s="156" t="s">
        <v>233</v>
      </c>
      <c r="AB170" s="1486"/>
      <c r="AD170" s="157" t="s">
        <v>790</v>
      </c>
      <c r="AE170" s="971"/>
      <c r="AF170" s="622"/>
      <c r="AG170" s="157" t="s">
        <v>490</v>
      </c>
      <c r="AH170" s="90"/>
      <c r="AI170" s="90">
        <f>_xlfn.IFERROR(AI166/AI$164,0)</f>
        <v>0</v>
      </c>
      <c r="AJ170" s="90">
        <f>_xlfn.IFERROR(AJ166/AJ$164,0)</f>
        <v>0</v>
      </c>
      <c r="AK170" s="90"/>
      <c r="AL170" s="863">
        <f>_xlfn.IFERROR(AL166/AL$162,0)</f>
        <v>0</v>
      </c>
      <c r="AM170" s="90"/>
      <c r="AN170" s="90"/>
      <c r="AO170" s="863">
        <f>_xlfn.IFERROR(AO166/AO$162,0)</f>
        <v>0</v>
      </c>
      <c r="AP170" s="978"/>
      <c r="AQ170" s="978"/>
      <c r="AR170" s="863">
        <f>_xlfn.IFERROR(AR166/AR$162,0)</f>
        <v>0</v>
      </c>
      <c r="AS170" s="978"/>
      <c r="AT170" s="978"/>
      <c r="AU170" s="863">
        <f>_xlfn.IFERROR(AU166/AU$162,0)</f>
        <v>0</v>
      </c>
      <c r="AV170" s="978"/>
      <c r="AW170" s="978"/>
      <c r="AX170" s="863">
        <f>_xlfn.IFERROR(AX166/AX$162,0)</f>
        <v>0</v>
      </c>
      <c r="AY170" s="978"/>
      <c r="AZ170" s="978"/>
      <c r="BA170" s="863">
        <f>_xlfn.IFERROR(BA166/BA$162,0)</f>
        <v>0</v>
      </c>
      <c r="BB170" s="90"/>
      <c r="BC170" s="90"/>
      <c r="BD170" s="863">
        <f>_xlfn.IFERROR(BD166/BD$162,0)</f>
        <v>0</v>
      </c>
      <c r="BE170" s="90"/>
      <c r="BF170" s="90"/>
      <c r="BG170" s="863">
        <f>_xlfn.IFERROR(BG166/BG$162,0)</f>
        <v>0</v>
      </c>
      <c r="BH170" s="90"/>
      <c r="BI170" s="90"/>
      <c r="BJ170" s="863">
        <f>_xlfn.IFERROR(BJ166/BJ$162,0)</f>
        <v>0</v>
      </c>
      <c r="BK170" s="90"/>
      <c r="BL170" s="90"/>
      <c r="BM170" s="863">
        <f>_xlfn.IFERROR(BM166/BM$162,0)</f>
        <v>0</v>
      </c>
      <c r="BN170" s="90"/>
      <c r="BO170" s="90"/>
      <c r="BP170" s="863">
        <f>_xlfn.IFERROR(BP166/BP$162,0)</f>
        <v>0</v>
      </c>
      <c r="BQ170" s="978"/>
      <c r="BR170" s="978"/>
      <c r="BS170" s="863">
        <f>_xlfn.IFERROR(BS166/BS$162,0)</f>
        <v>0</v>
      </c>
      <c r="BT170" s="978"/>
      <c r="BU170" s="978"/>
      <c r="BV170" s="863">
        <f>_xlfn.IFERROR(BV166/BV$162,0)</f>
        <v>0</v>
      </c>
      <c r="BW170" s="978"/>
      <c r="BX170" s="978"/>
      <c r="BY170" s="863">
        <f>_xlfn.IFERROR(BY166/BY$162,0)</f>
        <v>0</v>
      </c>
      <c r="BZ170" s="978"/>
      <c r="CA170" s="978"/>
      <c r="CB170" s="863">
        <f>_xlfn.IFERROR(CB166/CB$162,0)</f>
        <v>0</v>
      </c>
      <c r="CC170" s="978"/>
      <c r="CD170" s="978"/>
      <c r="CE170" s="863">
        <f>_xlfn.IFERROR(CE166/CE$162,0)</f>
        <v>0</v>
      </c>
      <c r="CF170" s="90"/>
      <c r="CG170" s="90"/>
      <c r="CH170" s="863">
        <f>_xlfn.IFERROR(CH166/CH$162,0)</f>
        <v>0</v>
      </c>
      <c r="CI170" s="90"/>
      <c r="CJ170" s="90"/>
      <c r="CK170" s="863">
        <f>_xlfn.IFERROR(CK166/CK$162,0)</f>
        <v>0</v>
      </c>
      <c r="CL170" s="90"/>
      <c r="CM170" s="90"/>
      <c r="CN170" s="863">
        <f>_xlfn.IFERROR(CN166/CN$162,0)</f>
        <v>0</v>
      </c>
      <c r="CO170" s="90"/>
      <c r="CP170" s="90"/>
      <c r="CQ170" s="863">
        <f>_xlfn.IFERROR(CQ166/CQ$162,0)</f>
        <v>0</v>
      </c>
      <c r="CR170" s="90"/>
      <c r="CS170" s="90"/>
      <c r="CT170" s="73"/>
      <c r="CW170" s="1170" t="s">
        <v>789</v>
      </c>
      <c r="CX170" s="1175" t="s">
        <v>787</v>
      </c>
      <c r="CY170" s="1179" cm="1" t="str">
        <f t="array" ref="CY170:CY170">AE170</f>
        <v>0</v>
      </c>
      <c r="CZ170" s="1179" cm="1" t="str">
        <f t="array" ref="CZ170:CZ170">AF170</f>
        <v>0</v>
      </c>
      <c r="DA170" s="1176"/>
      <c r="DB170" s="1176"/>
    </row>
    <row s="1619" customFormat="1" customHeight="1" ht="16.5">
      <c r="A171" s="1619"/>
      <c r="B171" s="1619"/>
      <c r="C171" s="1619"/>
      <c r="D171" s="1619"/>
      <c r="E171" s="794">
        <v>17.1</v>
      </c>
      <c r="F171" s="919" cm="1" t="str">
        <f t="array" ref="F171:F171">OFFSET(G171,-1,-1)</f>
        <v>1</v>
      </c>
      <c r="G171" s="1619"/>
      <c r="H171" s="1619"/>
      <c r="I171" s="1619"/>
      <c r="J171" s="1619"/>
      <c r="K171" s="1619"/>
      <c r="L171" s="919" cm="1" t="str">
        <f t="array" ref="L171:L171">OFFSET(M171,-1,-1)</f>
        <v>false</v>
      </c>
      <c r="M171" s="1619"/>
      <c r="N171" s="1619"/>
      <c r="O171" s="1619"/>
      <c r="P171" s="1619"/>
      <c r="Q171" s="1619"/>
      <c r="R171" s="1619"/>
      <c r="S171" s="156" cm="1" t="str">
        <f t="array" ref="S171:S171">OFFSET(T171,-1,-1)</f>
        <v>true</v>
      </c>
      <c r="T171" s="156">
        <f>AD171&lt;&gt;"19.0"</f>
        <v>1</v>
      </c>
      <c r="U171" s="816">
        <f>AND(S171,IF(ISBLANK(T171),TRUE,T171))</f>
        <v>1</v>
      </c>
      <c r="V171" s="1619"/>
      <c r="W171" s="1619"/>
      <c r="X171" s="156" t="str">
        <f>'Топливо 4.4'!$AE$167&amp;'Топливо 4.4'!$AF$167</f>
        <v>Уголь бурыйБ</v>
      </c>
      <c r="Y171" s="1619"/>
      <c r="Z171" s="1619"/>
      <c r="AA171" s="1619"/>
      <c r="AB171" s="1486"/>
      <c r="AC171" s="1619"/>
      <c r="AD171" s="157" t="s">
        <v>899</v>
      </c>
      <c r="AE171" s="971" cm="1" t="str">
        <f t="array" ref="AE171:AE171">IF(ISBLANK('Топливо 4.4'!$AE$167),"",'Топливо 4.4'!$AE$167)</f>
        <v>Уголь бурый</v>
      </c>
      <c r="AF171" s="622" cm="1" t="str">
        <f t="array" ref="AF171:AF171">IF(ISBLANK('Топливо 4.4'!$AF$167),"",'Топливо 4.4'!$AF$167)</f>
        <v>Б</v>
      </c>
      <c r="AG171" s="157" t="s">
        <v>490</v>
      </c>
      <c r="AH171" s="1772"/>
      <c r="AI171" s="1772">
        <f>_xlfn.IFERROR(AI167/AI$164,0)</f>
        <v>0</v>
      </c>
      <c r="AJ171" s="1772">
        <f>_xlfn.IFERROR(AJ167/AJ$164,0)</f>
        <v>0</v>
      </c>
      <c r="AK171" s="1772"/>
      <c r="AL171" s="863">
        <f>_xlfn.IFERROR(AL167/AL$162,0)</f>
        <v>1</v>
      </c>
      <c r="AM171" s="1772">
        <v>1</v>
      </c>
      <c r="AN171" s="1772">
        <v>1</v>
      </c>
      <c r="AO171" s="863">
        <f>_xlfn.IFERROR(AO167/AO$162,0)</f>
        <v>1</v>
      </c>
      <c r="AP171" s="978">
        <v>1</v>
      </c>
      <c r="AQ171" s="978">
        <v>1</v>
      </c>
      <c r="AR171" s="863">
        <f>_xlfn.IFERROR(AR167/AR$162,0)</f>
        <v>1</v>
      </c>
      <c r="AS171" s="978">
        <v>1</v>
      </c>
      <c r="AT171" s="978">
        <v>1</v>
      </c>
      <c r="AU171" s="863">
        <f>_xlfn.IFERROR(AU167/AU$162,0)</f>
        <v>1</v>
      </c>
      <c r="AV171" s="978">
        <v>1</v>
      </c>
      <c r="AW171" s="978">
        <v>1</v>
      </c>
      <c r="AX171" s="863">
        <f>_xlfn.IFERROR(AX167/AX$162,0)</f>
        <v>1</v>
      </c>
      <c r="AY171" s="978">
        <v>1</v>
      </c>
      <c r="AZ171" s="978">
        <v>1</v>
      </c>
      <c r="BA171" s="863">
        <f>_xlfn.IFERROR(BA167/BA$162,0)</f>
        <v>0</v>
      </c>
      <c r="BB171" s="1772"/>
      <c r="BC171" s="1772"/>
      <c r="BD171" s="863">
        <f>_xlfn.IFERROR(BD167/BD$162,0)</f>
        <v>0</v>
      </c>
      <c r="BE171" s="1772"/>
      <c r="BF171" s="1772"/>
      <c r="BG171" s="863">
        <f>_xlfn.IFERROR(BG167/BG$162,0)</f>
        <v>0</v>
      </c>
      <c r="BH171" s="1772"/>
      <c r="BI171" s="1772"/>
      <c r="BJ171" s="863">
        <f>_xlfn.IFERROR(BJ167/BJ$162,0)</f>
        <v>0</v>
      </c>
      <c r="BK171" s="1772"/>
      <c r="BL171" s="1772"/>
      <c r="BM171" s="863">
        <f>_xlfn.IFERROR(BM167/BM$162,0)</f>
        <v>0</v>
      </c>
      <c r="BN171" s="1772"/>
      <c r="BO171" s="1772"/>
      <c r="BP171" s="863">
        <f>_xlfn.IFERROR(BP167/BP$162,0)</f>
        <v>1</v>
      </c>
      <c r="BQ171" s="978">
        <v>1</v>
      </c>
      <c r="BR171" s="978">
        <v>1</v>
      </c>
      <c r="BS171" s="863">
        <f>_xlfn.IFERROR(BS167/BS$162,0)</f>
        <v>1</v>
      </c>
      <c r="BT171" s="978">
        <v>1</v>
      </c>
      <c r="BU171" s="978">
        <v>1</v>
      </c>
      <c r="BV171" s="863">
        <f>_xlfn.IFERROR(BV167/BV$162,0)</f>
        <v>1</v>
      </c>
      <c r="BW171" s="978">
        <v>1</v>
      </c>
      <c r="BX171" s="978">
        <v>1</v>
      </c>
      <c r="BY171" s="863">
        <f>_xlfn.IFERROR(BY167/BY$162,0)</f>
        <v>1</v>
      </c>
      <c r="BZ171" s="978">
        <v>1</v>
      </c>
      <c r="CA171" s="978">
        <v>1</v>
      </c>
      <c r="CB171" s="863">
        <f>_xlfn.IFERROR(CB167/CB$162,0)</f>
        <v>1</v>
      </c>
      <c r="CC171" s="978">
        <v>1</v>
      </c>
      <c r="CD171" s="978">
        <v>1</v>
      </c>
      <c r="CE171" s="863">
        <f>_xlfn.IFERROR(CE167/CE$162,0)</f>
        <v>0</v>
      </c>
      <c r="CF171" s="1772"/>
      <c r="CG171" s="1772"/>
      <c r="CH171" s="863">
        <f>_xlfn.IFERROR(CH167/CH$162,0)</f>
        <v>0</v>
      </c>
      <c r="CI171" s="1772"/>
      <c r="CJ171" s="1772"/>
      <c r="CK171" s="863">
        <f>_xlfn.IFERROR(CK167/CK$162,0)</f>
        <v>0</v>
      </c>
      <c r="CL171" s="1772"/>
      <c r="CM171" s="1772"/>
      <c r="CN171" s="863">
        <f>_xlfn.IFERROR(CN167/CN$162,0)</f>
        <v>0</v>
      </c>
      <c r="CO171" s="1772"/>
      <c r="CP171" s="1772"/>
      <c r="CQ171" s="863">
        <f>_xlfn.IFERROR(CQ167/CQ$162,0)</f>
        <v>0</v>
      </c>
      <c r="CR171" s="1772"/>
      <c r="CS171" s="1772"/>
      <c r="CT171" s="1730"/>
      <c r="CU171" s="1619"/>
      <c r="CV171" s="1619"/>
      <c r="CW171" s="1170" t="s">
        <v>789</v>
      </c>
      <c r="CX171" s="1175" t="s">
        <v>787</v>
      </c>
      <c r="CY171" s="1179" cm="1" t="str">
        <f t="array" ref="CY171:CY171">AE171</f>
        <v>Уголь бурый</v>
      </c>
      <c r="CZ171" s="1179" cm="1" t="str">
        <f t="array" ref="CZ171:CZ171">AF171</f>
        <v>Б</v>
      </c>
      <c r="DA171" s="1176"/>
      <c r="DB171" s="1176"/>
    </row>
    <row s="1619" customFormat="1" customHeight="1" ht="17.25" hidden="1">
      <c r="A172" s="1440"/>
      <c r="B172" s="924"/>
      <c r="C172" s="1440"/>
      <c r="D172" s="1440"/>
      <c r="E172" s="794">
        <v>0</v>
      </c>
      <c r="F172" s="919" cm="1" t="str">
        <f t="array" ref="F172:F172">OFFSET(G172,-1,-1)</f>
        <v>1</v>
      </c>
      <c r="G172" s="962"/>
      <c r="H172" s="962"/>
      <c r="I172" s="962"/>
      <c r="J172" s="962"/>
      <c r="K172" s="962"/>
      <c r="L172" s="919" cm="1" t="str">
        <f t="array" ref="L172:L172">OFFSET(M172,-1,-1)</f>
        <v>false</v>
      </c>
      <c r="M172" s="962"/>
      <c r="N172" s="962"/>
      <c r="O172" s="962"/>
      <c r="P172" s="962"/>
      <c r="Q172" s="962"/>
      <c r="R172" s="1440"/>
      <c r="S172" s="156" cm="1" t="str">
        <f t="array" ref="S172:S172">OFFSET(T172,-1,-1)</f>
        <v>true</v>
      </c>
      <c r="T172" s="1440"/>
      <c r="U172" s="816">
        <f>AND(S172,IF(ISBLANK(T172),TRUE,T172))</f>
        <v>1</v>
      </c>
      <c r="V172" s="1440"/>
      <c r="W172" s="1440"/>
      <c r="X172" s="970" t="str">
        <f>"{                  
         funcDyn: 'msg1',
         blok: 'blok_2',
         wsCross: 'Топливо 4.4',
         linkFormula: 'AE-AE#AF-AF',
         levelDyn: "&amp;Y139&amp;"
}"</f>
        <v>{                  
         funcDyn: 'msg1',
         blok: 'blok_2',
         wsCross: 'Топливо 4.4',
         linkFormula: 'AE-AE#AF-AF',
         levelDyn: 1
}</v>
      </c>
      <c r="Y172" s="1440"/>
      <c r="Z172" s="1440"/>
      <c r="AA172" s="817"/>
      <c r="AB172" s="1486"/>
      <c r="AC172" s="1619"/>
      <c r="AD172" s="973"/>
      <c r="AE172" s="972" t="s">
        <v>235</v>
      </c>
      <c r="AF172" s="871"/>
      <c r="AG172" s="648"/>
      <c r="AH172" s="873"/>
      <c r="AI172" s="873"/>
      <c r="AJ172" s="873"/>
      <c r="AK172" s="873"/>
      <c r="AL172" s="873"/>
      <c r="AM172" s="873"/>
      <c r="AN172" s="873"/>
      <c r="AO172" s="873"/>
      <c r="AP172" s="873"/>
      <c r="AQ172" s="873"/>
      <c r="AR172" s="873"/>
      <c r="AS172" s="873"/>
      <c r="AT172" s="873"/>
      <c r="AU172" s="873"/>
      <c r="AV172" s="873"/>
      <c r="AW172" s="873"/>
      <c r="AX172" s="873"/>
      <c r="AY172" s="873"/>
      <c r="AZ172" s="873"/>
      <c r="BA172" s="873"/>
      <c r="BB172" s="873"/>
      <c r="BC172" s="873"/>
      <c r="BD172" s="873"/>
      <c r="BE172" s="873"/>
      <c r="BF172" s="873"/>
      <c r="BG172" s="873"/>
      <c r="BH172" s="873"/>
      <c r="BI172" s="873"/>
      <c r="BJ172" s="873"/>
      <c r="BK172" s="873"/>
      <c r="BL172" s="873"/>
      <c r="BM172" s="873"/>
      <c r="BN172" s="873"/>
      <c r="BO172" s="873"/>
      <c r="BP172" s="873"/>
      <c r="BQ172" s="873"/>
      <c r="BR172" s="873"/>
      <c r="BS172" s="873"/>
      <c r="BT172" s="873"/>
      <c r="BU172" s="873"/>
      <c r="BV172" s="873"/>
      <c r="BW172" s="873"/>
      <c r="BX172" s="873"/>
      <c r="BY172" s="873"/>
      <c r="BZ172" s="873"/>
      <c r="CA172" s="873"/>
      <c r="CB172" s="873"/>
      <c r="CC172" s="873"/>
      <c r="CD172" s="873"/>
      <c r="CE172" s="873"/>
      <c r="CF172" s="873"/>
      <c r="CG172" s="873"/>
      <c r="CH172" s="873"/>
      <c r="CI172" s="873"/>
      <c r="CJ172" s="873"/>
      <c r="CK172" s="873"/>
      <c r="CL172" s="873"/>
      <c r="CM172" s="873"/>
      <c r="CN172" s="873"/>
      <c r="CO172" s="873"/>
      <c r="CP172" s="873"/>
      <c r="CQ172" s="873"/>
      <c r="CR172" s="873"/>
      <c r="CS172" s="873"/>
      <c r="CT172" s="91"/>
      <c r="CU172" s="1619"/>
      <c r="CV172" s="1619"/>
      <c r="CW172" s="1170" t="str">
        <f>IF(AND(ISNUMBER(VALUE(TRIM(SUBSTITUTE(AD172,".","")))),TRIM(SUBSTITUTE(AD172,".",""))&lt;&gt;""),"P"&amp;SUBSTITUTE(AD172,".",""),"")</f>
        <v/>
      </c>
      <c r="CX172" s="1175"/>
      <c r="CY172" s="1175"/>
      <c r="CZ172" s="1175"/>
      <c r="DA172" s="1176"/>
      <c r="DB172" s="1176"/>
    </row>
    <row s="1619" customFormat="1" customHeight="1" ht="16.5">
      <c r="A173" s="1440"/>
      <c r="B173" s="924"/>
      <c r="C173" s="1440"/>
      <c r="D173" s="1440"/>
      <c r="E173" s="794">
        <v>17.1</v>
      </c>
      <c r="F173" s="919" cm="1" t="str">
        <f t="array" ref="F173:F173">OFFSET(G173,-1,-1)</f>
        <v>1</v>
      </c>
      <c r="G173" s="962"/>
      <c r="H173" s="962"/>
      <c r="I173" s="962"/>
      <c r="J173" s="962"/>
      <c r="K173" s="962"/>
      <c r="L173" s="919" cm="1" t="str">
        <f t="array" ref="L173:L173">OFFSET(M173,-1,-1)</f>
        <v>false</v>
      </c>
      <c r="M173" s="962"/>
      <c r="N173" s="962"/>
      <c r="O173" s="962"/>
      <c r="P173" s="962"/>
      <c r="Q173" s="962"/>
      <c r="R173" s="1440"/>
      <c r="S173" s="156" cm="1" t="str">
        <f t="array" ref="S173:S173">OFFSET(T173,-1,-1)</f>
        <v>true</v>
      </c>
      <c r="T173" s="1440"/>
      <c r="U173" s="816">
        <f>AND(S173,IF(ISBLANK(T173),TRUE,T173))</f>
        <v>1</v>
      </c>
      <c r="V173" s="1440"/>
      <c r="W173" s="1440"/>
      <c r="X173" s="1440"/>
      <c r="Y173" s="1440"/>
      <c r="Z173" s="1440"/>
      <c r="AA173" s="817"/>
      <c r="AB173" s="1486"/>
      <c r="AC173" s="1619"/>
      <c r="AD173" s="157">
        <v>20</v>
      </c>
      <c r="AE173" s="1495" t="s">
        <v>791</v>
      </c>
      <c r="AF173" s="165"/>
      <c r="AG173" s="738"/>
      <c r="AH173" s="858"/>
      <c r="AI173" s="860"/>
      <c r="AJ173" s="860"/>
      <c r="AK173" s="860"/>
      <c r="AL173" s="860"/>
      <c r="AM173" s="860"/>
      <c r="AN173" s="860"/>
      <c r="AO173" s="860"/>
      <c r="AP173" s="860"/>
      <c r="AQ173" s="860"/>
      <c r="AR173" s="860"/>
      <c r="AS173" s="860"/>
      <c r="AT173" s="860"/>
      <c r="AU173" s="860"/>
      <c r="AV173" s="860"/>
      <c r="AW173" s="860"/>
      <c r="AX173" s="860"/>
      <c r="AY173" s="860"/>
      <c r="AZ173" s="860"/>
      <c r="BA173" s="860"/>
      <c r="BB173" s="860"/>
      <c r="BC173" s="860"/>
      <c r="BD173" s="860"/>
      <c r="BE173" s="860"/>
      <c r="BF173" s="860"/>
      <c r="BG173" s="860"/>
      <c r="BH173" s="860"/>
      <c r="BI173" s="860"/>
      <c r="BJ173" s="860"/>
      <c r="BK173" s="860"/>
      <c r="BL173" s="860"/>
      <c r="BM173" s="860"/>
      <c r="BN173" s="860"/>
      <c r="BO173" s="860"/>
      <c r="BP173" s="860"/>
      <c r="BQ173" s="860"/>
      <c r="BR173" s="860"/>
      <c r="BS173" s="860"/>
      <c r="BT173" s="860"/>
      <c r="BU173" s="860"/>
      <c r="BV173" s="860"/>
      <c r="BW173" s="860"/>
      <c r="BX173" s="860"/>
      <c r="BY173" s="860"/>
      <c r="BZ173" s="860"/>
      <c r="CA173" s="860"/>
      <c r="CB173" s="860"/>
      <c r="CC173" s="860"/>
      <c r="CD173" s="860"/>
      <c r="CE173" s="860"/>
      <c r="CF173" s="860"/>
      <c r="CG173" s="860"/>
      <c r="CH173" s="860"/>
      <c r="CI173" s="860"/>
      <c r="CJ173" s="860"/>
      <c r="CK173" s="860"/>
      <c r="CL173" s="860"/>
      <c r="CM173" s="860"/>
      <c r="CN173" s="860"/>
      <c r="CO173" s="860"/>
      <c r="CP173" s="860"/>
      <c r="CQ173" s="860"/>
      <c r="CR173" s="860"/>
      <c r="CS173" s="860"/>
      <c r="CT173" s="1730"/>
      <c r="CU173" s="1619"/>
      <c r="CV173" s="1619"/>
      <c r="CW173" s="1170" t="s">
        <v>792</v>
      </c>
      <c r="CX173" s="1175"/>
      <c r="CY173" s="1175"/>
      <c r="CZ173" s="1175"/>
      <c r="DA173" s="1176"/>
      <c r="DB173" s="1176"/>
    </row>
    <row s="1619" customFormat="1" customHeight="1" ht="16.5" hidden="1">
      <c r="E174" s="794">
        <v>17.1</v>
      </c>
      <c r="F174" s="919" cm="1" t="str">
        <f t="array" ref="F174:F174">OFFSET(G174,-1,-1)</f>
        <v>1</v>
      </c>
      <c r="L174" s="919" cm="1" t="str">
        <f t="array" ref="L174:L174">OFFSET(M174,-1,-1)</f>
        <v>false</v>
      </c>
      <c r="S174" s="156" cm="1" t="str">
        <f t="array" ref="S174:S174">OFFSET(T174,-1,-1)</f>
        <v>true</v>
      </c>
      <c r="T174" s="156">
        <f>AD174&lt;&gt;"20.0"</f>
        <v>0</v>
      </c>
      <c r="U174" s="816">
        <f>AND(S174,IF(ISBLANK(T174),TRUE,T174))</f>
        <v>0</v>
      </c>
      <c r="X174" s="156" t="s">
        <v>233</v>
      </c>
      <c r="AB174" s="1486"/>
      <c r="AD174" s="157" t="s">
        <v>793</v>
      </c>
      <c r="AE174" s="971"/>
      <c r="AF174" s="622"/>
      <c r="AG174" s="738"/>
      <c r="AH174" s="86"/>
      <c r="AI174" s="87"/>
      <c r="AJ174" s="87"/>
      <c r="AK174" s="87"/>
      <c r="AL174" s="859">
        <f>_xlfn.IFERROR(AL166/AL178,0)</f>
        <v>0</v>
      </c>
      <c r="AM174" s="87"/>
      <c r="AN174" s="87" cm="1" t="str">
        <f t="array" ref="AN174:AN174">AM174</f>
        <v>0</v>
      </c>
      <c r="AO174" s="859">
        <f>_xlfn.IFERROR(AO166/AO178,0)</f>
        <v>0</v>
      </c>
      <c r="AP174" s="976"/>
      <c r="AQ174" s="976" cm="1" t="str">
        <f t="array" ref="AQ174:AQ174">AP174</f>
        <v>0</v>
      </c>
      <c r="AR174" s="859">
        <f>_xlfn.IFERROR(AR166/AR178,0)</f>
        <v>0</v>
      </c>
      <c r="AS174" s="976"/>
      <c r="AT174" s="976" cm="1" t="str">
        <f t="array" ref="AT174:AT174">AS174</f>
        <v>0</v>
      </c>
      <c r="AU174" s="859">
        <f>_xlfn.IFERROR(AU166/AU178,0)</f>
        <v>0</v>
      </c>
      <c r="AV174" s="976"/>
      <c r="AW174" s="976" cm="1" t="str">
        <f t="array" ref="AW174:AW174">AV174</f>
        <v>0</v>
      </c>
      <c r="AX174" s="859">
        <f>_xlfn.IFERROR(AX166/AX178,0)</f>
        <v>0</v>
      </c>
      <c r="AY174" s="976"/>
      <c r="AZ174" s="976" cm="1" t="str">
        <f t="array" ref="AZ174:AZ174">AY174</f>
        <v>0</v>
      </c>
      <c r="BA174" s="859">
        <f>_xlfn.IFERROR(BA166/BA178,0)</f>
        <v>0</v>
      </c>
      <c r="BB174" s="87"/>
      <c r="BC174" s="87" cm="1" t="str">
        <f t="array" ref="BC174:BC174">BB174</f>
        <v>0</v>
      </c>
      <c r="BD174" s="859">
        <f>_xlfn.IFERROR(BD166/BD178,0)</f>
        <v>0</v>
      </c>
      <c r="BE174" s="87"/>
      <c r="BF174" s="87" cm="1" t="str">
        <f t="array" ref="BF174:BF174">BE174</f>
        <v>0</v>
      </c>
      <c r="BG174" s="859">
        <f>_xlfn.IFERROR(BG166/BG178,0)</f>
        <v>0</v>
      </c>
      <c r="BH174" s="87"/>
      <c r="BI174" s="87" cm="1" t="str">
        <f t="array" ref="BI174:BI174">BH174</f>
        <v>0</v>
      </c>
      <c r="BJ174" s="859">
        <f>_xlfn.IFERROR(BJ166/BJ178,0)</f>
        <v>0</v>
      </c>
      <c r="BK174" s="87"/>
      <c r="BL174" s="87" cm="1" t="str">
        <f t="array" ref="BL174:BL174">BK174</f>
        <v>0</v>
      </c>
      <c r="BM174" s="859">
        <f>_xlfn.IFERROR(BM166/BM178,0)</f>
        <v>0</v>
      </c>
      <c r="BN174" s="87"/>
      <c r="BO174" s="87" cm="1" t="str">
        <f t="array" ref="BO174:BO174">BN174</f>
        <v>0</v>
      </c>
      <c r="BP174" s="859">
        <f>_xlfn.IFERROR(BP166/BP178,0)</f>
        <v>0</v>
      </c>
      <c r="BQ174" s="976"/>
      <c r="BR174" s="976" cm="1" t="str">
        <f t="array" ref="BR174:BR174">BQ174</f>
        <v>0</v>
      </c>
      <c r="BS174" s="859">
        <f>_xlfn.IFERROR(BS166/BS178,0)</f>
        <v>0</v>
      </c>
      <c r="BT174" s="976"/>
      <c r="BU174" s="976" cm="1" t="str">
        <f t="array" ref="BU174:BU174">BT174</f>
        <v>0</v>
      </c>
      <c r="BV174" s="859">
        <f>_xlfn.IFERROR(BV166/BV178,0)</f>
        <v>0</v>
      </c>
      <c r="BW174" s="976"/>
      <c r="BX174" s="976" cm="1" t="str">
        <f t="array" ref="BX174:BX174">BW174</f>
        <v>0</v>
      </c>
      <c r="BY174" s="859">
        <f>_xlfn.IFERROR(BY166/BY178,0)</f>
        <v>0</v>
      </c>
      <c r="BZ174" s="976"/>
      <c r="CA174" s="976" cm="1" t="str">
        <f t="array" ref="CA174:CA174">BZ174</f>
        <v>0</v>
      </c>
      <c r="CB174" s="859">
        <f>_xlfn.IFERROR(CB166/CB178,0)</f>
        <v>0</v>
      </c>
      <c r="CC174" s="976"/>
      <c r="CD174" s="976" cm="1" t="str">
        <f t="array" ref="CD174:CD174">CC174</f>
        <v>0</v>
      </c>
      <c r="CE174" s="859">
        <f>_xlfn.IFERROR(CE166/CE178,0)</f>
        <v>0</v>
      </c>
      <c r="CF174" s="87"/>
      <c r="CG174" s="87" cm="1" t="str">
        <f t="array" ref="CG174:CG174">CF174</f>
        <v>0</v>
      </c>
      <c r="CH174" s="859">
        <f>_xlfn.IFERROR(CH166/CH178,0)</f>
        <v>0</v>
      </c>
      <c r="CI174" s="87"/>
      <c r="CJ174" s="87" cm="1" t="str">
        <f t="array" ref="CJ174:CJ174">CI174</f>
        <v>0</v>
      </c>
      <c r="CK174" s="859">
        <f>_xlfn.IFERROR(CK166/CK178,0)</f>
        <v>0</v>
      </c>
      <c r="CL174" s="87"/>
      <c r="CM174" s="87" cm="1" t="str">
        <f t="array" ref="CM174:CM174">CL174</f>
        <v>0</v>
      </c>
      <c r="CN174" s="859">
        <f>_xlfn.IFERROR(CN166/CN178,0)</f>
        <v>0</v>
      </c>
      <c r="CO174" s="87"/>
      <c r="CP174" s="87" cm="1" t="str">
        <f t="array" ref="CP174:CP174">CO174</f>
        <v>0</v>
      </c>
      <c r="CQ174" s="859">
        <f>_xlfn.IFERROR(CQ166/CQ178,0)</f>
        <v>0</v>
      </c>
      <c r="CR174" s="87"/>
      <c r="CS174" s="87" cm="1" t="str">
        <f t="array" ref="CS174:CS174">CR174</f>
        <v>0</v>
      </c>
      <c r="CT174" s="73"/>
      <c r="CW174" s="1170" t="s">
        <v>792</v>
      </c>
      <c r="CX174" s="1175" t="s">
        <v>787</v>
      </c>
      <c r="CY174" s="1179" cm="1" t="str">
        <f t="array" ref="CY174:CY174">AE174</f>
        <v>0</v>
      </c>
      <c r="CZ174" s="1179" cm="1" t="str">
        <f t="array" ref="CZ174:CZ174">AF174</f>
        <v>0</v>
      </c>
      <c r="DA174" s="1176"/>
      <c r="DB174" s="1176"/>
    </row>
    <row s="1619" customFormat="1" customHeight="1" ht="16.5">
      <c r="A175" s="1619"/>
      <c r="B175" s="1619"/>
      <c r="C175" s="1619"/>
      <c r="D175" s="1619"/>
      <c r="E175" s="794">
        <v>17.1</v>
      </c>
      <c r="F175" s="919" cm="1" t="str">
        <f t="array" ref="F175:F175">OFFSET(G175,-1,-1)</f>
        <v>1</v>
      </c>
      <c r="G175" s="1619"/>
      <c r="H175" s="1619"/>
      <c r="I175" s="1619"/>
      <c r="J175" s="1619"/>
      <c r="K175" s="1619"/>
      <c r="L175" s="919" cm="1" t="str">
        <f t="array" ref="L175:L175">OFFSET(M175,-1,-1)</f>
        <v>false</v>
      </c>
      <c r="M175" s="1619"/>
      <c r="N175" s="1619"/>
      <c r="O175" s="1619"/>
      <c r="P175" s="1619"/>
      <c r="Q175" s="1619"/>
      <c r="R175" s="1619"/>
      <c r="S175" s="156" cm="1" t="str">
        <f t="array" ref="S175:S175">OFFSET(T175,-1,-1)</f>
        <v>true</v>
      </c>
      <c r="T175" s="156">
        <f>AD175&lt;&gt;"20.0"</f>
        <v>1</v>
      </c>
      <c r="U175" s="816">
        <f>AND(S175,IF(ISBLANK(T175),TRUE,T175))</f>
        <v>1</v>
      </c>
      <c r="V175" s="1619"/>
      <c r="W175" s="1619"/>
      <c r="X175" s="156" t="str">
        <f>'Топливо 4.4'!$AE$171&amp;'Топливо 4.4'!$AF$171</f>
        <v>Уголь бурыйБ</v>
      </c>
      <c r="Y175" s="1619"/>
      <c r="Z175" s="1619"/>
      <c r="AA175" s="1619"/>
      <c r="AB175" s="1486"/>
      <c r="AC175" s="1619"/>
      <c r="AD175" s="157" t="s">
        <v>900</v>
      </c>
      <c r="AE175" s="971" cm="1" t="str">
        <f t="array" ref="AE175:AE175">IF(ISBLANK('Топливо 4.4'!$AE$171),"",'Топливо 4.4'!$AE$171)</f>
        <v>Уголь бурый</v>
      </c>
      <c r="AF175" s="622" cm="1" t="str">
        <f t="array" ref="AF175:AF175">IF(ISBLANK('Топливо 4.4'!$AF$171),"",'Топливо 4.4'!$AF$171)</f>
        <v>Б</v>
      </c>
      <c r="AG175" s="738"/>
      <c r="AH175" s="1768"/>
      <c r="AI175" s="1766"/>
      <c r="AJ175" s="1766"/>
      <c r="AK175" s="1766"/>
      <c r="AL175" s="859">
        <f>_xlfn.IFERROR(AL167/AL179,0)</f>
        <v>0.6</v>
      </c>
      <c r="AM175" s="1766">
        <v>0.6</v>
      </c>
      <c r="AN175" s="1766" cm="1" t="str">
        <f t="array" ref="AN175:AN175">AM175</f>
        <v>0.6</v>
      </c>
      <c r="AO175" s="859">
        <f>_xlfn.IFERROR(AO167/AO179,0)</f>
        <v>0.6</v>
      </c>
      <c r="AP175" s="976">
        <v>0.6</v>
      </c>
      <c r="AQ175" s="976" cm="1" t="str">
        <f t="array" ref="AQ175:AQ175">AP175</f>
        <v>0.6</v>
      </c>
      <c r="AR175" s="859">
        <f>_xlfn.IFERROR(AR167/AR179,0)</f>
        <v>0.6</v>
      </c>
      <c r="AS175" s="976">
        <v>0.6</v>
      </c>
      <c r="AT175" s="976" cm="1" t="str">
        <f t="array" ref="AT175:AT175">AS175</f>
        <v>0.6</v>
      </c>
      <c r="AU175" s="859">
        <f>_xlfn.IFERROR(AU167/AU179,0)</f>
        <v>0.6</v>
      </c>
      <c r="AV175" s="976">
        <v>0.6</v>
      </c>
      <c r="AW175" s="976" cm="1" t="str">
        <f t="array" ref="AW175:AW175">AV175</f>
        <v>0.6</v>
      </c>
      <c r="AX175" s="859">
        <f>_xlfn.IFERROR(AX167/AX179,0)</f>
        <v>0.6</v>
      </c>
      <c r="AY175" s="976">
        <v>0.6</v>
      </c>
      <c r="AZ175" s="976" cm="1" t="str">
        <f t="array" ref="AZ175:AZ175">AY175</f>
        <v>0.6</v>
      </c>
      <c r="BA175" s="859">
        <f>_xlfn.IFERROR(BA167/BA179,0)</f>
        <v>0</v>
      </c>
      <c r="BB175" s="1766"/>
      <c r="BC175" s="1766" cm="1" t="str">
        <f t="array" ref="BC175:BC175">BB175</f>
        <v>0</v>
      </c>
      <c r="BD175" s="859">
        <f>_xlfn.IFERROR(BD167/BD179,0)</f>
        <v>0</v>
      </c>
      <c r="BE175" s="1766"/>
      <c r="BF175" s="1766" cm="1" t="str">
        <f t="array" ref="BF175:BF175">BE175</f>
        <v>0</v>
      </c>
      <c r="BG175" s="859">
        <f>_xlfn.IFERROR(BG167/BG179,0)</f>
        <v>0</v>
      </c>
      <c r="BH175" s="1766"/>
      <c r="BI175" s="1766" cm="1" t="str">
        <f t="array" ref="BI175:BI175">BH175</f>
        <v>0</v>
      </c>
      <c r="BJ175" s="859">
        <f>_xlfn.IFERROR(BJ167/BJ179,0)</f>
        <v>0</v>
      </c>
      <c r="BK175" s="1766"/>
      <c r="BL175" s="1766" cm="1" t="str">
        <f t="array" ref="BL175:BL175">BK175</f>
        <v>0</v>
      </c>
      <c r="BM175" s="859">
        <f>_xlfn.IFERROR(BM167/BM179,0)</f>
        <v>0</v>
      </c>
      <c r="BN175" s="1766"/>
      <c r="BO175" s="1766" cm="1" t="str">
        <f t="array" ref="BO175:BO175">BN175</f>
        <v>0</v>
      </c>
      <c r="BP175" s="859">
        <f>_xlfn.IFERROR(BP167/BP179,0)</f>
        <v>0.606410999999999</v>
      </c>
      <c r="BQ175" s="976">
        <v>0.606411</v>
      </c>
      <c r="BR175" s="976" cm="1" t="str">
        <f t="array" ref="BR175:BR175">BQ175</f>
        <v>0.606411</v>
      </c>
      <c r="BS175" s="859">
        <f>_xlfn.IFERROR(BS167/BS179,0)</f>
        <v>0.606410999999999</v>
      </c>
      <c r="BT175" s="976">
        <v>0.606411</v>
      </c>
      <c r="BU175" s="976" cm="1" t="str">
        <f t="array" ref="BU175:BU175">BT175</f>
        <v>0.606411</v>
      </c>
      <c r="BV175" s="859">
        <f>_xlfn.IFERROR(BV167/BV179,0)</f>
        <v>0.606410999999999</v>
      </c>
      <c r="BW175" s="976">
        <v>0.606411</v>
      </c>
      <c r="BX175" s="976" cm="1" t="str">
        <f t="array" ref="BX175:BX175">BW175</f>
        <v>0.606411</v>
      </c>
      <c r="BY175" s="859">
        <f>_xlfn.IFERROR(BY167/BY179,0)</f>
        <v>0.606410999999999</v>
      </c>
      <c r="BZ175" s="976">
        <v>0.606411</v>
      </c>
      <c r="CA175" s="976" cm="1" t="str">
        <f t="array" ref="CA175:CA175">BZ175</f>
        <v>0.606411</v>
      </c>
      <c r="CB175" s="859">
        <f>_xlfn.IFERROR(CB167/CB179,0)</f>
        <v>0.606410999999999</v>
      </c>
      <c r="CC175" s="976">
        <v>0.606411</v>
      </c>
      <c r="CD175" s="976" cm="1" t="str">
        <f t="array" ref="CD175:CD175">CC175</f>
        <v>0.606411</v>
      </c>
      <c r="CE175" s="859">
        <f>_xlfn.IFERROR(CE167/CE179,0)</f>
        <v>0</v>
      </c>
      <c r="CF175" s="1766"/>
      <c r="CG175" s="1766" cm="1" t="str">
        <f t="array" ref="CG175:CG175">CF175</f>
        <v>0</v>
      </c>
      <c r="CH175" s="859">
        <f>_xlfn.IFERROR(CH167/CH179,0)</f>
        <v>0</v>
      </c>
      <c r="CI175" s="1766"/>
      <c r="CJ175" s="1766" cm="1" t="str">
        <f t="array" ref="CJ175:CJ175">CI175</f>
        <v>0</v>
      </c>
      <c r="CK175" s="859">
        <f>_xlfn.IFERROR(CK167/CK179,0)</f>
        <v>0</v>
      </c>
      <c r="CL175" s="1766"/>
      <c r="CM175" s="1766" cm="1" t="str">
        <f t="array" ref="CM175:CM175">CL175</f>
        <v>0</v>
      </c>
      <c r="CN175" s="859">
        <f>_xlfn.IFERROR(CN167/CN179,0)</f>
        <v>0</v>
      </c>
      <c r="CO175" s="1766"/>
      <c r="CP175" s="1766" cm="1" t="str">
        <f t="array" ref="CP175:CP175">CO175</f>
        <v>0</v>
      </c>
      <c r="CQ175" s="859">
        <f>_xlfn.IFERROR(CQ167/CQ179,0)</f>
        <v>0</v>
      </c>
      <c r="CR175" s="1766"/>
      <c r="CS175" s="1766" cm="1" t="str">
        <f t="array" ref="CS175:CS175">CR175</f>
        <v>0</v>
      </c>
      <c r="CT175" s="1730"/>
      <c r="CU175" s="1619"/>
      <c r="CV175" s="1619"/>
      <c r="CW175" s="1170" t="s">
        <v>792</v>
      </c>
      <c r="CX175" s="1175" t="s">
        <v>787</v>
      </c>
      <c r="CY175" s="1179" cm="1" t="str">
        <f t="array" ref="CY175:CY175">AE175</f>
        <v>Уголь бурый</v>
      </c>
      <c r="CZ175" s="1179" cm="1" t="str">
        <f t="array" ref="CZ175:CZ175">AF175</f>
        <v>Б</v>
      </c>
      <c r="DA175" s="1176"/>
      <c r="DB175" s="1176"/>
    </row>
    <row s="1619" customFormat="1" customHeight="1" ht="17.25" hidden="1">
      <c r="A176" s="1440"/>
      <c r="B176" s="924"/>
      <c r="C176" s="1440"/>
      <c r="D176" s="1440"/>
      <c r="E176" s="794">
        <v>0</v>
      </c>
      <c r="F176" s="919" cm="1" t="str">
        <f t="array" ref="F176:F176">OFFSET(G176,-1,-1)</f>
        <v>1</v>
      </c>
      <c r="G176" s="962"/>
      <c r="H176" s="962"/>
      <c r="I176" s="962"/>
      <c r="J176" s="962"/>
      <c r="K176" s="962"/>
      <c r="L176" s="919" cm="1" t="str">
        <f t="array" ref="L176:L176">OFFSET(M176,-1,-1)</f>
        <v>false</v>
      </c>
      <c r="M176" s="962"/>
      <c r="N176" s="962"/>
      <c r="O176" s="962"/>
      <c r="P176" s="962"/>
      <c r="Q176" s="962"/>
      <c r="R176" s="1440"/>
      <c r="S176" s="156" cm="1" t="str">
        <f t="array" ref="S176:S176">OFFSET(T176,-1,-1)</f>
        <v>true</v>
      </c>
      <c r="T176" s="1440"/>
      <c r="U176" s="816">
        <f>AND(S176,IF(ISBLANK(T176),TRUE,T176))</f>
        <v>1</v>
      </c>
      <c r="V176" s="1440"/>
      <c r="W176" s="1440"/>
      <c r="X176" s="970" t="str">
        <f>"{                  
         funcDyn: 'msg1',
         blok: 'blok_2',
         wsCross: 'Топливо 4.4',
         linkFormula: 'AE-AE#AF-AF',
         levelDyn: "&amp;Y139&amp;"
}"</f>
        <v>{                  
         funcDyn: 'msg1',
         blok: 'blok_2',
         wsCross: 'Топливо 4.4',
         linkFormula: 'AE-AE#AF-AF',
         levelDyn: 1
}</v>
      </c>
      <c r="Y176" s="1440"/>
      <c r="Z176" s="1440"/>
      <c r="AA176" s="817"/>
      <c r="AB176" s="1486"/>
      <c r="AC176" s="1619"/>
      <c r="AD176" s="973"/>
      <c r="AE176" s="972" t="s">
        <v>235</v>
      </c>
      <c r="AF176" s="871"/>
      <c r="AG176" s="1011"/>
      <c r="AH176" s="858"/>
      <c r="AI176" s="860"/>
      <c r="AJ176" s="860"/>
      <c r="AK176" s="860"/>
      <c r="AL176" s="860"/>
      <c r="AM176" s="860"/>
      <c r="AN176" s="860"/>
      <c r="AO176" s="860"/>
      <c r="AP176" s="860"/>
      <c r="AQ176" s="860"/>
      <c r="AR176" s="860"/>
      <c r="AS176" s="860"/>
      <c r="AT176" s="860"/>
      <c r="AU176" s="860"/>
      <c r="AV176" s="860"/>
      <c r="AW176" s="860"/>
      <c r="AX176" s="860"/>
      <c r="AY176" s="860"/>
      <c r="AZ176" s="860"/>
      <c r="BA176" s="860"/>
      <c r="BB176" s="860"/>
      <c r="BC176" s="860"/>
      <c r="BD176" s="860"/>
      <c r="BE176" s="860"/>
      <c r="BF176" s="860"/>
      <c r="BG176" s="860"/>
      <c r="BH176" s="860"/>
      <c r="BI176" s="860"/>
      <c r="BJ176" s="860"/>
      <c r="BK176" s="860"/>
      <c r="BL176" s="860"/>
      <c r="BM176" s="860"/>
      <c r="BN176" s="860"/>
      <c r="BO176" s="860"/>
      <c r="BP176" s="860"/>
      <c r="BQ176" s="860"/>
      <c r="BR176" s="860"/>
      <c r="BS176" s="860"/>
      <c r="BT176" s="860"/>
      <c r="BU176" s="860"/>
      <c r="BV176" s="860"/>
      <c r="BW176" s="860"/>
      <c r="BX176" s="860"/>
      <c r="BY176" s="860"/>
      <c r="BZ176" s="860"/>
      <c r="CA176" s="860"/>
      <c r="CB176" s="860"/>
      <c r="CC176" s="860"/>
      <c r="CD176" s="860"/>
      <c r="CE176" s="860"/>
      <c r="CF176" s="860"/>
      <c r="CG176" s="860"/>
      <c r="CH176" s="860"/>
      <c r="CI176" s="860"/>
      <c r="CJ176" s="860"/>
      <c r="CK176" s="860"/>
      <c r="CL176" s="860"/>
      <c r="CM176" s="860"/>
      <c r="CN176" s="860"/>
      <c r="CO176" s="860"/>
      <c r="CP176" s="860"/>
      <c r="CQ176" s="860"/>
      <c r="CR176" s="860"/>
      <c r="CS176" s="860"/>
      <c r="CT176" s="91"/>
      <c r="CU176" s="1619"/>
      <c r="CV176" s="1619"/>
      <c r="CW176" s="1170" t="str">
        <f>IF(AND(ISNUMBER(VALUE(TRIM(SUBSTITUTE(AD176,".","")))),TRIM(SUBSTITUTE(AD176,".",""))&lt;&gt;""),"P"&amp;SUBSTITUTE(AD176,".",""),"")</f>
        <v/>
      </c>
      <c r="CX176" s="1175"/>
      <c r="CY176" s="1175"/>
      <c r="CZ176" s="1175"/>
      <c r="DA176" s="1176"/>
      <c r="DB176" s="1176"/>
    </row>
    <row s="1619" customFormat="1" customHeight="1" ht="16.5">
      <c r="A177" s="1440"/>
      <c r="B177" s="924"/>
      <c r="C177" s="1440"/>
      <c r="D177" s="1440"/>
      <c r="E177" s="794">
        <v>17.1</v>
      </c>
      <c r="F177" s="919" cm="1" t="str">
        <f t="array" ref="F177:F177">OFFSET(G177,-1,-1)</f>
        <v>1</v>
      </c>
      <c r="G177" s="962"/>
      <c r="H177" s="962"/>
      <c r="I177" s="962"/>
      <c r="J177" s="962"/>
      <c r="K177" s="962"/>
      <c r="L177" s="919" cm="1" t="str">
        <f t="array" ref="L177:L177">OFFSET(M177,-1,-1)</f>
        <v>false</v>
      </c>
      <c r="M177" s="962"/>
      <c r="N177" s="962"/>
      <c r="O177" s="962"/>
      <c r="P177" s="962"/>
      <c r="Q177" s="962"/>
      <c r="R177" s="1440"/>
      <c r="S177" s="156" cm="1" t="str">
        <f t="array" ref="S177:S177">OFFSET(T177,-1,-1)</f>
        <v>true</v>
      </c>
      <c r="T177" s="1440"/>
      <c r="U177" s="816">
        <f>AND(S177,IF(ISBLANK(T177),TRUE,T177))</f>
        <v>1</v>
      </c>
      <c r="V177" s="1440"/>
      <c r="W177" s="1440"/>
      <c r="X177" s="1440"/>
      <c r="Y177" s="1440"/>
      <c r="Z177" s="1440"/>
      <c r="AA177" s="817"/>
      <c r="AB177" s="1486"/>
      <c r="AC177" s="1619"/>
      <c r="AD177" s="157">
        <v>21</v>
      </c>
      <c r="AE177" s="1505" t="s">
        <v>794</v>
      </c>
      <c r="AF177" s="159"/>
      <c r="AG177" s="738"/>
      <c r="AH177" s="858"/>
      <c r="AI177" s="860"/>
      <c r="AJ177" s="860"/>
      <c r="AK177" s="860"/>
      <c r="AL177" s="860"/>
      <c r="AM177" s="860"/>
      <c r="AN177" s="860"/>
      <c r="AO177" s="860"/>
      <c r="AP177" s="860"/>
      <c r="AQ177" s="860"/>
      <c r="AR177" s="860"/>
      <c r="AS177" s="860"/>
      <c r="AT177" s="860"/>
      <c r="AU177" s="860"/>
      <c r="AV177" s="860"/>
      <c r="AW177" s="860"/>
      <c r="AX177" s="860"/>
      <c r="AY177" s="860"/>
      <c r="AZ177" s="860"/>
      <c r="BA177" s="860"/>
      <c r="BB177" s="860"/>
      <c r="BC177" s="860"/>
      <c r="BD177" s="860"/>
      <c r="BE177" s="860"/>
      <c r="BF177" s="860"/>
      <c r="BG177" s="860"/>
      <c r="BH177" s="860"/>
      <c r="BI177" s="860"/>
      <c r="BJ177" s="860"/>
      <c r="BK177" s="860"/>
      <c r="BL177" s="860"/>
      <c r="BM177" s="860"/>
      <c r="BN177" s="860"/>
      <c r="BO177" s="860"/>
      <c r="BP177" s="860"/>
      <c r="BQ177" s="860"/>
      <c r="BR177" s="860"/>
      <c r="BS177" s="860"/>
      <c r="BT177" s="860"/>
      <c r="BU177" s="860"/>
      <c r="BV177" s="860"/>
      <c r="BW177" s="860"/>
      <c r="BX177" s="860"/>
      <c r="BY177" s="860"/>
      <c r="BZ177" s="860"/>
      <c r="CA177" s="860"/>
      <c r="CB177" s="860"/>
      <c r="CC177" s="860"/>
      <c r="CD177" s="860"/>
      <c r="CE177" s="860"/>
      <c r="CF177" s="860"/>
      <c r="CG177" s="860"/>
      <c r="CH177" s="860"/>
      <c r="CI177" s="860"/>
      <c r="CJ177" s="860"/>
      <c r="CK177" s="860"/>
      <c r="CL177" s="860"/>
      <c r="CM177" s="860"/>
      <c r="CN177" s="860"/>
      <c r="CO177" s="860"/>
      <c r="CP177" s="860"/>
      <c r="CQ177" s="860"/>
      <c r="CR177" s="860"/>
      <c r="CS177" s="860"/>
      <c r="CT177" s="1730"/>
      <c r="CU177" s="1619"/>
      <c r="CV177" s="1619"/>
      <c r="CW177" s="1170" t="s">
        <v>795</v>
      </c>
      <c r="CX177" s="1175"/>
      <c r="CY177" s="1175"/>
      <c r="CZ177" s="1175"/>
      <c r="DA177" s="1176"/>
      <c r="DB177" s="1176"/>
    </row>
    <row s="1619" customFormat="1" customHeight="1" ht="16.5" hidden="1">
      <c r="E178" s="794">
        <v>17.1</v>
      </c>
      <c r="F178" s="919" cm="1" t="str">
        <f t="array" ref="F178:F178">OFFSET(G178,-1,-1)</f>
        <v>1</v>
      </c>
      <c r="L178" s="919" cm="1" t="str">
        <f t="array" ref="L178:L178">OFFSET(M178,-1,-1)</f>
        <v>false</v>
      </c>
      <c r="S178" s="156" cm="1" t="str">
        <f t="array" ref="S178:S178">OFFSET(T178,-1,-1)</f>
        <v>true</v>
      </c>
      <c r="T178" s="156">
        <f>AD178&lt;&gt;"21.0"</f>
        <v>0</v>
      </c>
      <c r="U178" s="816">
        <f>AND(S178,IF(ISBLANK(T178),TRUE,T178))</f>
        <v>0</v>
      </c>
      <c r="X178" s="156" t="s">
        <v>233</v>
      </c>
      <c r="AB178" s="1486"/>
      <c r="AD178" s="157" t="s">
        <v>796</v>
      </c>
      <c r="AE178" s="971"/>
      <c r="AF178" s="622"/>
      <c r="AG178" s="1067" t="str">
        <f>_xlfn.IFERROR(INDEX(fuel_ed_izm_list,MATCH(AE178,fuel_list,0)),"тнт")</f>
        <v>тнт</v>
      </c>
      <c r="AH178" s="87">
        <f>_xlfn.IFERROR(AH166/AH174,0)</f>
        <v>0</v>
      </c>
      <c r="AI178" s="87"/>
      <c r="AJ178" s="87"/>
      <c r="AK178" s="87">
        <f>_xlfn.IFERROR(AK166/AK174,0)</f>
        <v>0</v>
      </c>
      <c r="AL178" s="857">
        <f>AM178+AN178</f>
        <v>0</v>
      </c>
      <c r="AM178" s="87">
        <f>_xlfn.IFERROR(AM166/AM174,0)</f>
        <v>0</v>
      </c>
      <c r="AN178" s="87">
        <f>_xlfn.IFERROR(AN166/AN174,0)</f>
        <v>0</v>
      </c>
      <c r="AO178" s="857">
        <f>AP178+AQ178</f>
        <v>0</v>
      </c>
      <c r="AP178" s="976">
        <f>_xlfn.IFERROR(AP166/AP174,0)</f>
        <v>0</v>
      </c>
      <c r="AQ178" s="976">
        <f>_xlfn.IFERROR(AQ166/AQ174,0)</f>
        <v>0</v>
      </c>
      <c r="AR178" s="857">
        <f>AS178+AT178</f>
        <v>0</v>
      </c>
      <c r="AS178" s="976">
        <f>_xlfn.IFERROR(AS166/AS174,0)</f>
        <v>0</v>
      </c>
      <c r="AT178" s="976">
        <f>_xlfn.IFERROR(AT166/AT174,0)</f>
        <v>0</v>
      </c>
      <c r="AU178" s="857">
        <f>AV178+AW178</f>
        <v>0</v>
      </c>
      <c r="AV178" s="976">
        <f>_xlfn.IFERROR(AV166/AV174,0)</f>
        <v>0</v>
      </c>
      <c r="AW178" s="976">
        <f>_xlfn.IFERROR(AW166/AW174,0)</f>
        <v>0</v>
      </c>
      <c r="AX178" s="857">
        <f>AY178+AZ178</f>
        <v>0</v>
      </c>
      <c r="AY178" s="976">
        <f>_xlfn.IFERROR(AY166/AY174,0)</f>
        <v>0</v>
      </c>
      <c r="AZ178" s="976">
        <f>_xlfn.IFERROR(AZ166/AZ174,0)</f>
        <v>0</v>
      </c>
      <c r="BA178" s="857">
        <f>BB178+BC178</f>
        <v>0</v>
      </c>
      <c r="BB178" s="87">
        <f>_xlfn.IFERROR(BB166/BB174,0)</f>
        <v>0</v>
      </c>
      <c r="BC178" s="87">
        <f>_xlfn.IFERROR(BC166/BC174,0)</f>
        <v>0</v>
      </c>
      <c r="BD178" s="857">
        <f>BE178+BF178</f>
        <v>0</v>
      </c>
      <c r="BE178" s="87">
        <f>_xlfn.IFERROR(BE166/BE174,0)</f>
        <v>0</v>
      </c>
      <c r="BF178" s="87">
        <f>_xlfn.IFERROR(BF166/BF174,0)</f>
        <v>0</v>
      </c>
      <c r="BG178" s="857">
        <f>BH178+BI178</f>
        <v>0</v>
      </c>
      <c r="BH178" s="87">
        <f>_xlfn.IFERROR(BH166/BH174,0)</f>
        <v>0</v>
      </c>
      <c r="BI178" s="87">
        <f>_xlfn.IFERROR(BI166/BI174,0)</f>
        <v>0</v>
      </c>
      <c r="BJ178" s="857">
        <f>BK178+BL178</f>
        <v>0</v>
      </c>
      <c r="BK178" s="87">
        <f>_xlfn.IFERROR(BK166/BK174,0)</f>
        <v>0</v>
      </c>
      <c r="BL178" s="87">
        <f>_xlfn.IFERROR(BL166/BL174,0)</f>
        <v>0</v>
      </c>
      <c r="BM178" s="857">
        <f>BN178+BO178</f>
        <v>0</v>
      </c>
      <c r="BN178" s="87">
        <f>_xlfn.IFERROR(BN166/BN174,0)</f>
        <v>0</v>
      </c>
      <c r="BO178" s="87">
        <f>_xlfn.IFERROR(BO166/BO174,0)</f>
        <v>0</v>
      </c>
      <c r="BP178" s="857">
        <f>BQ178+BR178</f>
        <v>0</v>
      </c>
      <c r="BQ178" s="976">
        <f>_xlfn.IFERROR(BQ166/BQ174,0)</f>
        <v>0</v>
      </c>
      <c r="BR178" s="976">
        <f>_xlfn.IFERROR(BR166/BR174,0)</f>
        <v>0</v>
      </c>
      <c r="BS178" s="857">
        <f>BT178+BU178</f>
        <v>0</v>
      </c>
      <c r="BT178" s="976">
        <f>_xlfn.IFERROR(BT166/BT174,0)</f>
        <v>0</v>
      </c>
      <c r="BU178" s="976">
        <f>_xlfn.IFERROR(BU166/BU174,0)</f>
        <v>0</v>
      </c>
      <c r="BV178" s="857">
        <f>BW178+BX178</f>
        <v>0</v>
      </c>
      <c r="BW178" s="976">
        <f>_xlfn.IFERROR(BW166/BW174,0)</f>
        <v>0</v>
      </c>
      <c r="BX178" s="976">
        <f>_xlfn.IFERROR(BX166/BX174,0)</f>
        <v>0</v>
      </c>
      <c r="BY178" s="857">
        <f>BZ178+CA178</f>
        <v>0</v>
      </c>
      <c r="BZ178" s="976">
        <f>_xlfn.IFERROR(BZ166/BZ174,0)</f>
        <v>0</v>
      </c>
      <c r="CA178" s="976">
        <f>_xlfn.IFERROR(CA166/CA174,0)</f>
        <v>0</v>
      </c>
      <c r="CB178" s="857">
        <f>CC178+CD178</f>
        <v>0</v>
      </c>
      <c r="CC178" s="976">
        <f>_xlfn.IFERROR(CC166/CC174,0)</f>
        <v>0</v>
      </c>
      <c r="CD178" s="976">
        <f>_xlfn.IFERROR(CD166/CD174,0)</f>
        <v>0</v>
      </c>
      <c r="CE178" s="857">
        <f>CF178+CG178</f>
        <v>0</v>
      </c>
      <c r="CF178" s="87">
        <f>_xlfn.IFERROR(CF166/CF174,0)</f>
        <v>0</v>
      </c>
      <c r="CG178" s="87">
        <f>_xlfn.IFERROR(CG166/CG174,0)</f>
        <v>0</v>
      </c>
      <c r="CH178" s="857">
        <f>CI178+CJ178</f>
        <v>0</v>
      </c>
      <c r="CI178" s="87">
        <f>_xlfn.IFERROR(CI166/CI174,0)</f>
        <v>0</v>
      </c>
      <c r="CJ178" s="87">
        <f>_xlfn.IFERROR(CJ166/CJ174,0)</f>
        <v>0</v>
      </c>
      <c r="CK178" s="857">
        <f>CL178+CM178</f>
        <v>0</v>
      </c>
      <c r="CL178" s="87">
        <f>_xlfn.IFERROR(CL166/CL174,0)</f>
        <v>0</v>
      </c>
      <c r="CM178" s="87">
        <f>_xlfn.IFERROR(CM166/CM174,0)</f>
        <v>0</v>
      </c>
      <c r="CN178" s="857">
        <f>CO178+CP178</f>
        <v>0</v>
      </c>
      <c r="CO178" s="87">
        <f>_xlfn.IFERROR(CO166/CO174,0)</f>
        <v>0</v>
      </c>
      <c r="CP178" s="87">
        <f>_xlfn.IFERROR(CP166/CP174,0)</f>
        <v>0</v>
      </c>
      <c r="CQ178" s="857">
        <f>CR178+CS178</f>
        <v>0</v>
      </c>
      <c r="CR178" s="87">
        <f>_xlfn.IFERROR(CR166/CR174,0)</f>
        <v>0</v>
      </c>
      <c r="CS178" s="87">
        <f>_xlfn.IFERROR(CS166/CS174,0)</f>
        <v>0</v>
      </c>
      <c r="CT178" s="73"/>
      <c r="CW178" s="1170" t="s">
        <v>795</v>
      </c>
      <c r="CX178" s="1175" t="s">
        <v>787</v>
      </c>
      <c r="CY178" s="1179" cm="1" t="str">
        <f t="array" ref="CY178:CY178">AE178</f>
        <v>0</v>
      </c>
      <c r="CZ178" s="1179" cm="1" t="str">
        <f t="array" ref="CZ178:CZ178">AF178</f>
        <v>0</v>
      </c>
      <c r="DA178" s="1176"/>
      <c r="DB178" s="1176"/>
    </row>
    <row s="1619" customFormat="1" customHeight="1" ht="16.5">
      <c r="A179" s="1619"/>
      <c r="B179" s="1619"/>
      <c r="C179" s="1619"/>
      <c r="D179" s="1619"/>
      <c r="E179" s="794">
        <v>17.1</v>
      </c>
      <c r="F179" s="919" cm="1" t="str">
        <f t="array" ref="F179:F179">OFFSET(G179,-1,-1)</f>
        <v>1</v>
      </c>
      <c r="G179" s="1619"/>
      <c r="H179" s="1619"/>
      <c r="I179" s="1619"/>
      <c r="J179" s="1619"/>
      <c r="K179" s="1619"/>
      <c r="L179" s="919" cm="1" t="str">
        <f t="array" ref="L179:L179">OFFSET(M179,-1,-1)</f>
        <v>false</v>
      </c>
      <c r="M179" s="1619"/>
      <c r="N179" s="1619"/>
      <c r="O179" s="1619"/>
      <c r="P179" s="1619"/>
      <c r="Q179" s="1619"/>
      <c r="R179" s="1619"/>
      <c r="S179" s="156" cm="1" t="str">
        <f t="array" ref="S179:S179">OFFSET(T179,-1,-1)</f>
        <v>true</v>
      </c>
      <c r="T179" s="156">
        <f>AD179&lt;&gt;"21.0"</f>
        <v>1</v>
      </c>
      <c r="U179" s="816">
        <f>AND(S179,IF(ISBLANK(T179),TRUE,T179))</f>
        <v>1</v>
      </c>
      <c r="V179" s="1619"/>
      <c r="W179" s="1619"/>
      <c r="X179" s="156" t="str">
        <f>'Топливо 4.4'!$AE$175&amp;'Топливо 4.4'!$AF$175</f>
        <v>Уголь бурыйБ</v>
      </c>
      <c r="Y179" s="1619"/>
      <c r="Z179" s="1619"/>
      <c r="AA179" s="1619"/>
      <c r="AB179" s="1486"/>
      <c r="AC179" s="1619"/>
      <c r="AD179" s="157" t="s">
        <v>901</v>
      </c>
      <c r="AE179" s="971" cm="1" t="str">
        <f t="array" ref="AE179:AE179">IF(ISBLANK('Топливо 4.4'!$AE$175),"",'Топливо 4.4'!$AE$175)</f>
        <v>Уголь бурый</v>
      </c>
      <c r="AF179" s="622" cm="1" t="str">
        <f t="array" ref="AF179:AF179">IF(ISBLANK('Топливо 4.4'!$AF$175),"",'Топливо 4.4'!$AF$175)</f>
        <v>Б</v>
      </c>
      <c r="AG179" s="1067" t="str">
        <f>_xlfn.IFERROR(INDEX(fuel_ed_izm_list,MATCH(AE179,fuel_list,0)),"тнт")</f>
        <v>тнт</v>
      </c>
      <c r="AH179" s="1766">
        <f>_xlfn.IFERROR(AH167/AH175,0)</f>
        <v>0</v>
      </c>
      <c r="AI179" s="1766"/>
      <c r="AJ179" s="1766"/>
      <c r="AK179" s="1766">
        <f>_xlfn.IFERROR(AK167/AK175,0)</f>
        <v>0</v>
      </c>
      <c r="AL179" s="857">
        <f>AM179+AN179</f>
        <v>486.35</v>
      </c>
      <c r="AM179" s="1766">
        <f>_xlfn.IFERROR(AM167/AM175,0)</f>
        <v>363.52</v>
      </c>
      <c r="AN179" s="1766">
        <f>_xlfn.IFERROR(AN167/AN175,0)</f>
        <v>122.83</v>
      </c>
      <c r="AO179" s="857">
        <f>AP179+AQ179</f>
        <v>486.35</v>
      </c>
      <c r="AP179" s="976">
        <f>_xlfn.IFERROR(AP167/AP175,0)</f>
        <v>363.52</v>
      </c>
      <c r="AQ179" s="976">
        <f>_xlfn.IFERROR(AQ167/AQ175,0)</f>
        <v>122.83</v>
      </c>
      <c r="AR179" s="857">
        <f>AS179+AT179</f>
        <v>486.35</v>
      </c>
      <c r="AS179" s="976">
        <f>_xlfn.IFERROR(AS167/AS175,0)</f>
        <v>363.52</v>
      </c>
      <c r="AT179" s="976">
        <f>_xlfn.IFERROR(AT167/AT175,0)</f>
        <v>122.83</v>
      </c>
      <c r="AU179" s="857">
        <f>AV179+AW179</f>
        <v>486.35</v>
      </c>
      <c r="AV179" s="976">
        <f>_xlfn.IFERROR(AV167/AV175,0)</f>
        <v>363.52</v>
      </c>
      <c r="AW179" s="976">
        <f>_xlfn.IFERROR(AW167/AW175,0)</f>
        <v>122.83</v>
      </c>
      <c r="AX179" s="857">
        <f>AY179+AZ179</f>
        <v>486.35</v>
      </c>
      <c r="AY179" s="976">
        <f>_xlfn.IFERROR(AY167/AY175,0)</f>
        <v>363.52</v>
      </c>
      <c r="AZ179" s="976">
        <f>_xlfn.IFERROR(AZ167/AZ175,0)</f>
        <v>122.83</v>
      </c>
      <c r="BA179" s="857">
        <f>BB179+BC179</f>
        <v>0</v>
      </c>
      <c r="BB179" s="1766">
        <f>_xlfn.IFERROR(BB167/BB175,0)</f>
        <v>0</v>
      </c>
      <c r="BC179" s="1766">
        <f>_xlfn.IFERROR(BC167/BC175,0)</f>
        <v>0</v>
      </c>
      <c r="BD179" s="857">
        <f>BE179+BF179</f>
        <v>0</v>
      </c>
      <c r="BE179" s="1766">
        <f>_xlfn.IFERROR(BE167/BE175,0)</f>
        <v>0</v>
      </c>
      <c r="BF179" s="1766">
        <f>_xlfn.IFERROR(BF167/BF175,0)</f>
        <v>0</v>
      </c>
      <c r="BG179" s="857">
        <f>BH179+BI179</f>
        <v>0</v>
      </c>
      <c r="BH179" s="1766">
        <f>_xlfn.IFERROR(BH167/BH175,0)</f>
        <v>0</v>
      </c>
      <c r="BI179" s="1766">
        <f>_xlfn.IFERROR(BI167/BI175,0)</f>
        <v>0</v>
      </c>
      <c r="BJ179" s="857">
        <f>BK179+BL179</f>
        <v>0</v>
      </c>
      <c r="BK179" s="1766">
        <f>_xlfn.IFERROR(BK167/BK175,0)</f>
        <v>0</v>
      </c>
      <c r="BL179" s="1766">
        <f>_xlfn.IFERROR(BL167/BL175,0)</f>
        <v>0</v>
      </c>
      <c r="BM179" s="857">
        <f>BN179+BO179</f>
        <v>0</v>
      </c>
      <c r="BN179" s="1766">
        <f>_xlfn.IFERROR(BN167/BN175,0)</f>
        <v>0</v>
      </c>
      <c r="BO179" s="1766">
        <f>_xlfn.IFERROR(BO167/BO175,0)</f>
        <v>0</v>
      </c>
      <c r="BP179" s="857">
        <f>BQ179+BR179</f>
        <v>481.208289427468</v>
      </c>
      <c r="BQ179" s="976">
        <f>_xlfn.IFERROR(BQ167/BQ175,0)</f>
        <v>359.676852827538</v>
      </c>
      <c r="BR179" s="976">
        <f>_xlfn.IFERROR(BR167/BR175,0)</f>
        <v>121.53143659993</v>
      </c>
      <c r="BS179" s="857">
        <f>BT179+BU179</f>
        <v>481.208289427468</v>
      </c>
      <c r="BT179" s="976">
        <f>_xlfn.IFERROR(BT167/BT175,0)</f>
        <v>359.676852827538</v>
      </c>
      <c r="BU179" s="976">
        <f>_xlfn.IFERROR(BU167/BU175,0)</f>
        <v>121.53143659993</v>
      </c>
      <c r="BV179" s="857">
        <f>BW179+BX179</f>
        <v>481.208289427468</v>
      </c>
      <c r="BW179" s="976">
        <f>_xlfn.IFERROR(BW167/BW175,0)</f>
        <v>359.676852827538</v>
      </c>
      <c r="BX179" s="976">
        <f>_xlfn.IFERROR(BX167/BX175,0)</f>
        <v>121.53143659993</v>
      </c>
      <c r="BY179" s="857">
        <f>BZ179+CA179</f>
        <v>481.208289427468</v>
      </c>
      <c r="BZ179" s="976">
        <f>_xlfn.IFERROR(BZ167/BZ175,0)</f>
        <v>359.676852827538</v>
      </c>
      <c r="CA179" s="976">
        <f>_xlfn.IFERROR(CA167/CA175,0)</f>
        <v>121.53143659993</v>
      </c>
      <c r="CB179" s="857">
        <f>CC179+CD179</f>
        <v>481.208289427468</v>
      </c>
      <c r="CC179" s="976">
        <f>_xlfn.IFERROR(CC167/CC175,0)</f>
        <v>359.676852827538</v>
      </c>
      <c r="CD179" s="976">
        <f>_xlfn.IFERROR(CD167/CD175,0)</f>
        <v>121.53143659993</v>
      </c>
      <c r="CE179" s="857">
        <f>CF179+CG179</f>
        <v>0</v>
      </c>
      <c r="CF179" s="1766">
        <f>_xlfn.IFERROR(CF167/CF175,0)</f>
        <v>0</v>
      </c>
      <c r="CG179" s="1766">
        <f>_xlfn.IFERROR(CG167/CG175,0)</f>
        <v>0</v>
      </c>
      <c r="CH179" s="857">
        <f>CI179+CJ179</f>
        <v>0</v>
      </c>
      <c r="CI179" s="1766">
        <f>_xlfn.IFERROR(CI167/CI175,0)</f>
        <v>0</v>
      </c>
      <c r="CJ179" s="1766">
        <f>_xlfn.IFERROR(CJ167/CJ175,0)</f>
        <v>0</v>
      </c>
      <c r="CK179" s="857">
        <f>CL179+CM179</f>
        <v>0</v>
      </c>
      <c r="CL179" s="1766">
        <f>_xlfn.IFERROR(CL167/CL175,0)</f>
        <v>0</v>
      </c>
      <c r="CM179" s="1766">
        <f>_xlfn.IFERROR(CM167/CM175,0)</f>
        <v>0</v>
      </c>
      <c r="CN179" s="857">
        <f>CO179+CP179</f>
        <v>0</v>
      </c>
      <c r="CO179" s="1766">
        <f>_xlfn.IFERROR(CO167/CO175,0)</f>
        <v>0</v>
      </c>
      <c r="CP179" s="1766">
        <f>_xlfn.IFERROR(CP167/CP175,0)</f>
        <v>0</v>
      </c>
      <c r="CQ179" s="857">
        <f>CR179+CS179</f>
        <v>0</v>
      </c>
      <c r="CR179" s="1766">
        <f>_xlfn.IFERROR(CR167/CR175,0)</f>
        <v>0</v>
      </c>
      <c r="CS179" s="1766">
        <f>_xlfn.IFERROR(CS167/CS175,0)</f>
        <v>0</v>
      </c>
      <c r="CT179" s="1730"/>
      <c r="CU179" s="1619"/>
      <c r="CV179" s="1619"/>
      <c r="CW179" s="1170" t="s">
        <v>795</v>
      </c>
      <c r="CX179" s="1175" t="s">
        <v>787</v>
      </c>
      <c r="CY179" s="1179" cm="1" t="str">
        <f t="array" ref="CY179:CY179">AE179</f>
        <v>Уголь бурый</v>
      </c>
      <c r="CZ179" s="1179" cm="1" t="str">
        <f t="array" ref="CZ179:CZ179">AF179</f>
        <v>Б</v>
      </c>
      <c r="DA179" s="1176"/>
      <c r="DB179" s="1176"/>
    </row>
    <row s="1619" customFormat="1" customHeight="1" ht="17.25" hidden="1">
      <c r="A180" s="1440"/>
      <c r="B180" s="924"/>
      <c r="C180" s="1440"/>
      <c r="D180" s="1440"/>
      <c r="E180" s="794">
        <v>0</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970" t="str">
        <f>"{                  
         funcDyn: 'msg1',
         blok: 'blok_2',
         wsCross: 'Топливо 4.4',
         linkFormula: 'AE-AE#AF-AF',
         levelDyn: "&amp;Y139&amp;"
}"</f>
        <v>{                  
         funcDyn: 'msg1',
         blok: 'blok_2',
         wsCross: 'Топливо 4.4',
         linkFormula: 'AE-AE#AF-AF',
         levelDyn: 1
}</v>
      </c>
      <c r="Y180" s="1440"/>
      <c r="Z180" s="1440"/>
      <c r="AA180" s="817"/>
      <c r="AB180" s="1487"/>
      <c r="AC180" s="1619"/>
      <c r="AD180" s="973"/>
      <c r="AE180" s="972" t="s">
        <v>235</v>
      </c>
      <c r="AF180" s="871"/>
      <c r="AG180" s="1011"/>
      <c r="AH180" s="858"/>
      <c r="AI180" s="860"/>
      <c r="AJ180" s="860"/>
      <c r="AK180" s="860"/>
      <c r="AL180" s="858"/>
      <c r="AM180" s="860"/>
      <c r="AN180" s="860"/>
      <c r="AO180" s="858"/>
      <c r="AP180" s="860"/>
      <c r="AQ180" s="860"/>
      <c r="AR180" s="858"/>
      <c r="AS180" s="860"/>
      <c r="AT180" s="860"/>
      <c r="AU180" s="858"/>
      <c r="AV180" s="860"/>
      <c r="AW180" s="860"/>
      <c r="AX180" s="858"/>
      <c r="AY180" s="860"/>
      <c r="AZ180" s="860"/>
      <c r="BA180" s="858"/>
      <c r="BB180" s="860"/>
      <c r="BC180" s="860"/>
      <c r="BD180" s="858"/>
      <c r="BE180" s="860"/>
      <c r="BF180" s="860"/>
      <c r="BG180" s="858"/>
      <c r="BH180" s="860"/>
      <c r="BI180" s="860"/>
      <c r="BJ180" s="858"/>
      <c r="BK180" s="860"/>
      <c r="BL180" s="860"/>
      <c r="BM180" s="858"/>
      <c r="BN180" s="860"/>
      <c r="BO180" s="860"/>
      <c r="BP180" s="858"/>
      <c r="BQ180" s="860"/>
      <c r="BR180" s="860"/>
      <c r="BS180" s="858"/>
      <c r="BT180" s="860"/>
      <c r="BU180" s="860"/>
      <c r="BV180" s="858"/>
      <c r="BW180" s="860"/>
      <c r="BX180" s="860"/>
      <c r="BY180" s="858"/>
      <c r="BZ180" s="860"/>
      <c r="CA180" s="860"/>
      <c r="CB180" s="858"/>
      <c r="CC180" s="860"/>
      <c r="CD180" s="860"/>
      <c r="CE180" s="858"/>
      <c r="CF180" s="860"/>
      <c r="CG180" s="860"/>
      <c r="CH180" s="858"/>
      <c r="CI180" s="860"/>
      <c r="CJ180" s="860"/>
      <c r="CK180" s="858"/>
      <c r="CL180" s="860"/>
      <c r="CM180" s="860"/>
      <c r="CN180" s="858"/>
      <c r="CO180" s="860"/>
      <c r="CP180" s="860"/>
      <c r="CQ180" s="858"/>
      <c r="CR180" s="860"/>
      <c r="CS180" s="860"/>
      <c r="CT180" s="91"/>
      <c r="CU180" s="1619"/>
      <c r="CV180" s="1619"/>
      <c r="CW180" s="1170" t="str">
        <f>IF(AND(ISNUMBER(VALUE(TRIM(SUBSTITUTE(AD180,".","")))),TRIM(SUBSTITUTE(AD180,".",""))&lt;&gt;""),"P"&amp;SUBSTITUTE(AD180,".",""),"")</f>
        <v/>
      </c>
      <c r="CX180" s="1175"/>
      <c r="CY180" s="1175"/>
      <c r="CZ180" s="1175"/>
      <c r="DA180" s="1176"/>
      <c r="DB180" s="1176"/>
    </row>
    <row s="1619" customFormat="1" customHeight="1" ht="16.5">
      <c r="A181" s="1440"/>
      <c r="B181" s="924"/>
      <c r="C181" s="1440"/>
      <c r="D181" s="1440"/>
      <c r="E181" s="794">
        <v>17.1</v>
      </c>
      <c r="F181" s="919" cm="1" t="str">
        <f t="array" ref="F181:F181">OFFSET(G181,-1,-1)</f>
        <v>1</v>
      </c>
      <c r="G181" s="962"/>
      <c r="H181" s="962"/>
      <c r="I181" s="962"/>
      <c r="J181" s="962"/>
      <c r="K181" s="962"/>
      <c r="L181" s="919" cm="1" t="str">
        <f t="array" ref="L181:L181">OFFSET(M181,-1,-1)</f>
        <v>false</v>
      </c>
      <c r="M181" s="962"/>
      <c r="N181" s="962"/>
      <c r="O181" s="962"/>
      <c r="P181" s="962"/>
      <c r="Q181" s="962"/>
      <c r="R181" s="1440"/>
      <c r="S181" s="156" cm="1" t="str">
        <f t="array" ref="S181:S181">OFFSET(T181,-1,-1)</f>
        <v>true</v>
      </c>
      <c r="T181" s="1440"/>
      <c r="U181" s="816">
        <f>AND(S181,IF(ISBLANK(T181),TRUE,T181))</f>
        <v>1</v>
      </c>
      <c r="V181" s="1440"/>
      <c r="W181" s="1440"/>
      <c r="X181" s="1440"/>
      <c r="Y181" s="1440"/>
      <c r="Z181" s="1440"/>
      <c r="AA181" s="817"/>
      <c r="AB181" s="1482" t="s">
        <v>797</v>
      </c>
      <c r="AC181" s="1619"/>
      <c r="AD181" s="157">
        <v>22</v>
      </c>
      <c r="AE181" s="1495" t="s">
        <v>798</v>
      </c>
      <c r="AF181" s="165"/>
      <c r="AG181" s="738"/>
      <c r="AH181" s="858"/>
      <c r="AI181" s="860"/>
      <c r="AJ181" s="860"/>
      <c r="AK181" s="860"/>
      <c r="AL181" s="860"/>
      <c r="AM181" s="860"/>
      <c r="AN181" s="860"/>
      <c r="AO181" s="860"/>
      <c r="AP181" s="860"/>
      <c r="AQ181" s="860"/>
      <c r="AR181" s="860"/>
      <c r="AS181" s="860"/>
      <c r="AT181" s="860"/>
      <c r="AU181" s="860"/>
      <c r="AV181" s="860"/>
      <c r="AW181" s="860"/>
      <c r="AX181" s="860"/>
      <c r="AY181" s="860"/>
      <c r="AZ181" s="860"/>
      <c r="BA181" s="860"/>
      <c r="BB181" s="860"/>
      <c r="BC181" s="860"/>
      <c r="BD181" s="860"/>
      <c r="BE181" s="860"/>
      <c r="BF181" s="860"/>
      <c r="BG181" s="860"/>
      <c r="BH181" s="860"/>
      <c r="BI181" s="860"/>
      <c r="BJ181" s="860"/>
      <c r="BK181" s="860"/>
      <c r="BL181" s="860"/>
      <c r="BM181" s="860"/>
      <c r="BN181" s="860"/>
      <c r="BO181" s="860"/>
      <c r="BP181" s="860"/>
      <c r="BQ181" s="860"/>
      <c r="BR181" s="860"/>
      <c r="BS181" s="860"/>
      <c r="BT181" s="860"/>
      <c r="BU181" s="860"/>
      <c r="BV181" s="860"/>
      <c r="BW181" s="860"/>
      <c r="BX181" s="860"/>
      <c r="BY181" s="860"/>
      <c r="BZ181" s="860"/>
      <c r="CA181" s="860"/>
      <c r="CB181" s="860"/>
      <c r="CC181" s="860"/>
      <c r="CD181" s="860"/>
      <c r="CE181" s="860"/>
      <c r="CF181" s="860"/>
      <c r="CG181" s="860"/>
      <c r="CH181" s="860"/>
      <c r="CI181" s="860"/>
      <c r="CJ181" s="860"/>
      <c r="CK181" s="860"/>
      <c r="CL181" s="860"/>
      <c r="CM181" s="860"/>
      <c r="CN181" s="860"/>
      <c r="CO181" s="860"/>
      <c r="CP181" s="860"/>
      <c r="CQ181" s="860"/>
      <c r="CR181" s="860"/>
      <c r="CS181" s="860"/>
      <c r="CT181" s="1730"/>
      <c r="CU181" s="1619"/>
      <c r="CV181" s="1619"/>
      <c r="CW181" s="1170" t="s">
        <v>799</v>
      </c>
      <c r="CX181" s="1175"/>
      <c r="CY181" s="1175"/>
      <c r="CZ181" s="1175"/>
      <c r="DA181" s="1176"/>
      <c r="DB181" s="1176"/>
    </row>
    <row s="1619" customFormat="1" customHeight="1" ht="16.5" hidden="1">
      <c r="E182" s="794">
        <v>17.1</v>
      </c>
      <c r="F182" s="919" cm="1" t="str">
        <f t="array" ref="F182:F182">OFFSET(G182,-1,-1)</f>
        <v>1</v>
      </c>
      <c r="L182" s="919" cm="1" t="str">
        <f t="array" ref="L182:L182">OFFSET(M182,-1,-1)</f>
        <v>false</v>
      </c>
      <c r="S182" s="156" cm="1" t="str">
        <f t="array" ref="S182:S182">OFFSET(T182,-1,-1)</f>
        <v>true</v>
      </c>
      <c r="T182" s="156">
        <f>AD182&lt;&gt;"22.0"</f>
        <v>0</v>
      </c>
      <c r="U182" s="816">
        <f>AND(S182,IF(ISBLANK(T182),TRUE,T182))</f>
        <v>0</v>
      </c>
      <c r="X182" s="156" t="s">
        <v>233</v>
      </c>
      <c r="AB182" s="1483"/>
      <c r="AD182" s="157" t="s">
        <v>800</v>
      </c>
      <c r="AE182" s="971"/>
      <c r="AF182" s="622"/>
      <c r="AG182" s="1011" t="s">
        <v>490</v>
      </c>
      <c r="AH182" s="92"/>
      <c r="AI182" s="93"/>
      <c r="AJ182" s="93"/>
      <c r="AK182" s="93"/>
      <c r="AL182" s="1037"/>
      <c r="AM182" s="93"/>
      <c r="AN182" s="93"/>
      <c r="AO182" s="1037"/>
      <c r="AP182" s="1036"/>
      <c r="AQ182" s="1036"/>
      <c r="AR182" s="1037"/>
      <c r="AS182" s="1036"/>
      <c r="AT182" s="1036"/>
      <c r="AU182" s="1037"/>
      <c r="AV182" s="1036"/>
      <c r="AW182" s="1036"/>
      <c r="AX182" s="1037"/>
      <c r="AY182" s="1036"/>
      <c r="AZ182" s="1036"/>
      <c r="BA182" s="1037"/>
      <c r="BB182" s="93"/>
      <c r="BC182" s="93"/>
      <c r="BD182" s="1037"/>
      <c r="BE182" s="93"/>
      <c r="BF182" s="93"/>
      <c r="BG182" s="1037"/>
      <c r="BH182" s="93"/>
      <c r="BI182" s="93"/>
      <c r="BJ182" s="1037"/>
      <c r="BK182" s="93"/>
      <c r="BL182" s="93"/>
      <c r="BM182" s="1037"/>
      <c r="BN182" s="93"/>
      <c r="BO182" s="93"/>
      <c r="BP182" s="1037"/>
      <c r="BQ182" s="1036"/>
      <c r="BR182" s="1036"/>
      <c r="BS182" s="1037"/>
      <c r="BT182" s="1036"/>
      <c r="BU182" s="1036"/>
      <c r="BV182" s="1037"/>
      <c r="BW182" s="1036"/>
      <c r="BX182" s="1036"/>
      <c r="BY182" s="1037"/>
      <c r="BZ182" s="1036"/>
      <c r="CA182" s="1036"/>
      <c r="CB182" s="1037"/>
      <c r="CC182" s="1036"/>
      <c r="CD182" s="1036"/>
      <c r="CE182" s="1037"/>
      <c r="CF182" s="93"/>
      <c r="CG182" s="93"/>
      <c r="CH182" s="1037"/>
      <c r="CI182" s="93"/>
      <c r="CJ182" s="93"/>
      <c r="CK182" s="1037"/>
      <c r="CL182" s="93"/>
      <c r="CM182" s="93"/>
      <c r="CN182" s="1037"/>
      <c r="CO182" s="93"/>
      <c r="CP182" s="93"/>
      <c r="CQ182" s="1037"/>
      <c r="CR182" s="93"/>
      <c r="CS182" s="93"/>
      <c r="CT182" s="73"/>
      <c r="CW182" s="1170" t="s">
        <v>799</v>
      </c>
      <c r="CX182" s="1175" t="s">
        <v>787</v>
      </c>
      <c r="CY182" s="1179" cm="1" t="str">
        <f t="array" ref="CY182:CY182">AE182</f>
        <v>0</v>
      </c>
      <c r="CZ182" s="1179" cm="1" t="str">
        <f t="array" ref="CZ182:CZ182">AF182</f>
        <v>0</v>
      </c>
      <c r="DA182" s="1176"/>
      <c r="DB182" s="1176"/>
    </row>
    <row s="1619" customFormat="1" customHeight="1" ht="16.5">
      <c r="A183" s="1619"/>
      <c r="B183" s="1619"/>
      <c r="C183" s="1619"/>
      <c r="D183" s="1619"/>
      <c r="E183" s="794">
        <v>17.1</v>
      </c>
      <c r="F183" s="919" cm="1" t="str">
        <f t="array" ref="F183:F183">OFFSET(G183,-1,-1)</f>
        <v>1</v>
      </c>
      <c r="G183" s="1619"/>
      <c r="H183" s="1619"/>
      <c r="I183" s="1619"/>
      <c r="J183" s="1619"/>
      <c r="K183" s="1619"/>
      <c r="L183" s="919" cm="1" t="str">
        <f t="array" ref="L183:L183">OFFSET(M183,-1,-1)</f>
        <v>false</v>
      </c>
      <c r="M183" s="1619"/>
      <c r="N183" s="1619"/>
      <c r="O183" s="1619"/>
      <c r="P183" s="1619"/>
      <c r="Q183" s="1619"/>
      <c r="R183" s="1619"/>
      <c r="S183" s="156" cm="1" t="str">
        <f t="array" ref="S183:S183">OFFSET(T183,-1,-1)</f>
        <v>true</v>
      </c>
      <c r="T183" s="156">
        <f>AD183&lt;&gt;"22.0"</f>
        <v>1</v>
      </c>
      <c r="U183" s="816">
        <f>AND(S183,IF(ISBLANK(T183),TRUE,T183))</f>
        <v>1</v>
      </c>
      <c r="V183" s="1619"/>
      <c r="W183" s="1619"/>
      <c r="X183" s="156" t="str">
        <f>'Топливо 4.4'!$AE$179&amp;'Топливо 4.4'!$AF$179</f>
        <v>Уголь бурыйБ</v>
      </c>
      <c r="Y183" s="1619"/>
      <c r="Z183" s="1619"/>
      <c r="AA183" s="1619"/>
      <c r="AB183" s="1483"/>
      <c r="AC183" s="1619"/>
      <c r="AD183" s="157" t="s">
        <v>902</v>
      </c>
      <c r="AE183" s="971" cm="1" t="str">
        <f t="array" ref="AE183:AE183">IF(ISBLANK('Топливо 4.4'!$AE$179),"",'Топливо 4.4'!$AE$179)</f>
        <v>Уголь бурый</v>
      </c>
      <c r="AF183" s="622" cm="1" t="str">
        <f t="array" ref="AF183:AF183">IF(ISBLANK('Топливо 4.4'!$AF$179),"",'Топливо 4.4'!$AF$179)</f>
        <v>Б</v>
      </c>
      <c r="AG183" s="1011" t="s">
        <v>490</v>
      </c>
      <c r="AH183" s="1774"/>
      <c r="AI183" s="1775"/>
      <c r="AJ183" s="1775"/>
      <c r="AK183" s="1775"/>
      <c r="AL183" s="1037"/>
      <c r="AM183" s="1775"/>
      <c r="AN183" s="1775"/>
      <c r="AO183" s="1037"/>
      <c r="AP183" s="1036"/>
      <c r="AQ183" s="1036"/>
      <c r="AR183" s="1037"/>
      <c r="AS183" s="1036"/>
      <c r="AT183" s="1036"/>
      <c r="AU183" s="1037"/>
      <c r="AV183" s="1036"/>
      <c r="AW183" s="1036"/>
      <c r="AX183" s="1037"/>
      <c r="AY183" s="1036"/>
      <c r="AZ183" s="1036"/>
      <c r="BA183" s="1037"/>
      <c r="BB183" s="1775"/>
      <c r="BC183" s="1775"/>
      <c r="BD183" s="1037"/>
      <c r="BE183" s="1775"/>
      <c r="BF183" s="1775"/>
      <c r="BG183" s="1037"/>
      <c r="BH183" s="1775"/>
      <c r="BI183" s="1775"/>
      <c r="BJ183" s="1037"/>
      <c r="BK183" s="1775"/>
      <c r="BL183" s="1775"/>
      <c r="BM183" s="1037"/>
      <c r="BN183" s="1775"/>
      <c r="BO183" s="1775"/>
      <c r="BP183" s="1037"/>
      <c r="BQ183" s="1036"/>
      <c r="BR183" s="1036"/>
      <c r="BS183" s="1037"/>
      <c r="BT183" s="1036"/>
      <c r="BU183" s="1036"/>
      <c r="BV183" s="1037"/>
      <c r="BW183" s="1036"/>
      <c r="BX183" s="1036"/>
      <c r="BY183" s="1037"/>
      <c r="BZ183" s="1036"/>
      <c r="CA183" s="1036"/>
      <c r="CB183" s="1037"/>
      <c r="CC183" s="1036"/>
      <c r="CD183" s="1036"/>
      <c r="CE183" s="1037"/>
      <c r="CF183" s="1775"/>
      <c r="CG183" s="1775"/>
      <c r="CH183" s="1037"/>
      <c r="CI183" s="1775"/>
      <c r="CJ183" s="1775"/>
      <c r="CK183" s="1037"/>
      <c r="CL183" s="1775"/>
      <c r="CM183" s="1775"/>
      <c r="CN183" s="1037"/>
      <c r="CO183" s="1775"/>
      <c r="CP183" s="1775"/>
      <c r="CQ183" s="1037"/>
      <c r="CR183" s="1775"/>
      <c r="CS183" s="1775"/>
      <c r="CT183" s="1730"/>
      <c r="CU183" s="1619"/>
      <c r="CV183" s="1619"/>
      <c r="CW183" s="1170" t="s">
        <v>799</v>
      </c>
      <c r="CX183" s="1175" t="s">
        <v>787</v>
      </c>
      <c r="CY183" s="1179" cm="1" t="str">
        <f t="array" ref="CY183:CY183">AE183</f>
        <v>Уголь бурый</v>
      </c>
      <c r="CZ183" s="1179" cm="1" t="str">
        <f t="array" ref="CZ183:CZ183">AF183</f>
        <v>Б</v>
      </c>
      <c r="DA183" s="1176"/>
      <c r="DB183" s="1176"/>
    </row>
    <row s="1619" customFormat="1" customHeight="1" ht="17.25" hidden="1">
      <c r="A184" s="1440"/>
      <c r="B184" s="924"/>
      <c r="C184" s="1440"/>
      <c r="D184" s="1440"/>
      <c r="E184" s="794">
        <v>0</v>
      </c>
      <c r="F184" s="919" cm="1" t="str">
        <f t="array" ref="F184:F184">OFFSET(G184,-1,-1)</f>
        <v>1</v>
      </c>
      <c r="G184" s="962"/>
      <c r="H184" s="962"/>
      <c r="I184" s="962"/>
      <c r="J184" s="962"/>
      <c r="K184" s="962"/>
      <c r="L184" s="919" cm="1" t="str">
        <f t="array" ref="L184:L184">OFFSET(M184,-1,-1)</f>
        <v>false</v>
      </c>
      <c r="M184" s="962"/>
      <c r="N184" s="962"/>
      <c r="O184" s="962"/>
      <c r="P184" s="962"/>
      <c r="Q184" s="962"/>
      <c r="R184" s="1440"/>
      <c r="S184" s="156" cm="1" t="str">
        <f t="array" ref="S184:S184">OFFSET(T184,-1,-1)</f>
        <v>true</v>
      </c>
      <c r="T184" s="1440"/>
      <c r="U184" s="816">
        <f>AND(S184,IF(ISBLANK(T184),TRUE,T184))</f>
        <v>1</v>
      </c>
      <c r="V184" s="1440"/>
      <c r="W184" s="1440"/>
      <c r="X184" s="970" t="str">
        <f>"{                  
         funcDyn: 'msg1',
         blok: 'blok_2',
         wsCross: 'Топливо 4.4',
         linkFormula: 'AE-AE#AF-AF',
         levelDyn: "&amp;Y139&amp;"
}"</f>
        <v>{                  
         funcDyn: 'msg1',
         blok: 'blok_2',
         wsCross: 'Топливо 4.4',
         linkFormula: 'AE-AE#AF-AF',
         levelDyn: 1
}</v>
      </c>
      <c r="Y184" s="1440"/>
      <c r="Z184" s="1440"/>
      <c r="AA184" s="817"/>
      <c r="AB184" s="1483"/>
      <c r="AC184" s="1619"/>
      <c r="AD184" s="973"/>
      <c r="AE184" s="972" t="s">
        <v>235</v>
      </c>
      <c r="AF184" s="871"/>
      <c r="AG184" s="1011"/>
      <c r="AH184" s="858"/>
      <c r="AI184" s="860"/>
      <c r="AJ184" s="860"/>
      <c r="AK184" s="860"/>
      <c r="AL184" s="860"/>
      <c r="AM184" s="860"/>
      <c r="AN184" s="860"/>
      <c r="AO184" s="860"/>
      <c r="AP184" s="860"/>
      <c r="AQ184" s="860"/>
      <c r="AR184" s="860"/>
      <c r="AS184" s="860"/>
      <c r="AT184" s="860"/>
      <c r="AU184" s="860"/>
      <c r="AV184" s="860"/>
      <c r="AW184" s="860"/>
      <c r="AX184" s="860"/>
      <c r="AY184" s="860"/>
      <c r="AZ184" s="860"/>
      <c r="BA184" s="860"/>
      <c r="BB184" s="860"/>
      <c r="BC184" s="860"/>
      <c r="BD184" s="860"/>
      <c r="BE184" s="860"/>
      <c r="BF184" s="860"/>
      <c r="BG184" s="860"/>
      <c r="BH184" s="860"/>
      <c r="BI184" s="860"/>
      <c r="BJ184" s="860"/>
      <c r="BK184" s="860"/>
      <c r="BL184" s="860"/>
      <c r="BM184" s="860"/>
      <c r="BN184" s="860"/>
      <c r="BO184" s="860"/>
      <c r="BP184" s="860"/>
      <c r="BQ184" s="860"/>
      <c r="BR184" s="860"/>
      <c r="BS184" s="860"/>
      <c r="BT184" s="860"/>
      <c r="BU184" s="860"/>
      <c r="BV184" s="860"/>
      <c r="BW184" s="860"/>
      <c r="BX184" s="860"/>
      <c r="BY184" s="860"/>
      <c r="BZ184" s="860"/>
      <c r="CA184" s="860"/>
      <c r="CB184" s="860"/>
      <c r="CC184" s="860"/>
      <c r="CD184" s="860"/>
      <c r="CE184" s="860"/>
      <c r="CF184" s="860"/>
      <c r="CG184" s="860"/>
      <c r="CH184" s="860"/>
      <c r="CI184" s="860"/>
      <c r="CJ184" s="860"/>
      <c r="CK184" s="860"/>
      <c r="CL184" s="860"/>
      <c r="CM184" s="860"/>
      <c r="CN184" s="860"/>
      <c r="CO184" s="860"/>
      <c r="CP184" s="860"/>
      <c r="CQ184" s="860"/>
      <c r="CR184" s="860"/>
      <c r="CS184" s="860"/>
      <c r="CT184" s="91"/>
      <c r="CU184" s="1619"/>
      <c r="CV184" s="1619"/>
      <c r="CW184" s="1170" t="str">
        <f>IF(AND(ISNUMBER(VALUE(TRIM(SUBSTITUTE(AD184,".","")))),TRIM(SUBSTITUTE(AD184,".",""))&lt;&gt;""),"P"&amp;SUBSTITUTE(AD184,".",""),"")</f>
        <v/>
      </c>
      <c r="CX184" s="1175"/>
      <c r="CY184" s="1175"/>
      <c r="CZ184" s="1175"/>
      <c r="DA184" s="1176"/>
      <c r="DB184" s="1176"/>
    </row>
    <row s="1619" customFormat="1" customHeight="1" ht="16.5">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440"/>
      <c r="U185" s="816">
        <f>AND(S185,IF(ISBLANK(T185),TRUE,T185))</f>
        <v>1</v>
      </c>
      <c r="V185" s="1440"/>
      <c r="W185" s="1440"/>
      <c r="X185" s="1440"/>
      <c r="Y185" s="1440"/>
      <c r="Z185" s="1440"/>
      <c r="AA185" s="817"/>
      <c r="AB185" s="1483"/>
      <c r="AC185" s="1619"/>
      <c r="AD185" s="157">
        <v>23</v>
      </c>
      <c r="AE185" s="1495" t="s">
        <v>801</v>
      </c>
      <c r="AF185" s="165"/>
      <c r="AG185" s="738"/>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30"/>
      <c r="CU185" s="1619"/>
      <c r="CV185" s="1619"/>
      <c r="CW185" s="1170" t="s">
        <v>802</v>
      </c>
      <c r="CX185" s="1175"/>
      <c r="CY185" s="1175"/>
      <c r="CZ185" s="1175"/>
      <c r="DA185" s="1176"/>
      <c r="DB185" s="1176"/>
    </row>
    <row s="1619" customFormat="1" customHeight="1" ht="16.5" hidden="1">
      <c r="E186" s="794">
        <v>17.1</v>
      </c>
      <c r="F186" s="919" cm="1" t="str">
        <f t="array" ref="F186:F186">OFFSET(G186,-1,-1)</f>
        <v>1</v>
      </c>
      <c r="L186" s="919" cm="1" t="str">
        <f t="array" ref="L186:L186">OFFSET(M186,-1,-1)</f>
        <v>false</v>
      </c>
      <c r="S186" s="156" cm="1" t="str">
        <f t="array" ref="S186:S186">OFFSET(T186,-1,-1)</f>
        <v>true</v>
      </c>
      <c r="T186" s="156">
        <f>AD186&lt;&gt;"23.0"</f>
        <v>0</v>
      </c>
      <c r="U186" s="816">
        <f>AND(S186,IF(ISBLANK(T186),TRUE,T186))</f>
        <v>0</v>
      </c>
      <c r="X186" s="156" t="s">
        <v>233</v>
      </c>
      <c r="AB186" s="1483"/>
      <c r="AD186" s="157" t="s">
        <v>803</v>
      </c>
      <c r="AE186" s="971"/>
      <c r="AF186" s="622"/>
      <c r="AG186" s="1067"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59">
        <f>_xlfn.IFERROR(AL191/AL178,0)*1000</f>
        <v>0</v>
      </c>
      <c r="AM186" s="87"/>
      <c r="AN186" s="87"/>
      <c r="AO186" s="859">
        <f>_xlfn.IFERROR(AO191/AO178,0)*1000</f>
        <v>0</v>
      </c>
      <c r="AP186" s="976"/>
      <c r="AQ186" s="976"/>
      <c r="AR186" s="859">
        <f>_xlfn.IFERROR(AR191/AR178,0)*1000</f>
        <v>0</v>
      </c>
      <c r="AS186" s="976"/>
      <c r="AT186" s="976"/>
      <c r="AU186" s="859">
        <f>_xlfn.IFERROR(AU191/AU178,0)*1000</f>
        <v>0</v>
      </c>
      <c r="AV186" s="976"/>
      <c r="AW186" s="976"/>
      <c r="AX186" s="859">
        <f>_xlfn.IFERROR(AX191/AX178,0)*1000</f>
        <v>0</v>
      </c>
      <c r="AY186" s="976"/>
      <c r="AZ186" s="976"/>
      <c r="BA186" s="859">
        <f>_xlfn.IFERROR(BA191/BA178,0)*1000</f>
        <v>0</v>
      </c>
      <c r="BB186" s="87"/>
      <c r="BC186" s="87"/>
      <c r="BD186" s="859">
        <f>_xlfn.IFERROR(BD191/BD178,0)*1000</f>
        <v>0</v>
      </c>
      <c r="BE186" s="87"/>
      <c r="BF186" s="87"/>
      <c r="BG186" s="859">
        <f>_xlfn.IFERROR(BG191/BG178,0)*1000</f>
        <v>0</v>
      </c>
      <c r="BH186" s="87"/>
      <c r="BI186" s="87"/>
      <c r="BJ186" s="859">
        <f>_xlfn.IFERROR(BJ191/BJ178,0)*1000</f>
        <v>0</v>
      </c>
      <c r="BK186" s="87"/>
      <c r="BL186" s="87"/>
      <c r="BM186" s="859">
        <f>_xlfn.IFERROR(BM191/BM178,0)*1000</f>
        <v>0</v>
      </c>
      <c r="BN186" s="87"/>
      <c r="BO186" s="87"/>
      <c r="BP186" s="859">
        <f>_xlfn.IFERROR(BP191/BP178,0)*1000</f>
        <v>0</v>
      </c>
      <c r="BQ186" s="976"/>
      <c r="BR186" s="976"/>
      <c r="BS186" s="859">
        <f>_xlfn.IFERROR(BS191/BS178,0)*1000</f>
        <v>0</v>
      </c>
      <c r="BT186" s="976"/>
      <c r="BU186" s="976"/>
      <c r="BV186" s="859">
        <f>_xlfn.IFERROR(BV191/BV178,0)*1000</f>
        <v>0</v>
      </c>
      <c r="BW186" s="976"/>
      <c r="BX186" s="976"/>
      <c r="BY186" s="859">
        <f>_xlfn.IFERROR(BY191/BY178,0)*1000</f>
        <v>0</v>
      </c>
      <c r="BZ186" s="976"/>
      <c r="CA186" s="976"/>
      <c r="CB186" s="859">
        <f>_xlfn.IFERROR(CB191/CB178,0)*1000</f>
        <v>0</v>
      </c>
      <c r="CC186" s="976"/>
      <c r="CD186" s="976"/>
      <c r="CE186" s="859">
        <f>_xlfn.IFERROR(CE191/CE178,0)*1000</f>
        <v>0</v>
      </c>
      <c r="CF186" s="87"/>
      <c r="CG186" s="87"/>
      <c r="CH186" s="859">
        <f>_xlfn.IFERROR(CH191/CH178,0)*1000</f>
        <v>0</v>
      </c>
      <c r="CI186" s="87"/>
      <c r="CJ186" s="87"/>
      <c r="CK186" s="859">
        <f>_xlfn.IFERROR(CK191/CK178,0)*1000</f>
        <v>0</v>
      </c>
      <c r="CL186" s="87"/>
      <c r="CM186" s="87"/>
      <c r="CN186" s="859">
        <f>_xlfn.IFERROR(CN191/CN178,0)*1000</f>
        <v>0</v>
      </c>
      <c r="CO186" s="87"/>
      <c r="CP186" s="87"/>
      <c r="CQ186" s="859">
        <f>_xlfn.IFERROR(CQ191/CQ178,0)*1000</f>
        <v>0</v>
      </c>
      <c r="CR186" s="87"/>
      <c r="CS186" s="87"/>
      <c r="CT186" s="73"/>
      <c r="CW186" s="1170" t="s">
        <v>802</v>
      </c>
      <c r="CX186" s="1175" t="s">
        <v>787</v>
      </c>
      <c r="CY186" s="1179" cm="1" t="str">
        <f t="array" ref="CY186:CY186">AE186</f>
        <v>0</v>
      </c>
      <c r="CZ186" s="1179" cm="1" t="str">
        <f t="array" ref="CZ186:CZ186">AF186</f>
        <v>0</v>
      </c>
      <c r="DA186" s="1176"/>
      <c r="DB186" s="1176"/>
    </row>
    <row s="1619" customFormat="1" customHeight="1" ht="16.5">
      <c r="A187" s="1619"/>
      <c r="B187" s="1619"/>
      <c r="C187" s="1619"/>
      <c r="D187" s="1619"/>
      <c r="E187" s="794">
        <v>17.1</v>
      </c>
      <c r="F187" s="919" cm="1" t="str">
        <f t="array" ref="F187:F187">OFFSET(G187,-1,-1)</f>
        <v>1</v>
      </c>
      <c r="G187" s="1619"/>
      <c r="H187" s="1619"/>
      <c r="I187" s="1619"/>
      <c r="J187" s="1619"/>
      <c r="K187" s="1619"/>
      <c r="L187" s="919" cm="1" t="str">
        <f t="array" ref="L187:L187">OFFSET(M187,-1,-1)</f>
        <v>false</v>
      </c>
      <c r="M187" s="1619"/>
      <c r="N187" s="1619"/>
      <c r="O187" s="1619"/>
      <c r="P187" s="1619"/>
      <c r="Q187" s="1619"/>
      <c r="R187" s="1619"/>
      <c r="S187" s="156" cm="1" t="str">
        <f t="array" ref="S187:S187">OFFSET(T187,-1,-1)</f>
        <v>true</v>
      </c>
      <c r="T187" s="156">
        <f>AD187&lt;&gt;"23.0"</f>
        <v>1</v>
      </c>
      <c r="U187" s="816">
        <f>AND(S187,IF(ISBLANK(T187),TRUE,T187))</f>
        <v>1</v>
      </c>
      <c r="V187" s="1619"/>
      <c r="W187" s="1619"/>
      <c r="X187" s="156" t="str">
        <f>'Топливо 4.4'!$AE$183&amp;'Топливо 4.4'!$AF$183</f>
        <v>Уголь бурыйБ</v>
      </c>
      <c r="Y187" s="1619"/>
      <c r="Z187" s="1619"/>
      <c r="AA187" s="1619"/>
      <c r="AB187" s="1483"/>
      <c r="AC187" s="1619"/>
      <c r="AD187" s="157" t="s">
        <v>903</v>
      </c>
      <c r="AE187" s="971" cm="1" t="str">
        <f t="array" ref="AE187:AE187">IF(ISBLANK('Топливо 4.4'!$AE$183),"",'Топливо 4.4'!$AE$183)</f>
        <v>Уголь бурый</v>
      </c>
      <c r="AF187" s="622" cm="1" t="str">
        <f t="array" ref="AF187:AF187">IF(ISBLANK('Топливо 4.4'!$AF$183),"",'Топливо 4.4'!$AF$183)</f>
        <v>Б</v>
      </c>
      <c r="AG187" s="1067" t="str">
        <f>"руб./"&amp;_xlfn.IFERROR(INDEX(fuel_ed_izm_list,MATCH(AE187,fuel_list,0)),"")</f>
        <v>руб./тнт</v>
      </c>
      <c r="AH187" s="1768">
        <f>_xlfn.IFERROR(AH192/AH179,0)*1000</f>
        <v>0</v>
      </c>
      <c r="AI187" s="1766">
        <f>_xlfn.IFERROR(AI192/AI179,0)*1000</f>
        <v>0</v>
      </c>
      <c r="AJ187" s="1766">
        <f>_xlfn.IFERROR(AJ192/AJ179,0)*1000</f>
        <v>0</v>
      </c>
      <c r="AK187" s="1766">
        <f>_xlfn.IFERROR(AK192/AK179,0)*1000</f>
        <v>0</v>
      </c>
      <c r="AL187" s="859">
        <f>_xlfn.IFERROR(AL192/AL179,0)*1000</f>
        <v>9223.81</v>
      </c>
      <c r="AM187" s="1766">
        <v>9223.81</v>
      </c>
      <c r="AN187" s="1766">
        <v>9223.81</v>
      </c>
      <c r="AO187" s="859">
        <f>_xlfn.IFERROR(AO192/AO179,0)*1000</f>
        <v>9737.84</v>
      </c>
      <c r="AP187" s="976">
        <v>9737.84</v>
      </c>
      <c r="AQ187" s="976">
        <v>9737.84</v>
      </c>
      <c r="AR187" s="859">
        <f>_xlfn.IFERROR(AR192/AR179,0)*1000</f>
        <v>10105.89</v>
      </c>
      <c r="AS187" s="976">
        <v>10105.89</v>
      </c>
      <c r="AT187" s="976">
        <v>10105.89</v>
      </c>
      <c r="AU187" s="859">
        <f>_xlfn.IFERROR(AU192/AU179,0)*1000</f>
        <v>10488.33</v>
      </c>
      <c r="AV187" s="976">
        <v>10488.33</v>
      </c>
      <c r="AW187" s="976">
        <v>10488.33</v>
      </c>
      <c r="AX187" s="859">
        <f>_xlfn.IFERROR(AX192/AX179,0)*1000</f>
        <v>10887.23</v>
      </c>
      <c r="AY187" s="976">
        <v>10887.23</v>
      </c>
      <c r="AZ187" s="976">
        <v>10887.23</v>
      </c>
      <c r="BA187" s="859">
        <f>_xlfn.IFERROR(BA192/BA179,0)*1000</f>
        <v>0</v>
      </c>
      <c r="BB187" s="1766"/>
      <c r="BC187" s="1766"/>
      <c r="BD187" s="859">
        <f>_xlfn.IFERROR(BD192/BD179,0)*1000</f>
        <v>0</v>
      </c>
      <c r="BE187" s="1766"/>
      <c r="BF187" s="1766"/>
      <c r="BG187" s="859">
        <f>_xlfn.IFERROR(BG192/BG179,0)*1000</f>
        <v>0</v>
      </c>
      <c r="BH187" s="1766"/>
      <c r="BI187" s="1766"/>
      <c r="BJ187" s="859">
        <f>_xlfn.IFERROR(BJ192/BJ179,0)*1000</f>
        <v>0</v>
      </c>
      <c r="BK187" s="1766"/>
      <c r="BL187" s="1766"/>
      <c r="BM187" s="859">
        <f>_xlfn.IFERROR(BM192/BM179,0)*1000</f>
        <v>0</v>
      </c>
      <c r="BN187" s="1766"/>
      <c r="BO187" s="1766"/>
      <c r="BP187" s="859">
        <f>_xlfn.IFERROR(BP192/BP179,0)*1000</f>
        <v>8061.05000000002</v>
      </c>
      <c r="BQ187" s="976">
        <v>8061.05</v>
      </c>
      <c r="BR187" s="976">
        <v>8061.05</v>
      </c>
      <c r="BS187" s="859">
        <f>_xlfn.IFERROR(BS192/BS179,0)*1000</f>
        <v>8415.73999999998</v>
      </c>
      <c r="BT187" s="976">
        <v>8415.74</v>
      </c>
      <c r="BU187" s="976">
        <v>8415.74</v>
      </c>
      <c r="BV187" s="859">
        <f>_xlfn.IFERROR(BV192/BV179,0)*1000</f>
        <v>8642.96</v>
      </c>
      <c r="BW187" s="976">
        <v>8642.96</v>
      </c>
      <c r="BX187" s="976">
        <v>8642.96</v>
      </c>
      <c r="BY187" s="859">
        <f>_xlfn.IFERROR(BY192/BY179,0)*1000</f>
        <v>8876.31999999999</v>
      </c>
      <c r="BZ187" s="976">
        <v>8876.32</v>
      </c>
      <c r="CA187" s="976">
        <v>8876.32</v>
      </c>
      <c r="CB187" s="859">
        <f>_xlfn.IFERROR(CB192/CB179,0)*1000</f>
        <v>9115.98</v>
      </c>
      <c r="CC187" s="976">
        <v>9115.98</v>
      </c>
      <c r="CD187" s="976">
        <v>9115.98</v>
      </c>
      <c r="CE187" s="859">
        <f>_xlfn.IFERROR(CE192/CE179,0)*1000</f>
        <v>0</v>
      </c>
      <c r="CF187" s="1766"/>
      <c r="CG187" s="1766"/>
      <c r="CH187" s="859">
        <f>_xlfn.IFERROR(CH192/CH179,0)*1000</f>
        <v>0</v>
      </c>
      <c r="CI187" s="1766"/>
      <c r="CJ187" s="1766"/>
      <c r="CK187" s="859">
        <f>_xlfn.IFERROR(CK192/CK179,0)*1000</f>
        <v>0</v>
      </c>
      <c r="CL187" s="1766"/>
      <c r="CM187" s="1766"/>
      <c r="CN187" s="859">
        <f>_xlfn.IFERROR(CN192/CN179,0)*1000</f>
        <v>0</v>
      </c>
      <c r="CO187" s="1766"/>
      <c r="CP187" s="1766"/>
      <c r="CQ187" s="859">
        <f>_xlfn.IFERROR(CQ192/CQ179,0)*1000</f>
        <v>0</v>
      </c>
      <c r="CR187" s="1766"/>
      <c r="CS187" s="1766"/>
      <c r="CT187" s="1730"/>
      <c r="CU187" s="1619"/>
      <c r="CV187" s="1619"/>
      <c r="CW187" s="1170" t="s">
        <v>802</v>
      </c>
      <c r="CX187" s="1175" t="s">
        <v>787</v>
      </c>
      <c r="CY187" s="1179" cm="1" t="str">
        <f t="array" ref="CY187:CY187">AE187</f>
        <v>Уголь бурый</v>
      </c>
      <c r="CZ187" s="1179" cm="1" t="str">
        <f t="array" ref="CZ187:CZ187">AF187</f>
        <v>Б</v>
      </c>
      <c r="DA187" s="1176"/>
      <c r="DB187" s="1176"/>
    </row>
    <row s="1619" customFormat="1" customHeight="1" ht="17.25" hidden="1">
      <c r="A188" s="1440"/>
      <c r="B188" s="924"/>
      <c r="C188" s="1440"/>
      <c r="D188" s="1440"/>
      <c r="E188" s="794">
        <v>0</v>
      </c>
      <c r="F188" s="919" cm="1" t="str">
        <f t="array" ref="F188:F188">OFFSET(G188,-1,-1)</f>
        <v>1</v>
      </c>
      <c r="G188" s="962"/>
      <c r="H188" s="962"/>
      <c r="I188" s="962"/>
      <c r="J188" s="962"/>
      <c r="K188" s="962"/>
      <c r="L188" s="919" cm="1" t="str">
        <f t="array" ref="L188:L188">OFFSET(M188,-1,-1)</f>
        <v>false</v>
      </c>
      <c r="M188" s="962"/>
      <c r="N188" s="962"/>
      <c r="O188" s="962"/>
      <c r="P188" s="962"/>
      <c r="Q188" s="962"/>
      <c r="R188" s="1440"/>
      <c r="S188" s="156" cm="1" t="str">
        <f t="array" ref="S188:S188">OFFSET(T188,-1,-1)</f>
        <v>true</v>
      </c>
      <c r="T188" s="1440"/>
      <c r="U188" s="816">
        <f>AND(S188,IF(ISBLANK(T188),TRUE,T188))</f>
        <v>1</v>
      </c>
      <c r="V188" s="1440"/>
      <c r="W188" s="1440"/>
      <c r="X188" s="970" t="str">
        <f>"{                  
         funcDyn: 'msg1',
         blok: 'blok_2',
         wsCross: 'Топливо 4.4',
         linkFormula: 'AE-AE#AF-AF',
         levelDyn: "&amp;Y139&amp;"
}"</f>
        <v>{                  
         funcDyn: 'msg1',
         blok: 'blok_2',
         wsCross: 'Топливо 4.4',
         linkFormula: 'AE-AE#AF-AF',
         levelDyn: 1
}</v>
      </c>
      <c r="Y188" s="1440"/>
      <c r="Z188" s="1440"/>
      <c r="AA188" s="817"/>
      <c r="AB188" s="1483"/>
      <c r="AC188" s="1619"/>
      <c r="AD188" s="973"/>
      <c r="AE188" s="972" t="s">
        <v>235</v>
      </c>
      <c r="AF188" s="871"/>
      <c r="AG188" s="1011"/>
      <c r="AH188" s="858"/>
      <c r="AI188" s="860"/>
      <c r="AJ188" s="860"/>
      <c r="AK188" s="860"/>
      <c r="AL188" s="860"/>
      <c r="AM188" s="860"/>
      <c r="AN188" s="860"/>
      <c r="AO188" s="860"/>
      <c r="AP188" s="860"/>
      <c r="AQ188" s="860"/>
      <c r="AR188" s="860"/>
      <c r="AS188" s="860"/>
      <c r="AT188" s="860"/>
      <c r="AU188" s="860"/>
      <c r="AV188" s="860"/>
      <c r="AW188" s="860"/>
      <c r="AX188" s="860"/>
      <c r="AY188" s="860"/>
      <c r="AZ188" s="860"/>
      <c r="BA188" s="860"/>
      <c r="BB188" s="860"/>
      <c r="BC188" s="860"/>
      <c r="BD188" s="860"/>
      <c r="BE188" s="860"/>
      <c r="BF188" s="860"/>
      <c r="BG188" s="860"/>
      <c r="BH188" s="860"/>
      <c r="BI188" s="860"/>
      <c r="BJ188" s="860"/>
      <c r="BK188" s="860"/>
      <c r="BL188" s="860"/>
      <c r="BM188" s="860"/>
      <c r="BN188" s="860"/>
      <c r="BO188" s="860"/>
      <c r="BP188" s="860"/>
      <c r="BQ188" s="860"/>
      <c r="BR188" s="860"/>
      <c r="BS188" s="860"/>
      <c r="BT188" s="860"/>
      <c r="BU188" s="860"/>
      <c r="BV188" s="860"/>
      <c r="BW188" s="860"/>
      <c r="BX188" s="860"/>
      <c r="BY188" s="860"/>
      <c r="BZ188" s="860"/>
      <c r="CA188" s="860"/>
      <c r="CB188" s="860"/>
      <c r="CC188" s="860"/>
      <c r="CD188" s="860"/>
      <c r="CE188" s="860"/>
      <c r="CF188" s="860"/>
      <c r="CG188" s="860"/>
      <c r="CH188" s="860"/>
      <c r="CI188" s="860"/>
      <c r="CJ188" s="860"/>
      <c r="CK188" s="860"/>
      <c r="CL188" s="860"/>
      <c r="CM188" s="860"/>
      <c r="CN188" s="860"/>
      <c r="CO188" s="860"/>
      <c r="CP188" s="860"/>
      <c r="CQ188" s="860"/>
      <c r="CR188" s="860"/>
      <c r="CS188" s="860"/>
      <c r="CT188" s="91"/>
      <c r="CU188" s="1619"/>
      <c r="CV188" s="1619"/>
      <c r="CW188" s="1170" t="str">
        <f>IF(AND(ISNUMBER(VALUE(TRIM(SUBSTITUTE(AD188,".","")))),TRIM(SUBSTITUTE(AD188,".",""))&lt;&gt;""),"P"&amp;SUBSTITUTE(AD188,".",""),"")</f>
        <v/>
      </c>
      <c r="CX188" s="1175"/>
      <c r="CY188" s="1175"/>
      <c r="CZ188" s="1175"/>
      <c r="DA188" s="1176"/>
      <c r="DB188" s="1176"/>
    </row>
    <row s="1619" customFormat="1" customHeight="1" ht="16.5">
      <c r="A189" s="1440"/>
      <c r="B189" s="924"/>
      <c r="C189" s="1440"/>
      <c r="D189" s="1440"/>
      <c r="E189" s="794">
        <v>17.1</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1440"/>
      <c r="Y189" s="1440"/>
      <c r="Z189" s="1440"/>
      <c r="AA189" s="817"/>
      <c r="AB189" s="1483"/>
      <c r="AC189" s="1619"/>
      <c r="AD189" s="157">
        <v>24</v>
      </c>
      <c r="AE189" s="1495" t="s">
        <v>804</v>
      </c>
      <c r="AF189" s="165"/>
      <c r="AG189" s="1011" t="s">
        <v>805</v>
      </c>
      <c r="AH189" s="857">
        <f>SUM(AH191:AH193)</f>
        <v>0</v>
      </c>
      <c r="AI189" s="857">
        <f>SUM(AI191:AI193)</f>
        <v>0</v>
      </c>
      <c r="AJ189" s="857">
        <f>SUM(AJ191:AJ193)</f>
        <v>0</v>
      </c>
      <c r="AK189" s="857">
        <f>SUM(AK191:AK193)</f>
        <v>0</v>
      </c>
      <c r="AL189" s="857">
        <f>SUM(AL191:AL193)</f>
        <v>4485.9999935</v>
      </c>
      <c r="AM189" s="857">
        <f>SUM(AM191:AM193)</f>
        <v>3353.0394112</v>
      </c>
      <c r="AN189" s="857">
        <f>SUM(AN191:AN193)</f>
        <v>1132.9605823</v>
      </c>
      <c r="AO189" s="857">
        <f>SUM(AO191:AO193)</f>
        <v>4735.998484</v>
      </c>
      <c r="AP189" s="857">
        <f>SUM(AP191:AP193)</f>
        <v>3539.8995968</v>
      </c>
      <c r="AQ189" s="857">
        <f>SUM(AQ191:AQ193)</f>
        <v>1196.0988872</v>
      </c>
      <c r="AR189" s="857">
        <f>SUM(AR191:AR193)</f>
        <v>4914.9996015</v>
      </c>
      <c r="AS189" s="857">
        <f>SUM(AS191:AS193)</f>
        <v>3673.6931328</v>
      </c>
      <c r="AT189" s="857">
        <f>SUM(AT191:AT193)</f>
        <v>1241.3064687</v>
      </c>
      <c r="AU189" s="857">
        <f>SUM(AU191:AU193)</f>
        <v>5100.9992955</v>
      </c>
      <c r="AV189" s="857">
        <f>SUM(AV191:AV193)</f>
        <v>3812.7177216</v>
      </c>
      <c r="AW189" s="857">
        <f>SUM(AW191:AW193)</f>
        <v>1288.2815739</v>
      </c>
      <c r="AX189" s="857">
        <f>SUM(AX191:AX193)</f>
        <v>5295.0043105</v>
      </c>
      <c r="AY189" s="857">
        <f>SUM(AY191:AY193)</f>
        <v>3957.7258496</v>
      </c>
      <c r="AZ189" s="857">
        <f>SUM(AZ191:AZ193)</f>
        <v>1337.2784609</v>
      </c>
      <c r="BA189" s="857">
        <f>SUM(BA191:BA193)</f>
        <v>0</v>
      </c>
      <c r="BB189" s="857">
        <f>SUM(BB191:BB193)</f>
        <v>0</v>
      </c>
      <c r="BC189" s="857">
        <f>SUM(BC191:BC193)</f>
        <v>0</v>
      </c>
      <c r="BD189" s="857">
        <f>SUM(BD191:BD193)</f>
        <v>0</v>
      </c>
      <c r="BE189" s="857">
        <f>SUM(BE191:BE193)</f>
        <v>0</v>
      </c>
      <c r="BF189" s="857">
        <f>SUM(BF191:BF193)</f>
        <v>0</v>
      </c>
      <c r="BG189" s="857">
        <f>SUM(BG191:BG193)</f>
        <v>0</v>
      </c>
      <c r="BH189" s="857">
        <f>SUM(BH191:BH193)</f>
        <v>0</v>
      </c>
      <c r="BI189" s="857">
        <f>SUM(BI191:BI193)</f>
        <v>0</v>
      </c>
      <c r="BJ189" s="857">
        <f>SUM(BJ191:BJ193)</f>
        <v>0</v>
      </c>
      <c r="BK189" s="857">
        <f>SUM(BK191:BK193)</f>
        <v>0</v>
      </c>
      <c r="BL189" s="857">
        <f>SUM(BL191:BL193)</f>
        <v>0</v>
      </c>
      <c r="BM189" s="857">
        <f>SUM(BM191:BM193)</f>
        <v>0</v>
      </c>
      <c r="BN189" s="857">
        <f>SUM(BN191:BN193)</f>
        <v>0</v>
      </c>
      <c r="BO189" s="857">
        <f>SUM(BO191:BO193)</f>
        <v>0</v>
      </c>
      <c r="BP189" s="857">
        <f>SUM(BP191:BP193)</f>
        <v>3879.0440814893</v>
      </c>
      <c r="BQ189" s="857">
        <f>SUM(BQ191:BQ193)</f>
        <v>2899.37309448543</v>
      </c>
      <c r="BR189" s="857">
        <f>SUM(BR191:BR193)</f>
        <v>979.670987003866</v>
      </c>
      <c r="BS189" s="857">
        <f>SUM(BS191:BS193)</f>
        <v>4049.72384966631</v>
      </c>
      <c r="BT189" s="857">
        <f>SUM(BT191:BT193)</f>
        <v>3026.94687741482</v>
      </c>
      <c r="BU189" s="857">
        <f>SUM(BU191:BU193)</f>
        <v>1022.77697225149</v>
      </c>
      <c r="BV189" s="857">
        <f>SUM(BV191:BV193)</f>
        <v>4159.06399719003</v>
      </c>
      <c r="BW189" s="857">
        <f>SUM(BW191:BW193)</f>
        <v>3108.6726519143</v>
      </c>
      <c r="BX189" s="857">
        <f>SUM(BX191:BX193)</f>
        <v>1050.39134527573</v>
      </c>
      <c r="BY189" s="857">
        <f>SUM(BY191:BY193)</f>
        <v>4271.35876361082</v>
      </c>
      <c r="BZ189" s="857">
        <f>SUM(BZ191:BZ193)</f>
        <v>3192.60684229013</v>
      </c>
      <c r="CA189" s="857">
        <f>SUM(CA191:CA193)</f>
        <v>1078.75192132069</v>
      </c>
      <c r="CB189" s="857">
        <f>SUM(CB191:CB193)</f>
        <v>4386.68514225501</v>
      </c>
      <c r="CC189" s="857">
        <f>SUM(CC191:CC193)</f>
        <v>3278.80699683878</v>
      </c>
      <c r="CD189" s="857">
        <f>SUM(CD191:CD193)</f>
        <v>1107.87814541623</v>
      </c>
      <c r="CE189" s="857">
        <f>SUM(CE191:CE193)</f>
        <v>0</v>
      </c>
      <c r="CF189" s="857">
        <f>SUM(CF191:CF193)</f>
        <v>0</v>
      </c>
      <c r="CG189" s="857">
        <f>SUM(CG191:CG193)</f>
        <v>0</v>
      </c>
      <c r="CH189" s="857">
        <f>SUM(CH191:CH193)</f>
        <v>0</v>
      </c>
      <c r="CI189" s="857">
        <f>SUM(CI191:CI193)</f>
        <v>0</v>
      </c>
      <c r="CJ189" s="857">
        <f>SUM(CJ191:CJ193)</f>
        <v>0</v>
      </c>
      <c r="CK189" s="857">
        <f>SUM(CK191:CK193)</f>
        <v>0</v>
      </c>
      <c r="CL189" s="857">
        <f>SUM(CL191:CL193)</f>
        <v>0</v>
      </c>
      <c r="CM189" s="857">
        <f>SUM(CM191:CM193)</f>
        <v>0</v>
      </c>
      <c r="CN189" s="857">
        <f>SUM(CN191:CN193)</f>
        <v>0</v>
      </c>
      <c r="CO189" s="857">
        <f>SUM(CO191:CO193)</f>
        <v>0</v>
      </c>
      <c r="CP189" s="857">
        <f>SUM(CP191:CP193)</f>
        <v>0</v>
      </c>
      <c r="CQ189" s="857">
        <f>SUM(CQ191:CQ193)</f>
        <v>0</v>
      </c>
      <c r="CR189" s="857">
        <f>SUM(CR191:CR193)</f>
        <v>0</v>
      </c>
      <c r="CS189" s="857">
        <f>SUM(CS191:CS193)</f>
        <v>0</v>
      </c>
      <c r="CT189" s="1730"/>
      <c r="CU189" s="1619"/>
      <c r="CV189" s="1619"/>
      <c r="CW189" s="1170" t="s">
        <v>806</v>
      </c>
      <c r="CX189" s="1175"/>
      <c r="CY189" s="1175"/>
      <c r="CZ189" s="1175"/>
      <c r="DA189" s="1176"/>
      <c r="DB189" s="1176"/>
    </row>
    <row s="1619" customFormat="1" customHeight="1" ht="16.5" hidden="1">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919" t="s">
        <v>725</v>
      </c>
      <c r="S190" s="156" cm="1" t="str">
        <f t="array" ref="S190:S190">OFFSET(T190,-1,-1)</f>
        <v>true</v>
      </c>
      <c r="T190" s="919" t="b">
        <v>0</v>
      </c>
      <c r="U190" s="816">
        <f>AND(S190,IF(ISBLANK(T190),TRUE,T190))</f>
        <v>0</v>
      </c>
      <c r="V190" s="1440"/>
      <c r="W190" s="1440"/>
      <c r="X190" s="1440"/>
      <c r="Y190" s="1440"/>
      <c r="Z190" s="1440"/>
      <c r="AA190" s="817"/>
      <c r="AB190" s="1483"/>
      <c r="AC190" s="1619"/>
      <c r="AD190" s="157" t="str">
        <f>AD189&amp;".0"</f>
        <v>24.0</v>
      </c>
      <c r="AE190" s="1507" t="s">
        <v>736</v>
      </c>
      <c r="AF190" s="162"/>
      <c r="AG190" s="1011" t="s">
        <v>805</v>
      </c>
      <c r="AH190" s="86">
        <f>AH$163*AH189/1000</f>
        <v>0</v>
      </c>
      <c r="AI190" s="86">
        <f>AI$163*AI189/1000</f>
        <v>0</v>
      </c>
      <c r="AJ190" s="86">
        <f>AJ$163*AJ189/1000</f>
        <v>0</v>
      </c>
      <c r="AK190" s="86">
        <f>AK$163*AK189/1000</f>
        <v>0</v>
      </c>
      <c r="AL190" s="859">
        <f>AM190+AN190</f>
        <v>4485.9999935</v>
      </c>
      <c r="AM190" s="87">
        <f>AM$163*AM189</f>
        <v>3353.0394112</v>
      </c>
      <c r="AN190" s="87">
        <f>AN$163*AN189</f>
        <v>1132.9605823</v>
      </c>
      <c r="AO190" s="859">
        <f>AP190+AQ190</f>
        <v>4735.998484</v>
      </c>
      <c r="AP190" s="976">
        <f>AP$163*AP189</f>
        <v>3539.8995968</v>
      </c>
      <c r="AQ190" s="976">
        <f>AQ$163*AQ189</f>
        <v>1196.0988872</v>
      </c>
      <c r="AR190" s="859">
        <f>AS190+AT190</f>
        <v>4914.9996015</v>
      </c>
      <c r="AS190" s="976">
        <f>AS$163*AS189</f>
        <v>3673.6931328</v>
      </c>
      <c r="AT190" s="976">
        <f>AT$163*AT189</f>
        <v>1241.3064687</v>
      </c>
      <c r="AU190" s="859">
        <f>AV190+AW190</f>
        <v>5100.9992955</v>
      </c>
      <c r="AV190" s="976">
        <f>AV$163*AV189</f>
        <v>3812.7177216</v>
      </c>
      <c r="AW190" s="976">
        <f>AW$163*AW189</f>
        <v>1288.2815739</v>
      </c>
      <c r="AX190" s="859">
        <f>AY190+AZ190</f>
        <v>5295.0043105</v>
      </c>
      <c r="AY190" s="976">
        <f>AY$163*AY189</f>
        <v>3957.7258496</v>
      </c>
      <c r="AZ190" s="976">
        <f>AZ$163*AZ189</f>
        <v>1337.2784609</v>
      </c>
      <c r="BA190" s="859">
        <f>BB190+BC190</f>
        <v>0</v>
      </c>
      <c r="BB190" s="87">
        <f>BB$163*BB189</f>
        <v>0</v>
      </c>
      <c r="BC190" s="87">
        <f>BC$163*BC189</f>
        <v>0</v>
      </c>
      <c r="BD190" s="859">
        <f>BE190+BF190</f>
        <v>0</v>
      </c>
      <c r="BE190" s="87">
        <f>BE$163*BE189</f>
        <v>0</v>
      </c>
      <c r="BF190" s="87">
        <f>BF$163*BF189</f>
        <v>0</v>
      </c>
      <c r="BG190" s="859">
        <f>BH190+BI190</f>
        <v>0</v>
      </c>
      <c r="BH190" s="87">
        <f>BH$163*BH189</f>
        <v>0</v>
      </c>
      <c r="BI190" s="87">
        <f>BI$163*BI189</f>
        <v>0</v>
      </c>
      <c r="BJ190" s="859">
        <f>BK190+BL190</f>
        <v>0</v>
      </c>
      <c r="BK190" s="87">
        <f>BK$163*BK189</f>
        <v>0</v>
      </c>
      <c r="BL190" s="87">
        <f>BL$163*BL189</f>
        <v>0</v>
      </c>
      <c r="BM190" s="859">
        <f>BN190+BO190</f>
        <v>0</v>
      </c>
      <c r="BN190" s="87">
        <f>BN$163*BN189</f>
        <v>0</v>
      </c>
      <c r="BO190" s="87">
        <f>BO$163*BO189</f>
        <v>0</v>
      </c>
      <c r="BP190" s="859">
        <f>BQ190+BR190</f>
        <v>3879.0440814893</v>
      </c>
      <c r="BQ190" s="976">
        <f>BQ$163*BQ189</f>
        <v>2899.37309448543</v>
      </c>
      <c r="BR190" s="976">
        <f>BR$163*BR189</f>
        <v>979.670987003866</v>
      </c>
      <c r="BS190" s="859">
        <f>BT190+BU190</f>
        <v>4049.72384966631</v>
      </c>
      <c r="BT190" s="976">
        <f>BT$163*BT189</f>
        <v>3026.94687741482</v>
      </c>
      <c r="BU190" s="976">
        <f>BU$163*BU189</f>
        <v>1022.77697225149</v>
      </c>
      <c r="BV190" s="859">
        <f>BW190+BX190</f>
        <v>4159.06399719003</v>
      </c>
      <c r="BW190" s="976">
        <f>BW$163*BW189</f>
        <v>3108.6726519143</v>
      </c>
      <c r="BX190" s="976">
        <f>BX$163*BX189</f>
        <v>1050.39134527573</v>
      </c>
      <c r="BY190" s="859">
        <f>BZ190+CA190</f>
        <v>4271.35876361082</v>
      </c>
      <c r="BZ190" s="976">
        <f>BZ$163*BZ189</f>
        <v>3192.60684229013</v>
      </c>
      <c r="CA190" s="976">
        <f>CA$163*CA189</f>
        <v>1078.75192132069</v>
      </c>
      <c r="CB190" s="859">
        <f>CC190+CD190</f>
        <v>4386.68514225501</v>
      </c>
      <c r="CC190" s="976">
        <f>CC$163*CC189</f>
        <v>3278.80699683878</v>
      </c>
      <c r="CD190" s="976">
        <f>CD$163*CD189</f>
        <v>1107.87814541623</v>
      </c>
      <c r="CE190" s="859">
        <f>CF190+CG190</f>
        <v>0</v>
      </c>
      <c r="CF190" s="87">
        <f>CF$163*CF189</f>
        <v>0</v>
      </c>
      <c r="CG190" s="87">
        <f>CG$163*CG189</f>
        <v>0</v>
      </c>
      <c r="CH190" s="859">
        <f>CI190+CJ190</f>
        <v>0</v>
      </c>
      <c r="CI190" s="87">
        <f>CI$163*CI189</f>
        <v>0</v>
      </c>
      <c r="CJ190" s="87">
        <f>CJ$163*CJ189</f>
        <v>0</v>
      </c>
      <c r="CK190" s="859">
        <f>CL190+CM190</f>
        <v>0</v>
      </c>
      <c r="CL190" s="87">
        <f>CL$163*CL189</f>
        <v>0</v>
      </c>
      <c r="CM190" s="87">
        <f>CM$163*CM189</f>
        <v>0</v>
      </c>
      <c r="CN190" s="859">
        <f>CO190+CP190</f>
        <v>0</v>
      </c>
      <c r="CO190" s="87">
        <f>CO$163*CO189</f>
        <v>0</v>
      </c>
      <c r="CP190" s="87">
        <f>CP$163*CP189</f>
        <v>0</v>
      </c>
      <c r="CQ190" s="859">
        <f>CR190+CS190</f>
        <v>0</v>
      </c>
      <c r="CR190" s="87">
        <f>CR$163*CR189</f>
        <v>0</v>
      </c>
      <c r="CS190" s="87">
        <f>CS$163*CS189</f>
        <v>0</v>
      </c>
      <c r="CT190" s="73"/>
      <c r="CU190" s="1619"/>
      <c r="CV190" s="1619"/>
      <c r="CW190" s="1170" t="s">
        <v>807</v>
      </c>
      <c r="CX190" s="1175"/>
      <c r="CY190" s="1175"/>
      <c r="CZ190" s="1175"/>
      <c r="DA190" s="1176"/>
      <c r="DB190" s="1176"/>
    </row>
    <row s="1619" customFormat="1" customHeight="1" ht="16.5" hidden="1">
      <c r="E191" s="794">
        <v>17.1</v>
      </c>
      <c r="F191" s="919" cm="1" t="str">
        <f t="array" ref="F191:F191">OFFSET(G191,-1,-1)</f>
        <v>1</v>
      </c>
      <c r="L191" s="919" cm="1" t="str">
        <f t="array" ref="L191:L191">OFFSET(M191,-1,-1)</f>
        <v>false</v>
      </c>
      <c r="S191" s="156" cm="1" t="str">
        <f t="array" ref="S191:S191">OFFSET(T191,-1,-1)</f>
        <v>true</v>
      </c>
      <c r="T191" s="156">
        <f>AD191&lt;&gt;"24.0"</f>
        <v>0</v>
      </c>
      <c r="U191" s="816">
        <f>AND(S191,IF(ISBLANK(T191),TRUE,T191))</f>
        <v>0</v>
      </c>
      <c r="X191" s="156" t="s">
        <v>233</v>
      </c>
      <c r="AB191" s="1483"/>
      <c r="AD191" s="157" t="s">
        <v>808</v>
      </c>
      <c r="AE191" s="971"/>
      <c r="AF191" s="622"/>
      <c r="AG191" s="1011" t="s">
        <v>805</v>
      </c>
      <c r="AH191" s="86"/>
      <c r="AI191" s="87"/>
      <c r="AJ191" s="87"/>
      <c r="AK191" s="87"/>
      <c r="AL191" s="859">
        <f>AM191+AN191</f>
        <v>0</v>
      </c>
      <c r="AM191" s="87">
        <f>AM186*AM178/1000</f>
        <v>0</v>
      </c>
      <c r="AN191" s="87">
        <f>AN186*AN178/1000</f>
        <v>0</v>
      </c>
      <c r="AO191" s="859">
        <f>AP191+AQ191</f>
        <v>0</v>
      </c>
      <c r="AP191" s="976">
        <f>AP186*AP178/1000</f>
        <v>0</v>
      </c>
      <c r="AQ191" s="976">
        <f>AQ186*AQ178/1000</f>
        <v>0</v>
      </c>
      <c r="AR191" s="859">
        <f>AS191+AT191</f>
        <v>0</v>
      </c>
      <c r="AS191" s="976">
        <f>AS186*AS178/1000</f>
        <v>0</v>
      </c>
      <c r="AT191" s="976">
        <f>AT186*AT178/1000</f>
        <v>0</v>
      </c>
      <c r="AU191" s="859">
        <f>AV191+AW191</f>
        <v>0</v>
      </c>
      <c r="AV191" s="976">
        <f>AV186*AV178/1000</f>
        <v>0</v>
      </c>
      <c r="AW191" s="976">
        <f>AW186*AW178/1000</f>
        <v>0</v>
      </c>
      <c r="AX191" s="859">
        <f>AY191+AZ191</f>
        <v>0</v>
      </c>
      <c r="AY191" s="976">
        <f>AY186*AY178/1000</f>
        <v>0</v>
      </c>
      <c r="AZ191" s="976">
        <f>AZ186*AZ178/1000</f>
        <v>0</v>
      </c>
      <c r="BA191" s="859">
        <f>BB191+BC191</f>
        <v>0</v>
      </c>
      <c r="BB191" s="87">
        <f>BB186*BB178/1000</f>
        <v>0</v>
      </c>
      <c r="BC191" s="87">
        <f>BC186*BC178/1000</f>
        <v>0</v>
      </c>
      <c r="BD191" s="859">
        <f>BE191+BF191</f>
        <v>0</v>
      </c>
      <c r="BE191" s="87">
        <f>BE186*BE178/1000</f>
        <v>0</v>
      </c>
      <c r="BF191" s="87">
        <f>BF186*BF178/1000</f>
        <v>0</v>
      </c>
      <c r="BG191" s="859">
        <f>BH191+BI191</f>
        <v>0</v>
      </c>
      <c r="BH191" s="87">
        <f>BH186*BH178/1000</f>
        <v>0</v>
      </c>
      <c r="BI191" s="87">
        <f>BI186*BI178/1000</f>
        <v>0</v>
      </c>
      <c r="BJ191" s="859">
        <f>BK191+BL191</f>
        <v>0</v>
      </c>
      <c r="BK191" s="87">
        <f>BK186*BK178/1000</f>
        <v>0</v>
      </c>
      <c r="BL191" s="87">
        <f>BL186*BL178/1000</f>
        <v>0</v>
      </c>
      <c r="BM191" s="859">
        <f>BN191+BO191</f>
        <v>0</v>
      </c>
      <c r="BN191" s="87">
        <f>BN186*BN178/1000</f>
        <v>0</v>
      </c>
      <c r="BO191" s="87">
        <f>BO186*BO178/1000</f>
        <v>0</v>
      </c>
      <c r="BP191" s="859">
        <f>BQ191+BR191</f>
        <v>0</v>
      </c>
      <c r="BQ191" s="976">
        <f>BQ186*BQ178/1000</f>
        <v>0</v>
      </c>
      <c r="BR191" s="976">
        <f>BR186*BR178/1000</f>
        <v>0</v>
      </c>
      <c r="BS191" s="859">
        <f>BT191+BU191</f>
        <v>0</v>
      </c>
      <c r="BT191" s="976">
        <f>BT186*BT178/1000</f>
        <v>0</v>
      </c>
      <c r="BU191" s="976">
        <f>BU186*BU178/1000</f>
        <v>0</v>
      </c>
      <c r="BV191" s="859">
        <f>BW191+BX191</f>
        <v>0</v>
      </c>
      <c r="BW191" s="976">
        <f>BW186*BW178/1000</f>
        <v>0</v>
      </c>
      <c r="BX191" s="976">
        <f>BX186*BX178/1000</f>
        <v>0</v>
      </c>
      <c r="BY191" s="859">
        <f>BZ191+CA191</f>
        <v>0</v>
      </c>
      <c r="BZ191" s="976">
        <f>BZ186*BZ178/1000</f>
        <v>0</v>
      </c>
      <c r="CA191" s="976">
        <f>CA186*CA178/1000</f>
        <v>0</v>
      </c>
      <c r="CB191" s="859">
        <f>CC191+CD191</f>
        <v>0</v>
      </c>
      <c r="CC191" s="976">
        <f>CC186*CC178/1000</f>
        <v>0</v>
      </c>
      <c r="CD191" s="976">
        <f>CD186*CD178/1000</f>
        <v>0</v>
      </c>
      <c r="CE191" s="859">
        <f>CF191+CG191</f>
        <v>0</v>
      </c>
      <c r="CF191" s="87">
        <f>CF186*CF178/1000</f>
        <v>0</v>
      </c>
      <c r="CG191" s="87">
        <f>CG186*CG178/1000</f>
        <v>0</v>
      </c>
      <c r="CH191" s="859">
        <f>CI191+CJ191</f>
        <v>0</v>
      </c>
      <c r="CI191" s="87">
        <f>CI186*CI178/1000</f>
        <v>0</v>
      </c>
      <c r="CJ191" s="87">
        <f>CJ186*CJ178/1000</f>
        <v>0</v>
      </c>
      <c r="CK191" s="859">
        <f>CL191+CM191</f>
        <v>0</v>
      </c>
      <c r="CL191" s="87">
        <f>CL186*CL178/1000</f>
        <v>0</v>
      </c>
      <c r="CM191" s="87">
        <f>CM186*CM178/1000</f>
        <v>0</v>
      </c>
      <c r="CN191" s="859">
        <f>CO191+CP191</f>
        <v>0</v>
      </c>
      <c r="CO191" s="87">
        <f>CO186*CO178/1000</f>
        <v>0</v>
      </c>
      <c r="CP191" s="87">
        <f>CP186*CP178/1000</f>
        <v>0</v>
      </c>
      <c r="CQ191" s="859">
        <f>CR191+CS191</f>
        <v>0</v>
      </c>
      <c r="CR191" s="87">
        <f>CR186*CR178/1000</f>
        <v>0</v>
      </c>
      <c r="CS191" s="87">
        <f>CS186*CS178/1000</f>
        <v>0</v>
      </c>
      <c r="CT191" s="73"/>
      <c r="CW191" s="1170" t="s">
        <v>807</v>
      </c>
      <c r="CX191" s="1175" t="s">
        <v>787</v>
      </c>
      <c r="CY191" s="1179" cm="1" t="str">
        <f t="array" ref="CY191:CY191">AE191</f>
        <v>0</v>
      </c>
      <c r="CZ191" s="1179" cm="1" t="str">
        <f t="array" ref="CZ191:CZ191">AF191</f>
        <v>0</v>
      </c>
      <c r="DA191" s="1176"/>
      <c r="DB191" s="1176"/>
    </row>
    <row s="1619" customFormat="1" customHeight="1" ht="16.5">
      <c r="A192" s="1619"/>
      <c r="B192" s="1619"/>
      <c r="C192" s="1619"/>
      <c r="D192" s="1619"/>
      <c r="E192" s="794">
        <v>17.1</v>
      </c>
      <c r="F192" s="919" cm="1" t="str">
        <f t="array" ref="F192:F192">OFFSET(G192,-1,-1)</f>
        <v>1</v>
      </c>
      <c r="G192" s="1619"/>
      <c r="H192" s="1619"/>
      <c r="I192" s="1619"/>
      <c r="J192" s="1619"/>
      <c r="K192" s="1619"/>
      <c r="L192" s="919" cm="1" t="str">
        <f t="array" ref="L192:L192">OFFSET(M192,-1,-1)</f>
        <v>false</v>
      </c>
      <c r="M192" s="1619"/>
      <c r="N192" s="1619"/>
      <c r="O192" s="1619"/>
      <c r="P192" s="1619"/>
      <c r="Q192" s="1619"/>
      <c r="R192" s="1619"/>
      <c r="S192" s="156" cm="1" t="str">
        <f t="array" ref="S192:S192">OFFSET(T192,-1,-1)</f>
        <v>true</v>
      </c>
      <c r="T192" s="156">
        <f>AD192&lt;&gt;"24.0"</f>
        <v>1</v>
      </c>
      <c r="U192" s="816">
        <f>AND(S192,IF(ISBLANK(T192),TRUE,T192))</f>
        <v>1</v>
      </c>
      <c r="V192" s="1619"/>
      <c r="W192" s="1619"/>
      <c r="X192" s="156" t="str">
        <f>'Топливо 4.4'!$AE$187&amp;'Топливо 4.4'!$AF$187</f>
        <v>Уголь бурыйБ</v>
      </c>
      <c r="Y192" s="1619"/>
      <c r="Z192" s="1619"/>
      <c r="AA192" s="1619"/>
      <c r="AB192" s="1483"/>
      <c r="AC192" s="1619"/>
      <c r="AD192" s="157" t="s">
        <v>904</v>
      </c>
      <c r="AE192" s="971" cm="1" t="str">
        <f t="array" ref="AE192:AE192">IF(ISBLANK('Топливо 4.4'!$AE$187),"",'Топливо 4.4'!$AE$187)</f>
        <v>Уголь бурый</v>
      </c>
      <c r="AF192" s="622" cm="1" t="str">
        <f t="array" ref="AF192:AF192">IF(ISBLANK('Топливо 4.4'!$AF$187),"",'Топливо 4.4'!$AF$187)</f>
        <v>Б</v>
      </c>
      <c r="AG192" s="1011" t="s">
        <v>805</v>
      </c>
      <c r="AH192" s="1768"/>
      <c r="AI192" s="1766"/>
      <c r="AJ192" s="1766"/>
      <c r="AK192" s="1766"/>
      <c r="AL192" s="859">
        <f>AM192+AN192</f>
        <v>4485.9999935</v>
      </c>
      <c r="AM192" s="1766">
        <f>AM187*AM179/1000</f>
        <v>3353.0394112</v>
      </c>
      <c r="AN192" s="1766">
        <f>AN187*AN179/1000</f>
        <v>1132.9605823</v>
      </c>
      <c r="AO192" s="859">
        <f>AP192+AQ192</f>
        <v>4735.998484</v>
      </c>
      <c r="AP192" s="976">
        <f>AP187*AP179/1000</f>
        <v>3539.8995968</v>
      </c>
      <c r="AQ192" s="976">
        <f>AQ187*AQ179/1000</f>
        <v>1196.0988872</v>
      </c>
      <c r="AR192" s="859">
        <f>AS192+AT192</f>
        <v>4914.9996015</v>
      </c>
      <c r="AS192" s="976">
        <f>AS187*AS179/1000</f>
        <v>3673.6931328</v>
      </c>
      <c r="AT192" s="976">
        <f>AT187*AT179/1000</f>
        <v>1241.3064687</v>
      </c>
      <c r="AU192" s="859">
        <f>AV192+AW192</f>
        <v>5100.9992955</v>
      </c>
      <c r="AV192" s="976">
        <f>AV187*AV179/1000</f>
        <v>3812.7177216</v>
      </c>
      <c r="AW192" s="976">
        <f>AW187*AW179/1000</f>
        <v>1288.2815739</v>
      </c>
      <c r="AX192" s="859">
        <f>AY192+AZ192</f>
        <v>5295.0043105</v>
      </c>
      <c r="AY192" s="976">
        <f>AY187*AY179/1000</f>
        <v>3957.7258496</v>
      </c>
      <c r="AZ192" s="976">
        <f>AZ187*AZ179/1000</f>
        <v>1337.2784609</v>
      </c>
      <c r="BA192" s="859">
        <f>BB192+BC192</f>
        <v>0</v>
      </c>
      <c r="BB192" s="1766">
        <f>BB187*BB179/1000</f>
        <v>0</v>
      </c>
      <c r="BC192" s="1766">
        <f>BC187*BC179/1000</f>
        <v>0</v>
      </c>
      <c r="BD192" s="859">
        <f>BE192+BF192</f>
        <v>0</v>
      </c>
      <c r="BE192" s="1766">
        <f>BE187*BE179/1000</f>
        <v>0</v>
      </c>
      <c r="BF192" s="1766">
        <f>BF187*BF179/1000</f>
        <v>0</v>
      </c>
      <c r="BG192" s="859">
        <f>BH192+BI192</f>
        <v>0</v>
      </c>
      <c r="BH192" s="1766">
        <f>BH187*BH179/1000</f>
        <v>0</v>
      </c>
      <c r="BI192" s="1766">
        <f>BI187*BI179/1000</f>
        <v>0</v>
      </c>
      <c r="BJ192" s="859">
        <f>BK192+BL192</f>
        <v>0</v>
      </c>
      <c r="BK192" s="1766">
        <f>BK187*BK179/1000</f>
        <v>0</v>
      </c>
      <c r="BL192" s="1766">
        <f>BL187*BL179/1000</f>
        <v>0</v>
      </c>
      <c r="BM192" s="859">
        <f>BN192+BO192</f>
        <v>0</v>
      </c>
      <c r="BN192" s="1766">
        <f>BN187*BN179/1000</f>
        <v>0</v>
      </c>
      <c r="BO192" s="1766">
        <f>BO187*BO179/1000</f>
        <v>0</v>
      </c>
      <c r="BP192" s="859">
        <f>BQ192+BR192</f>
        <v>3879.0440814893</v>
      </c>
      <c r="BQ192" s="976">
        <f>BQ187*BQ179/1000</f>
        <v>2899.37309448543</v>
      </c>
      <c r="BR192" s="976">
        <f>BR187*BR179/1000</f>
        <v>979.670987003866</v>
      </c>
      <c r="BS192" s="859">
        <f>BT192+BU192</f>
        <v>4049.72384966631</v>
      </c>
      <c r="BT192" s="976">
        <f>BT187*BT179/1000</f>
        <v>3026.94687741482</v>
      </c>
      <c r="BU192" s="976">
        <f>BU187*BU179/1000</f>
        <v>1022.77697225149</v>
      </c>
      <c r="BV192" s="859">
        <f>BW192+BX192</f>
        <v>4159.06399719003</v>
      </c>
      <c r="BW192" s="976">
        <f>BW187*BW179/1000</f>
        <v>3108.6726519143</v>
      </c>
      <c r="BX192" s="976">
        <f>BX187*BX179/1000</f>
        <v>1050.39134527573</v>
      </c>
      <c r="BY192" s="859">
        <f>BZ192+CA192</f>
        <v>4271.35876361082</v>
      </c>
      <c r="BZ192" s="976">
        <f>BZ187*BZ179/1000</f>
        <v>3192.60684229013</v>
      </c>
      <c r="CA192" s="976">
        <f>CA187*CA179/1000</f>
        <v>1078.75192132069</v>
      </c>
      <c r="CB192" s="859">
        <f>CC192+CD192</f>
        <v>4386.68514225501</v>
      </c>
      <c r="CC192" s="976">
        <f>CC187*CC179/1000</f>
        <v>3278.80699683878</v>
      </c>
      <c r="CD192" s="976">
        <f>CD187*CD179/1000</f>
        <v>1107.87814541623</v>
      </c>
      <c r="CE192" s="859">
        <f>CF192+CG192</f>
        <v>0</v>
      </c>
      <c r="CF192" s="1766">
        <f>CF187*CF179/1000</f>
        <v>0</v>
      </c>
      <c r="CG192" s="1766">
        <f>CG187*CG179/1000</f>
        <v>0</v>
      </c>
      <c r="CH192" s="859">
        <f>CI192+CJ192</f>
        <v>0</v>
      </c>
      <c r="CI192" s="1766">
        <f>CI187*CI179/1000</f>
        <v>0</v>
      </c>
      <c r="CJ192" s="1766">
        <f>CJ187*CJ179/1000</f>
        <v>0</v>
      </c>
      <c r="CK192" s="859">
        <f>CL192+CM192</f>
        <v>0</v>
      </c>
      <c r="CL192" s="1766">
        <f>CL187*CL179/1000</f>
        <v>0</v>
      </c>
      <c r="CM192" s="1766">
        <f>CM187*CM179/1000</f>
        <v>0</v>
      </c>
      <c r="CN192" s="859">
        <f>CO192+CP192</f>
        <v>0</v>
      </c>
      <c r="CO192" s="1766">
        <f>CO187*CO179/1000</f>
        <v>0</v>
      </c>
      <c r="CP192" s="1766">
        <f>CP187*CP179/1000</f>
        <v>0</v>
      </c>
      <c r="CQ192" s="859">
        <f>CR192+CS192</f>
        <v>0</v>
      </c>
      <c r="CR192" s="1766">
        <f>CR187*CR179/1000</f>
        <v>0</v>
      </c>
      <c r="CS192" s="1766">
        <f>CS187*CS179/1000</f>
        <v>0</v>
      </c>
      <c r="CT192" s="1730"/>
      <c r="CU192" s="1619"/>
      <c r="CV192" s="1619"/>
      <c r="CW192" s="1170" t="s">
        <v>807</v>
      </c>
      <c r="CX192" s="1175" t="s">
        <v>787</v>
      </c>
      <c r="CY192" s="1179" cm="1" t="str">
        <f t="array" ref="CY192:CY192">AE192</f>
        <v>Уголь бурый</v>
      </c>
      <c r="CZ192" s="1179" cm="1" t="str">
        <f t="array" ref="CZ192:CZ192">AF192</f>
        <v>Б</v>
      </c>
      <c r="DA192" s="1176"/>
      <c r="DB192" s="1176"/>
    </row>
    <row s="1619" customFormat="1" customHeight="1" ht="17.25" hidden="1">
      <c r="A193" s="1440"/>
      <c r="B193" s="924"/>
      <c r="C193" s="1440"/>
      <c r="D193" s="1440"/>
      <c r="E193" s="794">
        <v>0</v>
      </c>
      <c r="F193" s="919" cm="1" t="str">
        <f t="array" ref="F193:F193">OFFSET(G193,-1,-1)</f>
        <v>1</v>
      </c>
      <c r="G193" s="962"/>
      <c r="H193" s="962"/>
      <c r="I193" s="962"/>
      <c r="J193" s="962"/>
      <c r="K193" s="962"/>
      <c r="L193" s="919" cm="1" t="str">
        <f t="array" ref="L193:L193">OFFSET(M193,-1,-1)</f>
        <v>false</v>
      </c>
      <c r="M193" s="962"/>
      <c r="N193" s="962"/>
      <c r="O193" s="962"/>
      <c r="P193" s="962"/>
      <c r="Q193" s="962"/>
      <c r="R193" s="1440"/>
      <c r="S193" s="156" cm="1" t="str">
        <f t="array" ref="S193:S193">OFFSET(T193,-1,-1)</f>
        <v>true</v>
      </c>
      <c r="T193" s="1440"/>
      <c r="U193" s="816">
        <f>AND(S193,IF(ISBLANK(T193),TRUE,T193))</f>
        <v>1</v>
      </c>
      <c r="V193" s="1440"/>
      <c r="W193" s="1440"/>
      <c r="X193" s="970" t="str">
        <f>"{                  
         funcDyn: 'msg1',
         blok: 'blok_2',
         wsCross: 'Топливо 4.4',
         linkFormula: 'AE-AE#AF-AF',
         levelDyn: "&amp;Y139&amp;"
}"</f>
        <v>{                  
         funcDyn: 'msg1',
         blok: 'blok_2',
         wsCross: 'Топливо 4.4',
         linkFormula: 'AE-AE#AF-AF',
         levelDyn: 1
}</v>
      </c>
      <c r="Y193" s="1440"/>
      <c r="Z193" s="1440"/>
      <c r="AA193" s="817"/>
      <c r="AB193" s="1483"/>
      <c r="AC193" s="1619"/>
      <c r="AD193" s="973"/>
      <c r="AE193" s="972" t="s">
        <v>235</v>
      </c>
      <c r="AF193" s="871"/>
      <c r="AG193" s="856"/>
      <c r="AH193" s="858"/>
      <c r="AI193" s="860"/>
      <c r="AJ193" s="860"/>
      <c r="AK193" s="860"/>
      <c r="AL193" s="860"/>
      <c r="AM193" s="860"/>
      <c r="AN193" s="860"/>
      <c r="AO193" s="860"/>
      <c r="AP193" s="860"/>
      <c r="AQ193" s="860"/>
      <c r="AR193" s="860"/>
      <c r="AS193" s="860"/>
      <c r="AT193" s="860"/>
      <c r="AU193" s="860"/>
      <c r="AV193" s="860"/>
      <c r="AW193" s="860"/>
      <c r="AX193" s="860"/>
      <c r="AY193" s="860"/>
      <c r="AZ193" s="860"/>
      <c r="BA193" s="860"/>
      <c r="BB193" s="860"/>
      <c r="BC193" s="860"/>
      <c r="BD193" s="860"/>
      <c r="BE193" s="860"/>
      <c r="BF193" s="860"/>
      <c r="BG193" s="860"/>
      <c r="BH193" s="860"/>
      <c r="BI193" s="860"/>
      <c r="BJ193" s="860"/>
      <c r="BK193" s="860"/>
      <c r="BL193" s="860"/>
      <c r="BM193" s="860"/>
      <c r="BN193" s="860"/>
      <c r="BO193" s="860"/>
      <c r="BP193" s="860"/>
      <c r="BQ193" s="860"/>
      <c r="BR193" s="860"/>
      <c r="BS193" s="860"/>
      <c r="BT193" s="860"/>
      <c r="BU193" s="860"/>
      <c r="BV193" s="860"/>
      <c r="BW193" s="860"/>
      <c r="BX193" s="860"/>
      <c r="BY193" s="860"/>
      <c r="BZ193" s="860"/>
      <c r="CA193" s="860"/>
      <c r="CB193" s="860"/>
      <c r="CC193" s="860"/>
      <c r="CD193" s="860"/>
      <c r="CE193" s="860"/>
      <c r="CF193" s="860"/>
      <c r="CG193" s="860"/>
      <c r="CH193" s="860"/>
      <c r="CI193" s="860"/>
      <c r="CJ193" s="860"/>
      <c r="CK193" s="860"/>
      <c r="CL193" s="860"/>
      <c r="CM193" s="860"/>
      <c r="CN193" s="860"/>
      <c r="CO193" s="860"/>
      <c r="CP193" s="860"/>
      <c r="CQ193" s="860"/>
      <c r="CR193" s="860"/>
      <c r="CS193" s="860"/>
      <c r="CT193" s="91"/>
      <c r="CU193" s="1619"/>
      <c r="CV193" s="1619"/>
      <c r="CW193" s="1170" t="str">
        <f>IF(AND(ISNUMBER(VALUE(TRIM(SUBSTITUTE(AD193,".","")))),TRIM(SUBSTITUTE(AD193,".",""))&lt;&gt;""),"P"&amp;SUBSTITUTE(AD193,".",""),"")</f>
        <v/>
      </c>
      <c r="CX193" s="1175"/>
      <c r="CY193" s="1175"/>
      <c r="CZ193" s="1175"/>
      <c r="DA193" s="1176"/>
      <c r="DB193" s="1176"/>
    </row>
    <row s="1619" customFormat="1" customHeight="1" ht="21.75" hidden="1">
      <c r="A194" s="1440"/>
      <c r="B194" s="924"/>
      <c r="C194" s="1440"/>
      <c r="D194" s="1440"/>
      <c r="E194" s="794">
        <v>22.5</v>
      </c>
      <c r="F194" s="919" cm="1" t="str">
        <f t="array" ref="F194:F194">OFFSET(G194,-1,-1)</f>
        <v>1</v>
      </c>
      <c r="G194" s="962"/>
      <c r="H194" s="962"/>
      <c r="I194" s="962"/>
      <c r="J194" s="962"/>
      <c r="K194" s="962"/>
      <c r="L194" s="919" cm="1" t="str">
        <f t="array" ref="L194:L194">OFFSET(M194,-1,-1)</f>
        <v>false</v>
      </c>
      <c r="M194" s="962"/>
      <c r="N194" s="962"/>
      <c r="O194" s="962"/>
      <c r="P194" s="962"/>
      <c r="Q194" s="962"/>
      <c r="R194" s="919" t="s">
        <v>725</v>
      </c>
      <c r="S194" s="156" cm="1" t="str">
        <f t="array" ref="S194:S194">OFFSET(T194,-1,-1)</f>
        <v>true</v>
      </c>
      <c r="T194" s="156" cm="1" t="str">
        <f t="array" ref="T194:T194">L194</f>
        <v>false</v>
      </c>
      <c r="U194" s="816">
        <f>AND(S194,IF(ISBLANK(T194),TRUE,T194))</f>
        <v>0</v>
      </c>
      <c r="V194" s="1440"/>
      <c r="W194" s="1440"/>
      <c r="X194" s="1440"/>
      <c r="Y194" s="1440"/>
      <c r="Z194" s="1440"/>
      <c r="AA194" s="817"/>
      <c r="AB194" s="1483"/>
      <c r="AC194" s="1619"/>
      <c r="AD194" s="157">
        <v>25</v>
      </c>
      <c r="AE194" s="1505" t="s">
        <v>809</v>
      </c>
      <c r="AF194" s="159"/>
      <c r="AG194" s="1011" t="s">
        <v>805</v>
      </c>
      <c r="AH194" s="857">
        <f>SUM(AH195:AH197)</f>
        <v>0</v>
      </c>
      <c r="AI194" s="857">
        <f>SUM(AI195:AI197)</f>
        <v>0</v>
      </c>
      <c r="AJ194" s="857">
        <f>SUM(AJ195:AJ197)</f>
        <v>0</v>
      </c>
      <c r="AK194" s="857">
        <f>SUM(AK195:AK197)</f>
        <v>0</v>
      </c>
      <c r="AL194" s="857">
        <f>SUM(AL195:AL197)</f>
        <v>4485.9999935</v>
      </c>
      <c r="AM194" s="857">
        <f>SUM(AM195:AM197)</f>
        <v>3353.0394112</v>
      </c>
      <c r="AN194" s="857">
        <f>SUM(AN195:AN197)</f>
        <v>1132.9605823</v>
      </c>
      <c r="AO194" s="857">
        <f>SUM(AO195:AO197)</f>
        <v>4735.998484</v>
      </c>
      <c r="AP194" s="857">
        <f>SUM(AP195:AP197)</f>
        <v>3539.8995968</v>
      </c>
      <c r="AQ194" s="857">
        <f>SUM(AQ195:AQ197)</f>
        <v>1196.0988872</v>
      </c>
      <c r="AR194" s="857">
        <f>SUM(AR195:AR197)</f>
        <v>4914.9996015</v>
      </c>
      <c r="AS194" s="857">
        <f>SUM(AS195:AS197)</f>
        <v>3673.6931328</v>
      </c>
      <c r="AT194" s="857">
        <f>SUM(AT195:AT197)</f>
        <v>1241.3064687</v>
      </c>
      <c r="AU194" s="857">
        <f>SUM(AU195:AU197)</f>
        <v>5100.9992955</v>
      </c>
      <c r="AV194" s="857">
        <f>SUM(AV195:AV197)</f>
        <v>3812.7177216</v>
      </c>
      <c r="AW194" s="857">
        <f>SUM(AW195:AW197)</f>
        <v>1288.2815739</v>
      </c>
      <c r="AX194" s="857">
        <f>SUM(AX195:AX197)</f>
        <v>5295.0043105</v>
      </c>
      <c r="AY194" s="857">
        <f>SUM(AY195:AY197)</f>
        <v>3957.7258496</v>
      </c>
      <c r="AZ194" s="857">
        <f>SUM(AZ195:AZ197)</f>
        <v>1337.2784609</v>
      </c>
      <c r="BA194" s="857">
        <f>SUM(BA195:BA197)</f>
        <v>0</v>
      </c>
      <c r="BB194" s="857">
        <f>SUM(BB195:BB197)</f>
        <v>0</v>
      </c>
      <c r="BC194" s="857">
        <f>SUM(BC195:BC197)</f>
        <v>0</v>
      </c>
      <c r="BD194" s="857">
        <f>SUM(BD195:BD197)</f>
        <v>0</v>
      </c>
      <c r="BE194" s="857">
        <f>SUM(BE195:BE197)</f>
        <v>0</v>
      </c>
      <c r="BF194" s="857">
        <f>SUM(BF195:BF197)</f>
        <v>0</v>
      </c>
      <c r="BG194" s="857">
        <f>SUM(BG195:BG197)</f>
        <v>0</v>
      </c>
      <c r="BH194" s="857">
        <f>SUM(BH195:BH197)</f>
        <v>0</v>
      </c>
      <c r="BI194" s="857">
        <f>SUM(BI195:BI197)</f>
        <v>0</v>
      </c>
      <c r="BJ194" s="857">
        <f>SUM(BJ195:BJ197)</f>
        <v>0</v>
      </c>
      <c r="BK194" s="857">
        <f>SUM(BK195:BK197)</f>
        <v>0</v>
      </c>
      <c r="BL194" s="857">
        <f>SUM(BL195:BL197)</f>
        <v>0</v>
      </c>
      <c r="BM194" s="857">
        <f>SUM(BM195:BM197)</f>
        <v>0</v>
      </c>
      <c r="BN194" s="857">
        <f>SUM(BN195:BN197)</f>
        <v>0</v>
      </c>
      <c r="BO194" s="857">
        <f>SUM(BO195:BO197)</f>
        <v>0</v>
      </c>
      <c r="BP194" s="857">
        <f>SUM(BP195:BP197)</f>
        <v>3879.0440814893</v>
      </c>
      <c r="BQ194" s="857">
        <f>SUM(BQ195:BQ197)</f>
        <v>2899.37309448543</v>
      </c>
      <c r="BR194" s="857">
        <f>SUM(BR195:BR197)</f>
        <v>979.670987003866</v>
      </c>
      <c r="BS194" s="857">
        <f>SUM(BS195:BS197)</f>
        <v>4049.72384966631</v>
      </c>
      <c r="BT194" s="857">
        <f>SUM(BT195:BT197)</f>
        <v>3026.94687741482</v>
      </c>
      <c r="BU194" s="857">
        <f>SUM(BU195:BU197)</f>
        <v>1022.77697225149</v>
      </c>
      <c r="BV194" s="857">
        <f>SUM(BV195:BV197)</f>
        <v>4159.06399719003</v>
      </c>
      <c r="BW194" s="857">
        <f>SUM(BW195:BW197)</f>
        <v>3108.6726519143</v>
      </c>
      <c r="BX194" s="857">
        <f>SUM(BX195:BX197)</f>
        <v>1050.39134527573</v>
      </c>
      <c r="BY194" s="857">
        <f>SUM(BY195:BY197)</f>
        <v>4271.35876361082</v>
      </c>
      <c r="BZ194" s="857">
        <f>SUM(BZ195:BZ197)</f>
        <v>3192.60684229013</v>
      </c>
      <c r="CA194" s="857">
        <f>SUM(CA195:CA197)</f>
        <v>1078.75192132069</v>
      </c>
      <c r="CB194" s="857">
        <f>SUM(CB195:CB197)</f>
        <v>4386.68514225501</v>
      </c>
      <c r="CC194" s="857">
        <f>SUM(CC195:CC197)</f>
        <v>3278.80699683878</v>
      </c>
      <c r="CD194" s="857">
        <f>SUM(CD195:CD197)</f>
        <v>1107.87814541623</v>
      </c>
      <c r="CE194" s="857">
        <f>SUM(CE195:CE197)</f>
        <v>0</v>
      </c>
      <c r="CF194" s="857">
        <f>SUM(CF195:CF197)</f>
        <v>0</v>
      </c>
      <c r="CG194" s="857">
        <f>SUM(CG195:CG197)</f>
        <v>0</v>
      </c>
      <c r="CH194" s="857">
        <f>SUM(CH195:CH197)</f>
        <v>0</v>
      </c>
      <c r="CI194" s="857">
        <f>SUM(CI195:CI197)</f>
        <v>0</v>
      </c>
      <c r="CJ194" s="857">
        <f>SUM(CJ195:CJ197)</f>
        <v>0</v>
      </c>
      <c r="CK194" s="857">
        <f>SUM(CK195:CK197)</f>
        <v>0</v>
      </c>
      <c r="CL194" s="857">
        <f>SUM(CL195:CL197)</f>
        <v>0</v>
      </c>
      <c r="CM194" s="857">
        <f>SUM(CM195:CM197)</f>
        <v>0</v>
      </c>
      <c r="CN194" s="857">
        <f>SUM(CN195:CN197)</f>
        <v>0</v>
      </c>
      <c r="CO194" s="857">
        <f>SUM(CO195:CO197)</f>
        <v>0</v>
      </c>
      <c r="CP194" s="857">
        <f>SUM(CP195:CP197)</f>
        <v>0</v>
      </c>
      <c r="CQ194" s="857">
        <f>SUM(CQ195:CQ197)</f>
        <v>0</v>
      </c>
      <c r="CR194" s="857">
        <f>SUM(CR195:CR197)</f>
        <v>0</v>
      </c>
      <c r="CS194" s="857">
        <f>SUM(CS195:CS197)</f>
        <v>0</v>
      </c>
      <c r="CT194" s="73"/>
      <c r="CU194" s="1619"/>
      <c r="CV194" s="1619"/>
      <c r="CW194" s="1170" t="s">
        <v>810</v>
      </c>
      <c r="CX194" s="1175"/>
      <c r="CY194" s="1175"/>
      <c r="CZ194" s="1175"/>
      <c r="DA194" s="1176"/>
      <c r="DB194" s="1176"/>
    </row>
    <row s="1619" customFormat="1" customHeight="1" ht="16.5" hidden="1">
      <c r="E195" s="794">
        <v>17.1</v>
      </c>
      <c r="F195" s="919" cm="1" t="str">
        <f t="array" ref="F195:F195">OFFSET(G195,-1,-1)</f>
        <v>1</v>
      </c>
      <c r="L195" s="919" cm="1" t="str">
        <f t="array" ref="L195:L195">OFFSET(M195,-1,-1)</f>
        <v>false</v>
      </c>
      <c r="R195" s="919" t="s">
        <v>725</v>
      </c>
      <c r="S195" s="156" cm="1" t="str">
        <f t="array" ref="S195:S195">OFFSET(T195,-1,-1)</f>
        <v>true</v>
      </c>
      <c r="T195" s="156">
        <f>AND(L195,AD195&lt;&gt;"25.0")</f>
        <v>0</v>
      </c>
      <c r="U195" s="816">
        <f>AND(S195,IF(ISBLANK(T195),TRUE,T195))</f>
        <v>0</v>
      </c>
      <c r="X195" s="156" t="s">
        <v>233</v>
      </c>
      <c r="AB195" s="1483"/>
      <c r="AD195" s="157" t="s">
        <v>811</v>
      </c>
      <c r="AE195" s="971"/>
      <c r="AF195" s="622"/>
      <c r="AG195" s="1011" t="s">
        <v>805</v>
      </c>
      <c r="AH195" s="86">
        <f>AH$163*AH191</f>
        <v>0</v>
      </c>
      <c r="AI195" s="87">
        <f>AI$163*AI191</f>
        <v>0</v>
      </c>
      <c r="AJ195" s="87">
        <f>AJ$163*AJ191</f>
        <v>0</v>
      </c>
      <c r="AK195" s="87">
        <f>AK$163*AK191</f>
        <v>0</v>
      </c>
      <c r="AL195" s="859">
        <f>AM195+AN195</f>
        <v>0</v>
      </c>
      <c r="AM195" s="87">
        <f>AM$163*AM191</f>
        <v>0</v>
      </c>
      <c r="AN195" s="87">
        <f>AN$163*AN191</f>
        <v>0</v>
      </c>
      <c r="AO195" s="859">
        <f>AP195+AQ195</f>
        <v>0</v>
      </c>
      <c r="AP195" s="976">
        <f>AP$163*AP191</f>
        <v>0</v>
      </c>
      <c r="AQ195" s="976">
        <f>AQ$163*AQ191</f>
        <v>0</v>
      </c>
      <c r="AR195" s="859">
        <f>AS195+AT195</f>
        <v>0</v>
      </c>
      <c r="AS195" s="976">
        <f>AS$163*AS191</f>
        <v>0</v>
      </c>
      <c r="AT195" s="976">
        <f>AT$163*AT191</f>
        <v>0</v>
      </c>
      <c r="AU195" s="859">
        <f>AV195+AW195</f>
        <v>0</v>
      </c>
      <c r="AV195" s="976">
        <f>AV$163*AV191</f>
        <v>0</v>
      </c>
      <c r="AW195" s="976">
        <f>AW$163*AW191</f>
        <v>0</v>
      </c>
      <c r="AX195" s="859">
        <f>AY195+AZ195</f>
        <v>0</v>
      </c>
      <c r="AY195" s="976">
        <f>AY$163*AY191</f>
        <v>0</v>
      </c>
      <c r="AZ195" s="976">
        <f>AZ$163*AZ191</f>
        <v>0</v>
      </c>
      <c r="BA195" s="859">
        <f>BB195+BC195</f>
        <v>0</v>
      </c>
      <c r="BB195" s="87">
        <f>BB$163*BB191</f>
        <v>0</v>
      </c>
      <c r="BC195" s="87">
        <f>BC$163*BC191</f>
        <v>0</v>
      </c>
      <c r="BD195" s="859">
        <f>BE195+BF195</f>
        <v>0</v>
      </c>
      <c r="BE195" s="87">
        <f>BE$163*BE191</f>
        <v>0</v>
      </c>
      <c r="BF195" s="87">
        <f>BF$163*BF191</f>
        <v>0</v>
      </c>
      <c r="BG195" s="859">
        <f>BH195+BI195</f>
        <v>0</v>
      </c>
      <c r="BH195" s="87">
        <f>BH$163*BH191</f>
        <v>0</v>
      </c>
      <c r="BI195" s="87">
        <f>BI$163*BI191</f>
        <v>0</v>
      </c>
      <c r="BJ195" s="859">
        <f>BK195+BL195</f>
        <v>0</v>
      </c>
      <c r="BK195" s="87">
        <f>BK$163*BK191</f>
        <v>0</v>
      </c>
      <c r="BL195" s="87">
        <f>BL$163*BL191</f>
        <v>0</v>
      </c>
      <c r="BM195" s="859">
        <f>BN195+BO195</f>
        <v>0</v>
      </c>
      <c r="BN195" s="87">
        <f>BN$163*BN191</f>
        <v>0</v>
      </c>
      <c r="BO195" s="87">
        <f>BO$163*BO191</f>
        <v>0</v>
      </c>
      <c r="BP195" s="859">
        <f>BQ195+BR195</f>
        <v>0</v>
      </c>
      <c r="BQ195" s="976">
        <f>BQ$163*BQ191</f>
        <v>0</v>
      </c>
      <c r="BR195" s="976">
        <f>BR$163*BR191</f>
        <v>0</v>
      </c>
      <c r="BS195" s="859">
        <f>BT195+BU195</f>
        <v>0</v>
      </c>
      <c r="BT195" s="976">
        <f>BT$163*BT191</f>
        <v>0</v>
      </c>
      <c r="BU195" s="976">
        <f>BU$163*BU191</f>
        <v>0</v>
      </c>
      <c r="BV195" s="859">
        <f>BW195+BX195</f>
        <v>0</v>
      </c>
      <c r="BW195" s="976">
        <f>BW$163*BW191</f>
        <v>0</v>
      </c>
      <c r="BX195" s="976">
        <f>BX$163*BX191</f>
        <v>0</v>
      </c>
      <c r="BY195" s="859">
        <f>BZ195+CA195</f>
        <v>0</v>
      </c>
      <c r="BZ195" s="976">
        <f>BZ$163*BZ191</f>
        <v>0</v>
      </c>
      <c r="CA195" s="976">
        <f>CA$163*CA191</f>
        <v>0</v>
      </c>
      <c r="CB195" s="859">
        <f>CC195+CD195</f>
        <v>0</v>
      </c>
      <c r="CC195" s="976">
        <f>CC$163*CC191</f>
        <v>0</v>
      </c>
      <c r="CD195" s="976">
        <f>CD$163*CD191</f>
        <v>0</v>
      </c>
      <c r="CE195" s="859">
        <f>CF195+CG195</f>
        <v>0</v>
      </c>
      <c r="CF195" s="87">
        <f>CF$163*CF191</f>
        <v>0</v>
      </c>
      <c r="CG195" s="87">
        <f>CG$163*CG191</f>
        <v>0</v>
      </c>
      <c r="CH195" s="859">
        <f>CI195+CJ195</f>
        <v>0</v>
      </c>
      <c r="CI195" s="87">
        <f>CI$163*CI191</f>
        <v>0</v>
      </c>
      <c r="CJ195" s="87">
        <f>CJ$163*CJ191</f>
        <v>0</v>
      </c>
      <c r="CK195" s="859">
        <f>CL195+CM195</f>
        <v>0</v>
      </c>
      <c r="CL195" s="87">
        <f>CL$163*CL191</f>
        <v>0</v>
      </c>
      <c r="CM195" s="87">
        <f>CM$163*CM191</f>
        <v>0</v>
      </c>
      <c r="CN195" s="859">
        <f>CO195+CP195</f>
        <v>0</v>
      </c>
      <c r="CO195" s="87">
        <f>CO$163*CO191</f>
        <v>0</v>
      </c>
      <c r="CP195" s="87">
        <f>CP$163*CP191</f>
        <v>0</v>
      </c>
      <c r="CQ195" s="859">
        <f>CR195+CS195</f>
        <v>0</v>
      </c>
      <c r="CR195" s="87">
        <f>CR$163*CR191</f>
        <v>0</v>
      </c>
      <c r="CS195" s="87">
        <f>CS$163*CS191</f>
        <v>0</v>
      </c>
      <c r="CT195" s="73"/>
      <c r="CW195" s="1170" t="s">
        <v>810</v>
      </c>
      <c r="CX195" s="1175" t="s">
        <v>787</v>
      </c>
      <c r="CY195" s="1179" cm="1" t="str">
        <f t="array" ref="CY195:CY195">AE195</f>
        <v>0</v>
      </c>
      <c r="CZ195" s="1179" cm="1" t="str">
        <f t="array" ref="CZ195:CZ195">AF195</f>
        <v>0</v>
      </c>
      <c r="DA195" s="1176"/>
      <c r="DB195" s="1176"/>
    </row>
    <row s="1619" customFormat="1" customHeight="1" ht="16.5" hidden="1">
      <c r="A196" s="1619"/>
      <c r="B196" s="1619"/>
      <c r="C196" s="1619"/>
      <c r="D196" s="1619"/>
      <c r="E196" s="794">
        <v>17.1</v>
      </c>
      <c r="F196" s="919" cm="1" t="str">
        <f t="array" ref="F196:F196">OFFSET(G196,-1,-1)</f>
        <v>1</v>
      </c>
      <c r="G196" s="1619"/>
      <c r="H196" s="1619"/>
      <c r="I196" s="1619"/>
      <c r="J196" s="1619"/>
      <c r="K196" s="1619"/>
      <c r="L196" s="919" cm="1" t="str">
        <f t="array" ref="L196:L196">OFFSET(M196,-1,-1)</f>
        <v>false</v>
      </c>
      <c r="M196" s="1619"/>
      <c r="N196" s="1619"/>
      <c r="O196" s="1619"/>
      <c r="P196" s="1619"/>
      <c r="Q196" s="1619"/>
      <c r="R196" s="919" t="s">
        <v>725</v>
      </c>
      <c r="S196" s="156" cm="1" t="str">
        <f t="array" ref="S196:S196">OFFSET(T196,-1,-1)</f>
        <v>true</v>
      </c>
      <c r="T196" s="156">
        <f>AND(L196,AD196&lt;&gt;"25.0")</f>
        <v>0</v>
      </c>
      <c r="U196" s="816">
        <f>AND(S196,IF(ISBLANK(T196),TRUE,T196))</f>
        <v>0</v>
      </c>
      <c r="V196" s="1619"/>
      <c r="W196" s="1619"/>
      <c r="X196" s="156" t="str">
        <f>'Топливо 4.4'!$AE$192&amp;'Топливо 4.4'!$AF$192</f>
        <v>Уголь бурыйБ</v>
      </c>
      <c r="Y196" s="1619"/>
      <c r="Z196" s="1619"/>
      <c r="AA196" s="1619"/>
      <c r="AB196" s="1483"/>
      <c r="AC196" s="1619"/>
      <c r="AD196" s="157" t="s">
        <v>905</v>
      </c>
      <c r="AE196" s="971" cm="1" t="str">
        <f t="array" ref="AE196:AE196">IF(ISBLANK('Топливо 4.4'!$AE$192),"",'Топливо 4.4'!$AE$192)</f>
        <v>Уголь бурый</v>
      </c>
      <c r="AF196" s="622" cm="1" t="str">
        <f t="array" ref="AF196:AF196">IF(ISBLANK('Топливо 4.4'!$AF$192),"",'Топливо 4.4'!$AF$192)</f>
        <v>Б</v>
      </c>
      <c r="AG196" s="1011" t="s">
        <v>805</v>
      </c>
      <c r="AH196" s="86">
        <f>AH$163*AH192</f>
        <v>0</v>
      </c>
      <c r="AI196" s="87">
        <f>AI$163*AI192</f>
        <v>0</v>
      </c>
      <c r="AJ196" s="87">
        <f>AJ$163*AJ192</f>
        <v>0</v>
      </c>
      <c r="AK196" s="87">
        <f>AK$163*AK192</f>
        <v>0</v>
      </c>
      <c r="AL196" s="859">
        <f>AM196+AN196</f>
        <v>4485.9999935</v>
      </c>
      <c r="AM196" s="87">
        <f>AM$163*AM192</f>
        <v>3353.0394112</v>
      </c>
      <c r="AN196" s="87">
        <f>AN$163*AN192</f>
        <v>1132.9605823</v>
      </c>
      <c r="AO196" s="859">
        <f>AP196+AQ196</f>
        <v>4735.998484</v>
      </c>
      <c r="AP196" s="976">
        <f>AP$163*AP192</f>
        <v>3539.8995968</v>
      </c>
      <c r="AQ196" s="976">
        <f>AQ$163*AQ192</f>
        <v>1196.0988872</v>
      </c>
      <c r="AR196" s="859">
        <f>AS196+AT196</f>
        <v>4914.9996015</v>
      </c>
      <c r="AS196" s="976">
        <f>AS$163*AS192</f>
        <v>3673.6931328</v>
      </c>
      <c r="AT196" s="976">
        <f>AT$163*AT192</f>
        <v>1241.3064687</v>
      </c>
      <c r="AU196" s="859">
        <f>AV196+AW196</f>
        <v>5100.9992955</v>
      </c>
      <c r="AV196" s="976">
        <f>AV$163*AV192</f>
        <v>3812.7177216</v>
      </c>
      <c r="AW196" s="976">
        <f>AW$163*AW192</f>
        <v>1288.2815739</v>
      </c>
      <c r="AX196" s="859">
        <f>AY196+AZ196</f>
        <v>5295.0043105</v>
      </c>
      <c r="AY196" s="976">
        <f>AY$163*AY192</f>
        <v>3957.7258496</v>
      </c>
      <c r="AZ196" s="976">
        <f>AZ$163*AZ192</f>
        <v>1337.2784609</v>
      </c>
      <c r="BA196" s="859">
        <f>BB196+BC196</f>
        <v>0</v>
      </c>
      <c r="BB196" s="87">
        <f>BB$163*BB192</f>
        <v>0</v>
      </c>
      <c r="BC196" s="87">
        <f>BC$163*BC192</f>
        <v>0</v>
      </c>
      <c r="BD196" s="859">
        <f>BE196+BF196</f>
        <v>0</v>
      </c>
      <c r="BE196" s="87">
        <f>BE$163*BE192</f>
        <v>0</v>
      </c>
      <c r="BF196" s="87">
        <f>BF$163*BF192</f>
        <v>0</v>
      </c>
      <c r="BG196" s="859">
        <f>BH196+BI196</f>
        <v>0</v>
      </c>
      <c r="BH196" s="87">
        <f>BH$163*BH192</f>
        <v>0</v>
      </c>
      <c r="BI196" s="87">
        <f>BI$163*BI192</f>
        <v>0</v>
      </c>
      <c r="BJ196" s="859">
        <f>BK196+BL196</f>
        <v>0</v>
      </c>
      <c r="BK196" s="87">
        <f>BK$163*BK192</f>
        <v>0</v>
      </c>
      <c r="BL196" s="87">
        <f>BL$163*BL192</f>
        <v>0</v>
      </c>
      <c r="BM196" s="859">
        <f>BN196+BO196</f>
        <v>0</v>
      </c>
      <c r="BN196" s="87">
        <f>BN$163*BN192</f>
        <v>0</v>
      </c>
      <c r="BO196" s="87">
        <f>BO$163*BO192</f>
        <v>0</v>
      </c>
      <c r="BP196" s="859">
        <f>BQ196+BR196</f>
        <v>3879.0440814893</v>
      </c>
      <c r="BQ196" s="976">
        <f>BQ$163*BQ192</f>
        <v>2899.37309448543</v>
      </c>
      <c r="BR196" s="976">
        <f>BR$163*BR192</f>
        <v>979.670987003866</v>
      </c>
      <c r="BS196" s="859">
        <f>BT196+BU196</f>
        <v>4049.72384966631</v>
      </c>
      <c r="BT196" s="976">
        <f>BT$163*BT192</f>
        <v>3026.94687741482</v>
      </c>
      <c r="BU196" s="976">
        <f>BU$163*BU192</f>
        <v>1022.77697225149</v>
      </c>
      <c r="BV196" s="859">
        <f>BW196+BX196</f>
        <v>4159.06399719003</v>
      </c>
      <c r="BW196" s="976">
        <f>BW$163*BW192</f>
        <v>3108.6726519143</v>
      </c>
      <c r="BX196" s="976">
        <f>BX$163*BX192</f>
        <v>1050.39134527573</v>
      </c>
      <c r="BY196" s="859">
        <f>BZ196+CA196</f>
        <v>4271.35876361082</v>
      </c>
      <c r="BZ196" s="976">
        <f>BZ$163*BZ192</f>
        <v>3192.60684229013</v>
      </c>
      <c r="CA196" s="976">
        <f>CA$163*CA192</f>
        <v>1078.75192132069</v>
      </c>
      <c r="CB196" s="859">
        <f>CC196+CD196</f>
        <v>4386.68514225501</v>
      </c>
      <c r="CC196" s="976">
        <f>CC$163*CC192</f>
        <v>3278.80699683878</v>
      </c>
      <c r="CD196" s="976">
        <f>CD$163*CD192</f>
        <v>1107.87814541623</v>
      </c>
      <c r="CE196" s="859">
        <f>CF196+CG196</f>
        <v>0</v>
      </c>
      <c r="CF196" s="87">
        <f>CF$163*CF192</f>
        <v>0</v>
      </c>
      <c r="CG196" s="87">
        <f>CG$163*CG192</f>
        <v>0</v>
      </c>
      <c r="CH196" s="859">
        <f>CI196+CJ196</f>
        <v>0</v>
      </c>
      <c r="CI196" s="87">
        <f>CI$163*CI192</f>
        <v>0</v>
      </c>
      <c r="CJ196" s="87">
        <f>CJ$163*CJ192</f>
        <v>0</v>
      </c>
      <c r="CK196" s="859">
        <f>CL196+CM196</f>
        <v>0</v>
      </c>
      <c r="CL196" s="87">
        <f>CL$163*CL192</f>
        <v>0</v>
      </c>
      <c r="CM196" s="87">
        <f>CM$163*CM192</f>
        <v>0</v>
      </c>
      <c r="CN196" s="859">
        <f>CO196+CP196</f>
        <v>0</v>
      </c>
      <c r="CO196" s="87">
        <f>CO$163*CO192</f>
        <v>0</v>
      </c>
      <c r="CP196" s="87">
        <f>CP$163*CP192</f>
        <v>0</v>
      </c>
      <c r="CQ196" s="859">
        <f>CR196+CS196</f>
        <v>0</v>
      </c>
      <c r="CR196" s="87">
        <f>CR$163*CR192</f>
        <v>0</v>
      </c>
      <c r="CS196" s="87">
        <f>CS$163*CS192</f>
        <v>0</v>
      </c>
      <c r="CT196" s="73"/>
      <c r="CU196" s="1619"/>
      <c r="CV196" s="1619"/>
      <c r="CW196" s="1170" t="s">
        <v>810</v>
      </c>
      <c r="CX196" s="1175" t="s">
        <v>787</v>
      </c>
      <c r="CY196" s="1179" cm="1" t="str">
        <f t="array" ref="CY196:CY196">AE196</f>
        <v>Уголь бурый</v>
      </c>
      <c r="CZ196" s="1179" cm="1" t="str">
        <f t="array" ref="CZ196:CZ196">AF196</f>
        <v>Б</v>
      </c>
      <c r="DA196" s="1176"/>
      <c r="DB196" s="1176"/>
    </row>
    <row s="1619" customFormat="1" customHeight="1" ht="15" hidden="1">
      <c r="A197" s="1440"/>
      <c r="B197" s="924"/>
      <c r="C197" s="1440"/>
      <c r="D197" s="1440"/>
      <c r="E197" s="794">
        <v>0</v>
      </c>
      <c r="F197" s="919" cm="1" t="str">
        <f t="array" ref="F197:F197">OFFSET(G197,-1,-1)</f>
        <v>1</v>
      </c>
      <c r="G197" s="962"/>
      <c r="H197" s="962"/>
      <c r="I197" s="962"/>
      <c r="J197" s="962"/>
      <c r="K197" s="962"/>
      <c r="L197" s="919" cm="1" t="str">
        <f t="array" ref="L197:L197">OFFSET(M197,-1,-1)</f>
        <v>false</v>
      </c>
      <c r="M197" s="962"/>
      <c r="N197" s="962"/>
      <c r="O197" s="962"/>
      <c r="P197" s="962"/>
      <c r="Q197" s="962"/>
      <c r="R197" s="1440"/>
      <c r="S197" s="156" cm="1" t="str">
        <f t="array" ref="S197:S197">OFFSET(T197,-1,-1)</f>
        <v>true</v>
      </c>
      <c r="T197" s="1440"/>
      <c r="U197" s="816">
        <f>AND(S197,IF(ISBLANK(T197),TRUE,T197))</f>
        <v>1</v>
      </c>
      <c r="V197" s="1440"/>
      <c r="W197" s="1440"/>
      <c r="X197" s="970" t="str">
        <f>"{                  
         funcDyn: 'msg1',
         blok: 'blok_2',
         wsCross: 'Топливо 4.4',
         linkFormula: 'AE-AE#AF-AF',
         levelDyn: "&amp;Y139&amp;"
}"</f>
        <v>{                  
         funcDyn: 'msg1',
         blok: 'blok_2',
         wsCross: 'Топливо 4.4',
         linkFormula: 'AE-AE#AF-AF',
         levelDyn: 1
}</v>
      </c>
      <c r="Y197" s="1440"/>
      <c r="Z197" s="1440"/>
      <c r="AA197" s="817"/>
      <c r="AB197" s="1484"/>
      <c r="AC197" s="1619"/>
      <c r="AD197" s="973"/>
      <c r="AE197" s="972" t="s">
        <v>235</v>
      </c>
      <c r="AF197" s="871"/>
      <c r="AG197" s="1011"/>
      <c r="AH197" s="858"/>
      <c r="AI197" s="860"/>
      <c r="AJ197" s="860"/>
      <c r="AK197" s="860"/>
      <c r="AL197" s="860"/>
      <c r="AM197" s="860"/>
      <c r="AN197" s="860"/>
      <c r="AO197" s="860"/>
      <c r="AP197" s="860"/>
      <c r="AQ197" s="860"/>
      <c r="AR197" s="860"/>
      <c r="AS197" s="860"/>
      <c r="AT197" s="860"/>
      <c r="AU197" s="860"/>
      <c r="AV197" s="860"/>
      <c r="AW197" s="860"/>
      <c r="AX197" s="860"/>
      <c r="AY197" s="860"/>
      <c r="AZ197" s="860"/>
      <c r="BA197" s="860"/>
      <c r="BB197" s="860"/>
      <c r="BC197" s="860"/>
      <c r="BD197" s="860"/>
      <c r="BE197" s="860"/>
      <c r="BF197" s="860"/>
      <c r="BG197" s="860"/>
      <c r="BH197" s="860"/>
      <c r="BI197" s="860"/>
      <c r="BJ197" s="860"/>
      <c r="BK197" s="860"/>
      <c r="BL197" s="860"/>
      <c r="BM197" s="860"/>
      <c r="BN197" s="860"/>
      <c r="BO197" s="860"/>
      <c r="BP197" s="860"/>
      <c r="BQ197" s="860"/>
      <c r="BR197" s="860"/>
      <c r="BS197" s="860"/>
      <c r="BT197" s="860"/>
      <c r="BU197" s="860"/>
      <c r="BV197" s="860"/>
      <c r="BW197" s="860"/>
      <c r="BX197" s="860"/>
      <c r="BY197" s="860"/>
      <c r="BZ197" s="860"/>
      <c r="CA197" s="860"/>
      <c r="CB197" s="860"/>
      <c r="CC197" s="860"/>
      <c r="CD197" s="860"/>
      <c r="CE197" s="860"/>
      <c r="CF197" s="860"/>
      <c r="CG197" s="860"/>
      <c r="CH197" s="860"/>
      <c r="CI197" s="860"/>
      <c r="CJ197" s="860"/>
      <c r="CK197" s="860"/>
      <c r="CL197" s="860"/>
      <c r="CM197" s="860"/>
      <c r="CN197" s="860"/>
      <c r="CO197" s="860"/>
      <c r="CP197" s="860"/>
      <c r="CQ197" s="860"/>
      <c r="CR197" s="860"/>
      <c r="CS197" s="860"/>
      <c r="CT197" s="91"/>
      <c r="CU197" s="1619"/>
      <c r="CV197" s="1619"/>
      <c r="CW197" s="1170" t="str">
        <f>IF(AND(ISNUMBER(VALUE(TRIM(SUBSTITUTE(AD197,".","")))),TRIM(SUBSTITUTE(AD197,".",""))&lt;&gt;""),"P"&amp;SUBSTITUTE(AD197,".",""),"")</f>
        <v/>
      </c>
      <c r="CX197" s="1175"/>
      <c r="CY197" s="1175"/>
      <c r="CZ197" s="1175"/>
      <c r="DA197" s="1176"/>
      <c r="DB197" s="1176"/>
    </row>
    <row s="1619" customFormat="1" customHeight="1" ht="16.5">
      <c r="A198" s="1440"/>
      <c r="B198" s="924"/>
      <c r="C198" s="1440"/>
      <c r="D198" s="1440"/>
      <c r="E198" s="794">
        <v>17.1</v>
      </c>
      <c r="F198" s="919" cm="1" t="str">
        <f t="array" ref="F198:F198">OFFSET(G198,-1,-1)</f>
        <v>1</v>
      </c>
      <c r="G198" s="962"/>
      <c r="H198" s="962"/>
      <c r="I198" s="962"/>
      <c r="J198" s="962"/>
      <c r="K198" s="962"/>
      <c r="L198" s="919" cm="1" t="str">
        <f t="array" ref="L198:L198">OFFSET(M198,-1,-1)</f>
        <v>false</v>
      </c>
      <c r="M198" s="962"/>
      <c r="N198" s="962"/>
      <c r="O198" s="962"/>
      <c r="P198" s="962"/>
      <c r="Q198" s="962"/>
      <c r="R198" s="1440"/>
      <c r="S198" s="156" cm="1" t="str">
        <f t="array" ref="S198:S198">OFFSET(T198,-1,-1)</f>
        <v>true</v>
      </c>
      <c r="T198" s="1440"/>
      <c r="U198" s="816">
        <f>AND(S198,IF(ISBLANK(T198),TRUE,T198))</f>
        <v>1</v>
      </c>
      <c r="V198" s="1440"/>
      <c r="W198" s="1440"/>
      <c r="X198" s="1440"/>
      <c r="Y198" s="1440"/>
      <c r="Z198" s="1440"/>
      <c r="AA198" s="817"/>
      <c r="AB198" s="1488" t="s">
        <v>812</v>
      </c>
      <c r="AC198" s="1619"/>
      <c r="AD198" s="170">
        <v>26</v>
      </c>
      <c r="AE198" s="1494" t="s">
        <v>813</v>
      </c>
      <c r="AF198" s="320"/>
      <c r="AG198" s="1007"/>
      <c r="AH198" s="858"/>
      <c r="AI198" s="860"/>
      <c r="AJ198" s="860"/>
      <c r="AK198" s="860"/>
      <c r="AL198" s="860"/>
      <c r="AM198" s="860"/>
      <c r="AN198" s="860"/>
      <c r="AO198" s="860"/>
      <c r="AP198" s="860"/>
      <c r="AQ198" s="860"/>
      <c r="AR198" s="860"/>
      <c r="AS198" s="860"/>
      <c r="AT198" s="860"/>
      <c r="AU198" s="860"/>
      <c r="AV198" s="860"/>
      <c r="AW198" s="860"/>
      <c r="AX198" s="860"/>
      <c r="AY198" s="860"/>
      <c r="AZ198" s="860"/>
      <c r="BA198" s="860"/>
      <c r="BB198" s="860"/>
      <c r="BC198" s="860"/>
      <c r="BD198" s="860"/>
      <c r="BE198" s="860"/>
      <c r="BF198" s="860"/>
      <c r="BG198" s="860"/>
      <c r="BH198" s="860"/>
      <c r="BI198" s="860"/>
      <c r="BJ198" s="860"/>
      <c r="BK198" s="860"/>
      <c r="BL198" s="860"/>
      <c r="BM198" s="860"/>
      <c r="BN198" s="860"/>
      <c r="BO198" s="860"/>
      <c r="BP198" s="860"/>
      <c r="BQ198" s="860"/>
      <c r="BR198" s="860"/>
      <c r="BS198" s="860"/>
      <c r="BT198" s="860"/>
      <c r="BU198" s="860"/>
      <c r="BV198" s="860"/>
      <c r="BW198" s="860"/>
      <c r="BX198" s="860"/>
      <c r="BY198" s="860"/>
      <c r="BZ198" s="860"/>
      <c r="CA198" s="860"/>
      <c r="CB198" s="860"/>
      <c r="CC198" s="860"/>
      <c r="CD198" s="860"/>
      <c r="CE198" s="860"/>
      <c r="CF198" s="860"/>
      <c r="CG198" s="860"/>
      <c r="CH198" s="860"/>
      <c r="CI198" s="860"/>
      <c r="CJ198" s="860"/>
      <c r="CK198" s="860"/>
      <c r="CL198" s="860"/>
      <c r="CM198" s="860"/>
      <c r="CN198" s="860"/>
      <c r="CO198" s="860"/>
      <c r="CP198" s="860"/>
      <c r="CQ198" s="860"/>
      <c r="CR198" s="860"/>
      <c r="CS198" s="860"/>
      <c r="CT198" s="1730"/>
      <c r="CU198" s="1619"/>
      <c r="CV198" s="1619"/>
      <c r="CW198" s="1170" t="s">
        <v>814</v>
      </c>
      <c r="CX198" s="1175"/>
      <c r="CY198" s="1175"/>
      <c r="CZ198" s="1175"/>
      <c r="DA198" s="1176"/>
      <c r="DB198" s="1176"/>
    </row>
    <row s="1619" customFormat="1" customHeight="1" ht="16.5" hidden="1">
      <c r="E199" s="794">
        <v>17.1</v>
      </c>
      <c r="F199" s="919" cm="1" t="str">
        <f t="array" ref="F199:F199">OFFSET(G199,-1,-1)</f>
        <v>1</v>
      </c>
      <c r="L199" s="919" cm="1" t="str">
        <f t="array" ref="L199:L199">OFFSET(M199,-1,-1)</f>
        <v>false</v>
      </c>
      <c r="S199" s="156" cm="1" t="str">
        <f t="array" ref="S199:S199">OFFSET(T199,-1,-1)</f>
        <v>true</v>
      </c>
      <c r="T199" s="156">
        <f>AD199&lt;&gt;"26.0"</f>
        <v>0</v>
      </c>
      <c r="U199" s="816">
        <f>AND(S199,IF(ISBLANK(T199),TRUE,T199))</f>
        <v>0</v>
      </c>
      <c r="X199" s="156" t="s">
        <v>233</v>
      </c>
      <c r="AB199" s="1489"/>
      <c r="AD199" s="157" t="s">
        <v>815</v>
      </c>
      <c r="AE199" s="971"/>
      <c r="AF199" s="622"/>
      <c r="AG199" s="856" t="s">
        <v>490</v>
      </c>
      <c r="AH199" s="90"/>
      <c r="AI199" s="94"/>
      <c r="AJ199" s="94"/>
      <c r="AK199" s="94"/>
      <c r="AL199" s="860"/>
      <c r="AM199" s="87"/>
      <c r="AN199" s="87"/>
      <c r="AO199" s="860"/>
      <c r="AP199" s="981"/>
      <c r="AQ199" s="981"/>
      <c r="AR199" s="860"/>
      <c r="AS199" s="981"/>
      <c r="AT199" s="981"/>
      <c r="AU199" s="860"/>
      <c r="AV199" s="981"/>
      <c r="AW199" s="981"/>
      <c r="AX199" s="860"/>
      <c r="AY199" s="981"/>
      <c r="AZ199" s="981"/>
      <c r="BA199" s="860"/>
      <c r="BB199" s="94"/>
      <c r="BC199" s="94"/>
      <c r="BD199" s="860"/>
      <c r="BE199" s="94"/>
      <c r="BF199" s="94"/>
      <c r="BG199" s="860"/>
      <c r="BH199" s="94"/>
      <c r="BI199" s="94"/>
      <c r="BJ199" s="860"/>
      <c r="BK199" s="94"/>
      <c r="BL199" s="94"/>
      <c r="BM199" s="860"/>
      <c r="BN199" s="94"/>
      <c r="BO199" s="94"/>
      <c r="BP199" s="860"/>
      <c r="BQ199" s="981"/>
      <c r="BR199" s="981"/>
      <c r="BS199" s="860"/>
      <c r="BT199" s="981"/>
      <c r="BU199" s="981"/>
      <c r="BV199" s="860"/>
      <c r="BW199" s="981"/>
      <c r="BX199" s="981"/>
      <c r="BY199" s="860"/>
      <c r="BZ199" s="981"/>
      <c r="CA199" s="981"/>
      <c r="CB199" s="860"/>
      <c r="CC199" s="981"/>
      <c r="CD199" s="981"/>
      <c r="CE199" s="860"/>
      <c r="CF199" s="94"/>
      <c r="CG199" s="94"/>
      <c r="CH199" s="860"/>
      <c r="CI199" s="94"/>
      <c r="CJ199" s="94"/>
      <c r="CK199" s="860"/>
      <c r="CL199" s="94"/>
      <c r="CM199" s="94"/>
      <c r="CN199" s="860"/>
      <c r="CO199" s="94"/>
      <c r="CP199" s="94"/>
      <c r="CQ199" s="860"/>
      <c r="CR199" s="94"/>
      <c r="CS199" s="94"/>
      <c r="CT199" s="73"/>
      <c r="CW199" s="1170" t="s">
        <v>814</v>
      </c>
      <c r="CX199" s="1175" t="s">
        <v>787</v>
      </c>
      <c r="CY199" s="1179" cm="1" t="str">
        <f t="array" ref="CY199:CY199">AE199</f>
        <v>0</v>
      </c>
      <c r="CZ199" s="1179" cm="1" t="str">
        <f t="array" ref="CZ199:CZ199">AF199</f>
        <v>0</v>
      </c>
      <c r="DA199" s="1176"/>
      <c r="DB199" s="1176"/>
    </row>
    <row s="1619" customFormat="1" customHeight="1" ht="16.5">
      <c r="A200" s="1619"/>
      <c r="B200" s="1619"/>
      <c r="C200" s="1619"/>
      <c r="D200" s="1619"/>
      <c r="E200" s="794">
        <v>17.1</v>
      </c>
      <c r="F200" s="919" cm="1" t="str">
        <f t="array" ref="F200:F200">OFFSET(G200,-1,-1)</f>
        <v>1</v>
      </c>
      <c r="G200" s="1619"/>
      <c r="H200" s="1619"/>
      <c r="I200" s="1619"/>
      <c r="J200" s="1619"/>
      <c r="K200" s="1619"/>
      <c r="L200" s="919" cm="1" t="str">
        <f t="array" ref="L200:L200">OFFSET(M200,-1,-1)</f>
        <v>false</v>
      </c>
      <c r="M200" s="1619"/>
      <c r="N200" s="1619"/>
      <c r="O200" s="1619"/>
      <c r="P200" s="1619"/>
      <c r="Q200" s="1619"/>
      <c r="R200" s="1619"/>
      <c r="S200" s="156" cm="1" t="str">
        <f t="array" ref="S200:S200">OFFSET(T200,-1,-1)</f>
        <v>true</v>
      </c>
      <c r="T200" s="156">
        <f>AD200&lt;&gt;"26.0"</f>
        <v>1</v>
      </c>
      <c r="U200" s="816">
        <f>AND(S200,IF(ISBLANK(T200),TRUE,T200))</f>
        <v>1</v>
      </c>
      <c r="V200" s="1619"/>
      <c r="W200" s="1619"/>
      <c r="X200" s="156" t="str">
        <f>'Топливо 4.4'!$AE$196&amp;'Топливо 4.4'!$AF$196</f>
        <v>Уголь бурыйБ</v>
      </c>
      <c r="Y200" s="1619"/>
      <c r="Z200" s="1619"/>
      <c r="AA200" s="1619"/>
      <c r="AB200" s="1489"/>
      <c r="AC200" s="1619"/>
      <c r="AD200" s="157" t="s">
        <v>906</v>
      </c>
      <c r="AE200" s="971" cm="1" t="str">
        <f t="array" ref="AE200:AE200">IF(ISBLANK('Топливо 4.4'!$AE$196),"",'Топливо 4.4'!$AE$196)</f>
        <v>Уголь бурый</v>
      </c>
      <c r="AF200" s="622" cm="1" t="str">
        <f t="array" ref="AF200:AF200">IF(ISBLANK('Топливо 4.4'!$AF$196),"",'Топливо 4.4'!$AF$196)</f>
        <v>Б</v>
      </c>
      <c r="AG200" s="856" t="s">
        <v>490</v>
      </c>
      <c r="AH200" s="1772"/>
      <c r="AI200" s="1777"/>
      <c r="AJ200" s="1777"/>
      <c r="AK200" s="1777"/>
      <c r="AL200" s="860"/>
      <c r="AM200" s="1766"/>
      <c r="AN200" s="1766"/>
      <c r="AO200" s="860"/>
      <c r="AP200" s="981"/>
      <c r="AQ200" s="981"/>
      <c r="AR200" s="860"/>
      <c r="AS200" s="981"/>
      <c r="AT200" s="981"/>
      <c r="AU200" s="860"/>
      <c r="AV200" s="981"/>
      <c r="AW200" s="981"/>
      <c r="AX200" s="860"/>
      <c r="AY200" s="981"/>
      <c r="AZ200" s="981"/>
      <c r="BA200" s="860"/>
      <c r="BB200" s="1777"/>
      <c r="BC200" s="1777"/>
      <c r="BD200" s="860"/>
      <c r="BE200" s="1777"/>
      <c r="BF200" s="1777"/>
      <c r="BG200" s="860"/>
      <c r="BH200" s="1777"/>
      <c r="BI200" s="1777"/>
      <c r="BJ200" s="860"/>
      <c r="BK200" s="1777"/>
      <c r="BL200" s="1777"/>
      <c r="BM200" s="860"/>
      <c r="BN200" s="1777"/>
      <c r="BO200" s="1777"/>
      <c r="BP200" s="860"/>
      <c r="BQ200" s="981"/>
      <c r="BR200" s="981"/>
      <c r="BS200" s="860"/>
      <c r="BT200" s="981"/>
      <c r="BU200" s="981"/>
      <c r="BV200" s="860"/>
      <c r="BW200" s="981"/>
      <c r="BX200" s="981"/>
      <c r="BY200" s="860"/>
      <c r="BZ200" s="981"/>
      <c r="CA200" s="981"/>
      <c r="CB200" s="860"/>
      <c r="CC200" s="981"/>
      <c r="CD200" s="981"/>
      <c r="CE200" s="860"/>
      <c r="CF200" s="1777"/>
      <c r="CG200" s="1777"/>
      <c r="CH200" s="860"/>
      <c r="CI200" s="1777"/>
      <c r="CJ200" s="1777"/>
      <c r="CK200" s="860"/>
      <c r="CL200" s="1777"/>
      <c r="CM200" s="1777"/>
      <c r="CN200" s="860"/>
      <c r="CO200" s="1777"/>
      <c r="CP200" s="1777"/>
      <c r="CQ200" s="860"/>
      <c r="CR200" s="1777"/>
      <c r="CS200" s="1777"/>
      <c r="CT200" s="1730"/>
      <c r="CU200" s="1619"/>
      <c r="CV200" s="1619"/>
      <c r="CW200" s="1170" t="s">
        <v>814</v>
      </c>
      <c r="CX200" s="1175" t="s">
        <v>787</v>
      </c>
      <c r="CY200" s="1179" cm="1" t="str">
        <f t="array" ref="CY200:CY200">AE200</f>
        <v>Уголь бурый</v>
      </c>
      <c r="CZ200" s="1179" cm="1" t="str">
        <f t="array" ref="CZ200:CZ200">AF200</f>
        <v>Б</v>
      </c>
      <c r="DA200" s="1176"/>
      <c r="DB200" s="1176"/>
    </row>
    <row s="1619" customFormat="1" customHeight="1" ht="15" hidden="1">
      <c r="A201" s="1440"/>
      <c r="B201" s="924"/>
      <c r="C201" s="1440"/>
      <c r="D201" s="1440"/>
      <c r="E201" s="794">
        <v>0</v>
      </c>
      <c r="F201" s="919" cm="1" t="str">
        <f t="array" ref="F201:F201">OFFSET(G201,-1,-1)</f>
        <v>1</v>
      </c>
      <c r="G201" s="962"/>
      <c r="H201" s="962"/>
      <c r="I201" s="962"/>
      <c r="J201" s="962"/>
      <c r="K201" s="962"/>
      <c r="L201" s="919" cm="1" t="str">
        <f t="array" ref="L201:L201">OFFSET(M201,-1,-1)</f>
        <v>false</v>
      </c>
      <c r="M201" s="962"/>
      <c r="N201" s="962"/>
      <c r="O201" s="962"/>
      <c r="P201" s="962"/>
      <c r="Q201" s="962"/>
      <c r="R201" s="1440"/>
      <c r="S201" s="156" cm="1" t="str">
        <f t="array" ref="S201:S201">OFFSET(T201,-1,-1)</f>
        <v>true</v>
      </c>
      <c r="T201" s="1440"/>
      <c r="U201" s="816">
        <f>AND(S201,IF(ISBLANK(T201),TRUE,T201))</f>
        <v>1</v>
      </c>
      <c r="V201" s="1440"/>
      <c r="W201" s="1440"/>
      <c r="X201" s="970" t="str">
        <f>"{                  
         funcDyn: 'msg1',
         blok: 'blok_2',
         wsCross: 'Топливо 4.4',
         linkFormula: 'AE-AE#AF-AF',
         levelDyn: "&amp;Y139&amp;"
}"</f>
        <v>{                  
         funcDyn: 'msg1',
         blok: 'blok_2',
         wsCross: 'Топливо 4.4',
         linkFormula: 'AE-AE#AF-AF',
         levelDyn: 1
}</v>
      </c>
      <c r="Y201" s="1440"/>
      <c r="Z201" s="1440"/>
      <c r="AA201" s="817"/>
      <c r="AB201" s="1489"/>
      <c r="AC201" s="1619"/>
      <c r="AD201" s="973"/>
      <c r="AE201" s="972" t="s">
        <v>235</v>
      </c>
      <c r="AF201" s="871"/>
      <c r="AG201" s="856"/>
      <c r="AH201" s="873"/>
      <c r="AI201" s="95"/>
      <c r="AJ201" s="95"/>
      <c r="AK201" s="95"/>
      <c r="AL201" s="860"/>
      <c r="AM201" s="95"/>
      <c r="AN201" s="95"/>
      <c r="AO201" s="860"/>
      <c r="AP201" s="95"/>
      <c r="AQ201" s="95"/>
      <c r="AR201" s="860"/>
      <c r="AS201" s="95"/>
      <c r="AT201" s="95"/>
      <c r="AU201" s="860"/>
      <c r="AV201" s="95"/>
      <c r="AW201" s="95"/>
      <c r="AX201" s="860"/>
      <c r="AY201" s="95"/>
      <c r="AZ201" s="95"/>
      <c r="BA201" s="860"/>
      <c r="BB201" s="95"/>
      <c r="BC201" s="95"/>
      <c r="BD201" s="860"/>
      <c r="BE201" s="95"/>
      <c r="BF201" s="95"/>
      <c r="BG201" s="860"/>
      <c r="BH201" s="95"/>
      <c r="BI201" s="95"/>
      <c r="BJ201" s="860"/>
      <c r="BK201" s="95"/>
      <c r="BL201" s="95"/>
      <c r="BM201" s="860"/>
      <c r="BN201" s="95"/>
      <c r="BO201" s="95"/>
      <c r="BP201" s="860"/>
      <c r="BQ201" s="95"/>
      <c r="BR201" s="95"/>
      <c r="BS201" s="860"/>
      <c r="BT201" s="95"/>
      <c r="BU201" s="95"/>
      <c r="BV201" s="860"/>
      <c r="BW201" s="95"/>
      <c r="BX201" s="95"/>
      <c r="BY201" s="860"/>
      <c r="BZ201" s="95"/>
      <c r="CA201" s="95"/>
      <c r="CB201" s="860"/>
      <c r="CC201" s="95"/>
      <c r="CD201" s="95"/>
      <c r="CE201" s="860"/>
      <c r="CF201" s="95"/>
      <c r="CG201" s="95"/>
      <c r="CH201" s="860"/>
      <c r="CI201" s="95"/>
      <c r="CJ201" s="95"/>
      <c r="CK201" s="860"/>
      <c r="CL201" s="95"/>
      <c r="CM201" s="95"/>
      <c r="CN201" s="860"/>
      <c r="CO201" s="95"/>
      <c r="CP201" s="95"/>
      <c r="CQ201" s="860"/>
      <c r="CR201" s="95"/>
      <c r="CS201" s="95"/>
      <c r="CT201" s="91"/>
      <c r="CU201" s="1619"/>
      <c r="CV201" s="1619"/>
      <c r="CW201" s="1170" t="str">
        <f>IF(AND(ISNUMBER(VALUE(TRIM(SUBSTITUTE(AD201,".","")))),TRIM(SUBSTITUTE(AD201,".",""))&lt;&gt;""),"P"&amp;SUBSTITUTE(AD201,".",""),"")</f>
        <v/>
      </c>
      <c r="CX201" s="1175"/>
      <c r="CY201" s="1175"/>
      <c r="CZ201" s="1175"/>
      <c r="DA201" s="1176"/>
      <c r="DB201" s="1176"/>
    </row>
    <row s="1619" customFormat="1" customHeight="1" ht="16.5">
      <c r="A202" s="1440"/>
      <c r="B202" s="924"/>
      <c r="C202" s="1440"/>
      <c r="D202" s="1440"/>
      <c r="E202" s="794">
        <v>17.1</v>
      </c>
      <c r="F202" s="919" cm="1" t="str">
        <f t="array" ref="F202:F202">OFFSET(G202,-1,-1)</f>
        <v>1</v>
      </c>
      <c r="G202" s="962"/>
      <c r="H202" s="962"/>
      <c r="I202" s="962"/>
      <c r="J202" s="962"/>
      <c r="K202" s="962"/>
      <c r="L202" s="919" cm="1" t="str">
        <f t="array" ref="L202:L202">OFFSET(M202,-1,-1)</f>
        <v>false</v>
      </c>
      <c r="M202" s="962"/>
      <c r="N202" s="962"/>
      <c r="O202" s="962"/>
      <c r="P202" s="962"/>
      <c r="Q202" s="962"/>
      <c r="R202" s="1440"/>
      <c r="S202" s="156" cm="1" t="str">
        <f t="array" ref="S202:S202">OFFSET(T202,-1,-1)</f>
        <v>true</v>
      </c>
      <c r="T202" s="1440"/>
      <c r="U202" s="816">
        <f>AND(S202,IF(ISBLANK(T202),TRUE,T202))</f>
        <v>1</v>
      </c>
      <c r="V202" s="1440"/>
      <c r="W202" s="1440"/>
      <c r="X202" s="1440"/>
      <c r="Y202" s="1440"/>
      <c r="Z202" s="1440"/>
      <c r="AA202" s="817"/>
      <c r="AB202" s="1489"/>
      <c r="AC202" s="1619"/>
      <c r="AD202" s="170">
        <v>27</v>
      </c>
      <c r="AE202" s="1494" t="s">
        <v>816</v>
      </c>
      <c r="AF202" s="320"/>
      <c r="AG202" s="1007"/>
      <c r="AH202" s="858"/>
      <c r="AI202" s="860"/>
      <c r="AJ202" s="860"/>
      <c r="AK202" s="860"/>
      <c r="AL202" s="860"/>
      <c r="AM202" s="860"/>
      <c r="AN202" s="860"/>
      <c r="AO202" s="860"/>
      <c r="AP202" s="860"/>
      <c r="AQ202" s="860"/>
      <c r="AR202" s="860"/>
      <c r="AS202" s="860"/>
      <c r="AT202" s="860"/>
      <c r="AU202" s="860"/>
      <c r="AV202" s="860"/>
      <c r="AW202" s="860"/>
      <c r="AX202" s="860"/>
      <c r="AY202" s="860"/>
      <c r="AZ202" s="860"/>
      <c r="BA202" s="860"/>
      <c r="BB202" s="860"/>
      <c r="BC202" s="860"/>
      <c r="BD202" s="860"/>
      <c r="BE202" s="860"/>
      <c r="BF202" s="860"/>
      <c r="BG202" s="860"/>
      <c r="BH202" s="860"/>
      <c r="BI202" s="860"/>
      <c r="BJ202" s="860"/>
      <c r="BK202" s="860"/>
      <c r="BL202" s="860"/>
      <c r="BM202" s="860"/>
      <c r="BN202" s="860"/>
      <c r="BO202" s="860"/>
      <c r="BP202" s="860"/>
      <c r="BQ202" s="860"/>
      <c r="BR202" s="860"/>
      <c r="BS202" s="860"/>
      <c r="BT202" s="860"/>
      <c r="BU202" s="860"/>
      <c r="BV202" s="860"/>
      <c r="BW202" s="860"/>
      <c r="BX202" s="860"/>
      <c r="BY202" s="860"/>
      <c r="BZ202" s="860"/>
      <c r="CA202" s="860"/>
      <c r="CB202" s="860"/>
      <c r="CC202" s="860"/>
      <c r="CD202" s="860"/>
      <c r="CE202" s="860"/>
      <c r="CF202" s="860"/>
      <c r="CG202" s="860"/>
      <c r="CH202" s="860"/>
      <c r="CI202" s="860"/>
      <c r="CJ202" s="860"/>
      <c r="CK202" s="860"/>
      <c r="CL202" s="860"/>
      <c r="CM202" s="860"/>
      <c r="CN202" s="860"/>
      <c r="CO202" s="860"/>
      <c r="CP202" s="860"/>
      <c r="CQ202" s="860"/>
      <c r="CR202" s="860"/>
      <c r="CS202" s="860"/>
      <c r="CT202" s="1730"/>
      <c r="CU202" s="1619"/>
      <c r="CV202" s="1619"/>
      <c r="CW202" s="1170" t="s">
        <v>817</v>
      </c>
      <c r="CX202" s="1175"/>
      <c r="CY202" s="1175"/>
      <c r="CZ202" s="1175"/>
      <c r="DA202" s="1176"/>
      <c r="DB202" s="1176"/>
    </row>
    <row s="1619" customFormat="1" customHeight="1" ht="16.5" hidden="1">
      <c r="E203" s="794">
        <v>17.1</v>
      </c>
      <c r="F203" s="919" cm="1" t="str">
        <f t="array" ref="F203:F203">OFFSET(G203,-1,-1)</f>
        <v>1</v>
      </c>
      <c r="L203" s="919" cm="1" t="str">
        <f t="array" ref="L203:L203">OFFSET(M203,-1,-1)</f>
        <v>false</v>
      </c>
      <c r="S203" s="156" cm="1" t="str">
        <f t="array" ref="S203:S203">OFFSET(T203,-1,-1)</f>
        <v>true</v>
      </c>
      <c r="T203" s="156">
        <f>AD203&lt;&gt;"27.0"</f>
        <v>0</v>
      </c>
      <c r="U203" s="816">
        <f>AND(S203,IF(ISBLANK(T203),TRUE,T203))</f>
        <v>0</v>
      </c>
      <c r="X203" s="156" t="s">
        <v>233</v>
      </c>
      <c r="AB203" s="1489"/>
      <c r="AD203" s="157" t="s">
        <v>818</v>
      </c>
      <c r="AE203" s="971"/>
      <c r="AF203" s="622"/>
      <c r="AG203" s="1067"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59">
        <f>_xlfn.IFERROR(AL208/AL178,0)*1000</f>
        <v>0</v>
      </c>
      <c r="AM203" s="87"/>
      <c r="AN203" s="87"/>
      <c r="AO203" s="859">
        <f>_xlfn.IFERROR(AO208/AO178,0)*1000</f>
        <v>0</v>
      </c>
      <c r="AP203" s="976"/>
      <c r="AQ203" s="976"/>
      <c r="AR203" s="859">
        <f>_xlfn.IFERROR(AR208/AR178,0)*1000</f>
        <v>0</v>
      </c>
      <c r="AS203" s="976"/>
      <c r="AT203" s="976"/>
      <c r="AU203" s="859">
        <f>_xlfn.IFERROR(AU208/AU178,0)*1000</f>
        <v>0</v>
      </c>
      <c r="AV203" s="976"/>
      <c r="AW203" s="976"/>
      <c r="AX203" s="859">
        <f>_xlfn.IFERROR(AX208/AX178,0)*1000</f>
        <v>0</v>
      </c>
      <c r="AY203" s="976"/>
      <c r="AZ203" s="976"/>
      <c r="BA203" s="859">
        <f>_xlfn.IFERROR(BA208/BA178,0)*1000</f>
        <v>0</v>
      </c>
      <c r="BB203" s="87"/>
      <c r="BC203" s="87"/>
      <c r="BD203" s="859">
        <f>_xlfn.IFERROR(BD208/BD178,0)*1000</f>
        <v>0</v>
      </c>
      <c r="BE203" s="87"/>
      <c r="BF203" s="87"/>
      <c r="BG203" s="859">
        <f>_xlfn.IFERROR(BG208/BG178,0)*1000</f>
        <v>0</v>
      </c>
      <c r="BH203" s="87"/>
      <c r="BI203" s="87"/>
      <c r="BJ203" s="859">
        <f>_xlfn.IFERROR(BJ208/BJ178,0)*1000</f>
        <v>0</v>
      </c>
      <c r="BK203" s="87"/>
      <c r="BL203" s="87"/>
      <c r="BM203" s="859">
        <f>_xlfn.IFERROR(BM208/BM178,0)*1000</f>
        <v>0</v>
      </c>
      <c r="BN203" s="87"/>
      <c r="BO203" s="87"/>
      <c r="BP203" s="859">
        <f>_xlfn.IFERROR(BP208/BP178,0)*1000</f>
        <v>0</v>
      </c>
      <c r="BQ203" s="976"/>
      <c r="BR203" s="976"/>
      <c r="BS203" s="859">
        <f>_xlfn.IFERROR(BS208/BS178,0)*1000</f>
        <v>0</v>
      </c>
      <c r="BT203" s="976"/>
      <c r="BU203" s="976"/>
      <c r="BV203" s="859">
        <f>_xlfn.IFERROR(BV208/BV178,0)*1000</f>
        <v>0</v>
      </c>
      <c r="BW203" s="976"/>
      <c r="BX203" s="976"/>
      <c r="BY203" s="859">
        <f>_xlfn.IFERROR(BY208/BY178,0)*1000</f>
        <v>0</v>
      </c>
      <c r="BZ203" s="976"/>
      <c r="CA203" s="976"/>
      <c r="CB203" s="859">
        <f>_xlfn.IFERROR(CB208/CB178,0)*1000</f>
        <v>0</v>
      </c>
      <c r="CC203" s="976"/>
      <c r="CD203" s="976"/>
      <c r="CE203" s="859">
        <f>_xlfn.IFERROR(CE208/CE178,0)*1000</f>
        <v>0</v>
      </c>
      <c r="CF203" s="87"/>
      <c r="CG203" s="87"/>
      <c r="CH203" s="859">
        <f>_xlfn.IFERROR(CH208/CH178,0)*1000</f>
        <v>0</v>
      </c>
      <c r="CI203" s="87"/>
      <c r="CJ203" s="87"/>
      <c r="CK203" s="859">
        <f>_xlfn.IFERROR(CK208/CK178,0)*1000</f>
        <v>0</v>
      </c>
      <c r="CL203" s="87"/>
      <c r="CM203" s="87"/>
      <c r="CN203" s="859">
        <f>_xlfn.IFERROR(CN208/CN178,0)*1000</f>
        <v>0</v>
      </c>
      <c r="CO203" s="87"/>
      <c r="CP203" s="87"/>
      <c r="CQ203" s="859">
        <f>_xlfn.IFERROR(CQ208/CQ178,0)*1000</f>
        <v>0</v>
      </c>
      <c r="CR203" s="87"/>
      <c r="CS203" s="87"/>
      <c r="CT203" s="73"/>
      <c r="CW203" s="1170" t="s">
        <v>817</v>
      </c>
      <c r="CX203" s="1175" t="s">
        <v>787</v>
      </c>
      <c r="CY203" s="1179" cm="1" t="str">
        <f t="array" ref="CY203:CY203">AE203</f>
        <v>0</v>
      </c>
      <c r="CZ203" s="1179" cm="1" t="str">
        <f t="array" ref="CZ203:CZ203">AF203</f>
        <v>0</v>
      </c>
      <c r="DA203" s="1176"/>
      <c r="DB203" s="1176"/>
    </row>
    <row s="1619" customFormat="1" customHeight="1" ht="16.5">
      <c r="A204" s="1619"/>
      <c r="B204" s="1619"/>
      <c r="C204" s="1619"/>
      <c r="D204" s="1619"/>
      <c r="E204" s="794">
        <v>17.1</v>
      </c>
      <c r="F204" s="919" cm="1" t="str">
        <f t="array" ref="F204:F204">OFFSET(G204,-1,-1)</f>
        <v>1</v>
      </c>
      <c r="G204" s="1619"/>
      <c r="H204" s="1619"/>
      <c r="I204" s="1619"/>
      <c r="J204" s="1619"/>
      <c r="K204" s="1619"/>
      <c r="L204" s="919" cm="1" t="str">
        <f t="array" ref="L204:L204">OFFSET(M204,-1,-1)</f>
        <v>false</v>
      </c>
      <c r="M204" s="1619"/>
      <c r="N204" s="1619"/>
      <c r="O204" s="1619"/>
      <c r="P204" s="1619"/>
      <c r="Q204" s="1619"/>
      <c r="R204" s="1619"/>
      <c r="S204" s="156" cm="1" t="str">
        <f t="array" ref="S204:S204">OFFSET(T204,-1,-1)</f>
        <v>true</v>
      </c>
      <c r="T204" s="156">
        <f>AD204&lt;&gt;"27.0"</f>
        <v>1</v>
      </c>
      <c r="U204" s="816">
        <f>AND(S204,IF(ISBLANK(T204),TRUE,T204))</f>
        <v>1</v>
      </c>
      <c r="V204" s="1619"/>
      <c r="W204" s="1619"/>
      <c r="X204" s="156" t="str">
        <f>'Топливо 4.4'!$AE$200&amp;'Топливо 4.4'!$AF$200</f>
        <v>Уголь бурыйБ</v>
      </c>
      <c r="Y204" s="1619"/>
      <c r="Z204" s="1619"/>
      <c r="AA204" s="1619"/>
      <c r="AB204" s="1489"/>
      <c r="AC204" s="1619"/>
      <c r="AD204" s="157" t="s">
        <v>907</v>
      </c>
      <c r="AE204" s="971" cm="1" t="str">
        <f t="array" ref="AE204:AE204">IF(ISBLANK('Топливо 4.4'!$AE$200),"",'Топливо 4.4'!$AE$200)</f>
        <v>Уголь бурый</v>
      </c>
      <c r="AF204" s="622" cm="1" t="str">
        <f t="array" ref="AF204:AF204">IF(ISBLANK('Топливо 4.4'!$AF$200),"",'Топливо 4.4'!$AF$200)</f>
        <v>Б</v>
      </c>
      <c r="AG204" s="1067" t="str">
        <f>"руб./"&amp;_xlfn.IFERROR(INDEX(fuel_ed_izm_list,MATCH(AE204,fuel_list,0)),"")</f>
        <v>руб./тнт</v>
      </c>
      <c r="AH204" s="1768">
        <f>_xlfn.IFERROR(AH209/AH179,0)*1000</f>
        <v>0</v>
      </c>
      <c r="AI204" s="1768">
        <f>_xlfn.IFERROR(AI209/AI179,0)*1000</f>
        <v>0</v>
      </c>
      <c r="AJ204" s="1768">
        <f>_xlfn.IFERROR(AJ209/AJ179,0)*1000</f>
        <v>0</v>
      </c>
      <c r="AK204" s="1768">
        <f>_xlfn.IFERROR(AK209/AK179,0)*1000</f>
        <v>0</v>
      </c>
      <c r="AL204" s="859">
        <f>_xlfn.IFERROR(AL209/AL179,0)*1000</f>
        <v>0</v>
      </c>
      <c r="AM204" s="1766"/>
      <c r="AN204" s="1766"/>
      <c r="AO204" s="859">
        <f>_xlfn.IFERROR(AO209/AO179,0)*1000</f>
        <v>0</v>
      </c>
      <c r="AP204" s="976"/>
      <c r="AQ204" s="976"/>
      <c r="AR204" s="859">
        <f>_xlfn.IFERROR(AR209/AR179,0)*1000</f>
        <v>0</v>
      </c>
      <c r="AS204" s="976"/>
      <c r="AT204" s="976"/>
      <c r="AU204" s="859">
        <f>_xlfn.IFERROR(AU209/AU179,0)*1000</f>
        <v>0</v>
      </c>
      <c r="AV204" s="976"/>
      <c r="AW204" s="976"/>
      <c r="AX204" s="859">
        <f>_xlfn.IFERROR(AX209/AX179,0)*1000</f>
        <v>0</v>
      </c>
      <c r="AY204" s="976"/>
      <c r="AZ204" s="976"/>
      <c r="BA204" s="859">
        <f>_xlfn.IFERROR(BA209/BA179,0)*1000</f>
        <v>0</v>
      </c>
      <c r="BB204" s="1766"/>
      <c r="BC204" s="1766"/>
      <c r="BD204" s="859">
        <f>_xlfn.IFERROR(BD209/BD179,0)*1000</f>
        <v>0</v>
      </c>
      <c r="BE204" s="1766"/>
      <c r="BF204" s="1766"/>
      <c r="BG204" s="859">
        <f>_xlfn.IFERROR(BG209/BG179,0)*1000</f>
        <v>0</v>
      </c>
      <c r="BH204" s="1766"/>
      <c r="BI204" s="1766"/>
      <c r="BJ204" s="859">
        <f>_xlfn.IFERROR(BJ209/BJ179,0)*1000</f>
        <v>0</v>
      </c>
      <c r="BK204" s="1766"/>
      <c r="BL204" s="1766"/>
      <c r="BM204" s="859">
        <f>_xlfn.IFERROR(BM209/BM179,0)*1000</f>
        <v>0</v>
      </c>
      <c r="BN204" s="1766"/>
      <c r="BO204" s="1766"/>
      <c r="BP204" s="859">
        <f>_xlfn.IFERROR(BP209/BP179,0)*1000</f>
        <v>0</v>
      </c>
      <c r="BQ204" s="976"/>
      <c r="BR204" s="976"/>
      <c r="BS204" s="859">
        <f>_xlfn.IFERROR(BS209/BS179,0)*1000</f>
        <v>0</v>
      </c>
      <c r="BT204" s="976"/>
      <c r="BU204" s="976"/>
      <c r="BV204" s="859">
        <f>_xlfn.IFERROR(BV209/BV179,0)*1000</f>
        <v>0</v>
      </c>
      <c r="BW204" s="976"/>
      <c r="BX204" s="976"/>
      <c r="BY204" s="859">
        <f>_xlfn.IFERROR(BY209/BY179,0)*1000</f>
        <v>0</v>
      </c>
      <c r="BZ204" s="976"/>
      <c r="CA204" s="976"/>
      <c r="CB204" s="859">
        <f>_xlfn.IFERROR(CB209/CB179,0)*1000</f>
        <v>0</v>
      </c>
      <c r="CC204" s="976"/>
      <c r="CD204" s="976"/>
      <c r="CE204" s="859">
        <f>_xlfn.IFERROR(CE209/CE179,0)*1000</f>
        <v>0</v>
      </c>
      <c r="CF204" s="1766"/>
      <c r="CG204" s="1766"/>
      <c r="CH204" s="859">
        <f>_xlfn.IFERROR(CH209/CH179,0)*1000</f>
        <v>0</v>
      </c>
      <c r="CI204" s="1766"/>
      <c r="CJ204" s="1766"/>
      <c r="CK204" s="859">
        <f>_xlfn.IFERROR(CK209/CK179,0)*1000</f>
        <v>0</v>
      </c>
      <c r="CL204" s="1766"/>
      <c r="CM204" s="1766"/>
      <c r="CN204" s="859">
        <f>_xlfn.IFERROR(CN209/CN179,0)*1000</f>
        <v>0</v>
      </c>
      <c r="CO204" s="1766"/>
      <c r="CP204" s="1766"/>
      <c r="CQ204" s="859">
        <f>_xlfn.IFERROR(CQ209/CQ179,0)*1000</f>
        <v>0</v>
      </c>
      <c r="CR204" s="1766"/>
      <c r="CS204" s="1766"/>
      <c r="CT204" s="1730"/>
      <c r="CU204" s="1619"/>
      <c r="CV204" s="1619"/>
      <c r="CW204" s="1170" t="s">
        <v>817</v>
      </c>
      <c r="CX204" s="1175" t="s">
        <v>787</v>
      </c>
      <c r="CY204" s="1179" cm="1" t="str">
        <f t="array" ref="CY204:CY204">AE204</f>
        <v>Уголь бурый</v>
      </c>
      <c r="CZ204" s="1179" cm="1" t="str">
        <f t="array" ref="CZ204:CZ204">AF204</f>
        <v>Б</v>
      </c>
      <c r="DA204" s="1176"/>
      <c r="DB204" s="1176"/>
    </row>
    <row s="1619"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89"/>
      <c r="AC205" s="1619"/>
      <c r="AD205" s="973"/>
      <c r="AE205" s="972" t="s">
        <v>235</v>
      </c>
      <c r="AF205" s="871"/>
      <c r="AG205" s="856"/>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1"/>
      <c r="CU205" s="1619"/>
      <c r="CV205" s="1619"/>
      <c r="CW205" s="1170" t="str">
        <f>IF(AND(ISNUMBER(VALUE(TRIM(SUBSTITUTE(AD205,".","")))),TRIM(SUBSTITUTE(AD205,".",""))&lt;&gt;""),"P"&amp;SUBSTITUTE(AD205,".",""),"")</f>
        <v/>
      </c>
      <c r="CX205" s="1175"/>
      <c r="CY205" s="1175"/>
      <c r="CZ205" s="1175"/>
      <c r="DA205" s="1176"/>
      <c r="DB205" s="1176"/>
    </row>
    <row s="1619" customFormat="1" customHeight="1" ht="16.5">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89"/>
      <c r="AC206" s="1619"/>
      <c r="AD206" s="170">
        <v>28</v>
      </c>
      <c r="AE206" s="1494" t="s">
        <v>819</v>
      </c>
      <c r="AF206" s="320"/>
      <c r="AG206" s="856" t="s">
        <v>805</v>
      </c>
      <c r="AH206" s="857">
        <f>SUM(AH208:AH210)</f>
        <v>0</v>
      </c>
      <c r="AI206" s="857">
        <f>SUM(AI208:AI210)</f>
        <v>0</v>
      </c>
      <c r="AJ206" s="857">
        <f>SUM(AJ208:AJ210)</f>
        <v>0</v>
      </c>
      <c r="AK206" s="857">
        <f>SUM(AK208:AK210)</f>
        <v>0</v>
      </c>
      <c r="AL206" s="857">
        <f>SUM(AL208:AL210)</f>
        <v>0</v>
      </c>
      <c r="AM206" s="857">
        <f>SUM(AM208:AM210)</f>
        <v>0</v>
      </c>
      <c r="AN206" s="857">
        <f>SUM(AN208:AN210)</f>
        <v>0</v>
      </c>
      <c r="AO206" s="857">
        <f>SUM(AO208:AO210)</f>
        <v>0</v>
      </c>
      <c r="AP206" s="857">
        <f>SUM(AP208:AP210)</f>
        <v>0</v>
      </c>
      <c r="AQ206" s="857">
        <f>SUM(AQ208:AQ210)</f>
        <v>0</v>
      </c>
      <c r="AR206" s="857">
        <f>SUM(AR208:AR210)</f>
        <v>0</v>
      </c>
      <c r="AS206" s="857">
        <f>SUM(AS208:AS210)</f>
        <v>0</v>
      </c>
      <c r="AT206" s="857">
        <f>SUM(AT208:AT210)</f>
        <v>0</v>
      </c>
      <c r="AU206" s="857">
        <f>SUM(AU208:AU210)</f>
        <v>0</v>
      </c>
      <c r="AV206" s="857">
        <f>SUM(AV208:AV210)</f>
        <v>0</v>
      </c>
      <c r="AW206" s="857">
        <f>SUM(AW208:AW210)</f>
        <v>0</v>
      </c>
      <c r="AX206" s="857">
        <f>SUM(AX208:AX210)</f>
        <v>0</v>
      </c>
      <c r="AY206" s="857">
        <f>SUM(AY208:AY210)</f>
        <v>0</v>
      </c>
      <c r="AZ206" s="857">
        <f>SUM(AZ208:AZ210)</f>
        <v>0</v>
      </c>
      <c r="BA206" s="857">
        <f>SUM(BA208:BA210)</f>
        <v>0</v>
      </c>
      <c r="BB206" s="857">
        <f>SUM(BB208:BB210)</f>
        <v>0</v>
      </c>
      <c r="BC206" s="857">
        <f>SUM(BC208:BC210)</f>
        <v>0</v>
      </c>
      <c r="BD206" s="857">
        <f>SUM(BD208:BD210)</f>
        <v>0</v>
      </c>
      <c r="BE206" s="857">
        <f>SUM(BE208:BE210)</f>
        <v>0</v>
      </c>
      <c r="BF206" s="857">
        <f>SUM(BF208:BF210)</f>
        <v>0</v>
      </c>
      <c r="BG206" s="857">
        <f>SUM(BG208:BG210)</f>
        <v>0</v>
      </c>
      <c r="BH206" s="857">
        <f>SUM(BH208:BH210)</f>
        <v>0</v>
      </c>
      <c r="BI206" s="857">
        <f>SUM(BI208:BI210)</f>
        <v>0</v>
      </c>
      <c r="BJ206" s="857">
        <f>SUM(BJ208:BJ210)</f>
        <v>0</v>
      </c>
      <c r="BK206" s="857">
        <f>SUM(BK208:BK210)</f>
        <v>0</v>
      </c>
      <c r="BL206" s="857">
        <f>SUM(BL208:BL210)</f>
        <v>0</v>
      </c>
      <c r="BM206" s="857">
        <f>SUM(BM208:BM210)</f>
        <v>0</v>
      </c>
      <c r="BN206" s="857">
        <f>SUM(BN208:BN210)</f>
        <v>0</v>
      </c>
      <c r="BO206" s="857">
        <f>SUM(BO208:BO210)</f>
        <v>0</v>
      </c>
      <c r="BP206" s="857">
        <f>SUM(BP208:BP210)</f>
        <v>0</v>
      </c>
      <c r="BQ206" s="857">
        <f>SUM(BQ208:BQ210)</f>
        <v>0</v>
      </c>
      <c r="BR206" s="857">
        <f>SUM(BR208:BR210)</f>
        <v>0</v>
      </c>
      <c r="BS206" s="857">
        <f>SUM(BS208:BS210)</f>
        <v>0</v>
      </c>
      <c r="BT206" s="857">
        <f>SUM(BT208:BT210)</f>
        <v>0</v>
      </c>
      <c r="BU206" s="857">
        <f>SUM(BU208:BU210)</f>
        <v>0</v>
      </c>
      <c r="BV206" s="857">
        <f>SUM(BV208:BV210)</f>
        <v>0</v>
      </c>
      <c r="BW206" s="857">
        <f>SUM(BW208:BW210)</f>
        <v>0</v>
      </c>
      <c r="BX206" s="857">
        <f>SUM(BX208:BX210)</f>
        <v>0</v>
      </c>
      <c r="BY206" s="857">
        <f>SUM(BY208:BY210)</f>
        <v>0</v>
      </c>
      <c r="BZ206" s="857">
        <f>SUM(BZ208:BZ210)</f>
        <v>0</v>
      </c>
      <c r="CA206" s="857">
        <f>SUM(CA208:CA210)</f>
        <v>0</v>
      </c>
      <c r="CB206" s="857">
        <f>SUM(CB208:CB210)</f>
        <v>0</v>
      </c>
      <c r="CC206" s="857">
        <f>SUM(CC208:CC210)</f>
        <v>0</v>
      </c>
      <c r="CD206" s="857">
        <f>SUM(CD208:CD210)</f>
        <v>0</v>
      </c>
      <c r="CE206" s="857">
        <f>SUM(CE208:CE210)</f>
        <v>0</v>
      </c>
      <c r="CF206" s="857">
        <f>SUM(CF208:CF210)</f>
        <v>0</v>
      </c>
      <c r="CG206" s="857">
        <f>SUM(CG208:CG210)</f>
        <v>0</v>
      </c>
      <c r="CH206" s="857">
        <f>SUM(CH208:CH210)</f>
        <v>0</v>
      </c>
      <c r="CI206" s="857">
        <f>SUM(CI208:CI210)</f>
        <v>0</v>
      </c>
      <c r="CJ206" s="857">
        <f>SUM(CJ208:CJ210)</f>
        <v>0</v>
      </c>
      <c r="CK206" s="857">
        <f>SUM(CK208:CK210)</f>
        <v>0</v>
      </c>
      <c r="CL206" s="857">
        <f>SUM(CL208:CL210)</f>
        <v>0</v>
      </c>
      <c r="CM206" s="857">
        <f>SUM(CM208:CM210)</f>
        <v>0</v>
      </c>
      <c r="CN206" s="857">
        <f>SUM(CN208:CN210)</f>
        <v>0</v>
      </c>
      <c r="CO206" s="857">
        <f>SUM(CO208:CO210)</f>
        <v>0</v>
      </c>
      <c r="CP206" s="857">
        <f>SUM(CP208:CP210)</f>
        <v>0</v>
      </c>
      <c r="CQ206" s="857">
        <f>SUM(CQ208:CQ210)</f>
        <v>0</v>
      </c>
      <c r="CR206" s="857">
        <f>SUM(CR208:CR210)</f>
        <v>0</v>
      </c>
      <c r="CS206" s="857">
        <f>SUM(CS208:CS210)</f>
        <v>0</v>
      </c>
      <c r="CT206" s="1730"/>
      <c r="CU206" s="1619"/>
      <c r="CV206" s="1619"/>
      <c r="CW206" s="1170" t="s">
        <v>820</v>
      </c>
      <c r="CX206" s="1175"/>
      <c r="CY206" s="1175"/>
      <c r="CZ206" s="1175"/>
      <c r="DA206" s="1176"/>
      <c r="DB206" s="1176"/>
    </row>
    <row s="1619" customFormat="1" customHeight="1" ht="16.5" hidden="1">
      <c r="A207" s="1440"/>
      <c r="B207" s="924"/>
      <c r="C207" s="1440"/>
      <c r="D207" s="1440"/>
      <c r="E207" s="794">
        <v>17.1</v>
      </c>
      <c r="F207" s="919" cm="1" t="str">
        <f t="array" ref="F207:F207">OFFSET(G207,-1,-1)</f>
        <v>1</v>
      </c>
      <c r="G207" s="962"/>
      <c r="H207" s="962"/>
      <c r="I207" s="962"/>
      <c r="J207" s="962"/>
      <c r="K207" s="962"/>
      <c r="L207" s="919" cm="1" t="str">
        <f t="array" ref="L207:L207">OFFSET(M207,-1,-1)</f>
        <v>false</v>
      </c>
      <c r="M207" s="962"/>
      <c r="N207" s="962"/>
      <c r="O207" s="962"/>
      <c r="P207" s="962"/>
      <c r="Q207" s="962"/>
      <c r="R207" s="919" t="s">
        <v>725</v>
      </c>
      <c r="S207" s="156" cm="1" t="str">
        <f t="array" ref="S207:S207">OFFSET(T207,-1,-1)</f>
        <v>true</v>
      </c>
      <c r="T207" s="919" t="b">
        <v>0</v>
      </c>
      <c r="U207" s="816">
        <f>AND(S207,IF(ISBLANK(T207),TRUE,T207))</f>
        <v>0</v>
      </c>
      <c r="V207" s="1440"/>
      <c r="W207" s="1440"/>
      <c r="X207" s="1440"/>
      <c r="Y207" s="1440"/>
      <c r="Z207" s="1440"/>
      <c r="AA207" s="817"/>
      <c r="AB207" s="1489"/>
      <c r="AC207" s="1619"/>
      <c r="AD207" s="157" t="str">
        <f>AD206&amp;".0"</f>
        <v>28.0</v>
      </c>
      <c r="AE207" s="1346" t="s">
        <v>736</v>
      </c>
      <c r="AF207" s="161"/>
      <c r="AG207" s="856" t="s">
        <v>805</v>
      </c>
      <c r="AH207" s="86">
        <f>AH$163*AH206</f>
        <v>0</v>
      </c>
      <c r="AI207" s="87">
        <f>AI$163*AI206</f>
        <v>0</v>
      </c>
      <c r="AJ207" s="87">
        <f>AJ$163*AJ206</f>
        <v>0</v>
      </c>
      <c r="AK207" s="87">
        <f>AK$163*AK206</f>
        <v>0</v>
      </c>
      <c r="AL207" s="859">
        <f>AM207+AN207</f>
        <v>0</v>
      </c>
      <c r="AM207" s="87">
        <f>AM$163*AM206</f>
        <v>0</v>
      </c>
      <c r="AN207" s="87">
        <f>AN$163*AN206</f>
        <v>0</v>
      </c>
      <c r="AO207" s="859">
        <f>AP207+AQ207</f>
        <v>0</v>
      </c>
      <c r="AP207" s="976">
        <f>AP$163*AP206</f>
        <v>0</v>
      </c>
      <c r="AQ207" s="976">
        <f>AQ$163*AQ206</f>
        <v>0</v>
      </c>
      <c r="AR207" s="859">
        <f>AS207+AT207</f>
        <v>0</v>
      </c>
      <c r="AS207" s="976">
        <f>AS$163*AS206</f>
        <v>0</v>
      </c>
      <c r="AT207" s="976">
        <f>AT$163*AT206</f>
        <v>0</v>
      </c>
      <c r="AU207" s="859">
        <f>AV207+AW207</f>
        <v>0</v>
      </c>
      <c r="AV207" s="976">
        <f>AV$163*AV206</f>
        <v>0</v>
      </c>
      <c r="AW207" s="976">
        <f>AW$163*AW206</f>
        <v>0</v>
      </c>
      <c r="AX207" s="859">
        <f>AY207+AZ207</f>
        <v>0</v>
      </c>
      <c r="AY207" s="976">
        <f>AY$163*AY206</f>
        <v>0</v>
      </c>
      <c r="AZ207" s="976">
        <f>AZ$163*AZ206</f>
        <v>0</v>
      </c>
      <c r="BA207" s="859">
        <f>BB207+BC207</f>
        <v>0</v>
      </c>
      <c r="BB207" s="87">
        <f>BB$163*BB206</f>
        <v>0</v>
      </c>
      <c r="BC207" s="87">
        <f>BC$163*BC206</f>
        <v>0</v>
      </c>
      <c r="BD207" s="859">
        <f>BE207+BF207</f>
        <v>0</v>
      </c>
      <c r="BE207" s="87">
        <f>BE$163*BE206</f>
        <v>0</v>
      </c>
      <c r="BF207" s="87">
        <f>BF$163*BF206</f>
        <v>0</v>
      </c>
      <c r="BG207" s="859">
        <f>BH207+BI207</f>
        <v>0</v>
      </c>
      <c r="BH207" s="87">
        <f>BH$163*BH206</f>
        <v>0</v>
      </c>
      <c r="BI207" s="87">
        <f>BI$163*BI206</f>
        <v>0</v>
      </c>
      <c r="BJ207" s="859">
        <f>BK207+BL207</f>
        <v>0</v>
      </c>
      <c r="BK207" s="87">
        <f>BK$163*BK206</f>
        <v>0</v>
      </c>
      <c r="BL207" s="87">
        <f>BL$163*BL206</f>
        <v>0</v>
      </c>
      <c r="BM207" s="859">
        <f>BN207+BO207</f>
        <v>0</v>
      </c>
      <c r="BN207" s="87">
        <f>BN$163*BN206</f>
        <v>0</v>
      </c>
      <c r="BO207" s="87">
        <f>BO$163*BO206</f>
        <v>0</v>
      </c>
      <c r="BP207" s="859">
        <f>BQ207+BR207</f>
        <v>0</v>
      </c>
      <c r="BQ207" s="976">
        <f>BQ$163*BQ206</f>
        <v>0</v>
      </c>
      <c r="BR207" s="976">
        <f>BR$163*BR206</f>
        <v>0</v>
      </c>
      <c r="BS207" s="859">
        <f>BT207+BU207</f>
        <v>0</v>
      </c>
      <c r="BT207" s="976">
        <f>BT$163*BT206</f>
        <v>0</v>
      </c>
      <c r="BU207" s="976">
        <f>BU$163*BU206</f>
        <v>0</v>
      </c>
      <c r="BV207" s="859">
        <f>BW207+BX207</f>
        <v>0</v>
      </c>
      <c r="BW207" s="976">
        <f>BW$163*BW206</f>
        <v>0</v>
      </c>
      <c r="BX207" s="976">
        <f>BX$163*BX206</f>
        <v>0</v>
      </c>
      <c r="BY207" s="859">
        <f>BZ207+CA207</f>
        <v>0</v>
      </c>
      <c r="BZ207" s="976">
        <f>BZ$163*BZ206</f>
        <v>0</v>
      </c>
      <c r="CA207" s="976">
        <f>CA$163*CA206</f>
        <v>0</v>
      </c>
      <c r="CB207" s="859">
        <f>CC207+CD207</f>
        <v>0</v>
      </c>
      <c r="CC207" s="976">
        <f>CC$163*CC206</f>
        <v>0</v>
      </c>
      <c r="CD207" s="976">
        <f>CD$163*CD206</f>
        <v>0</v>
      </c>
      <c r="CE207" s="859">
        <f>CF207+CG207</f>
        <v>0</v>
      </c>
      <c r="CF207" s="87">
        <f>CF$163*CF206</f>
        <v>0</v>
      </c>
      <c r="CG207" s="87">
        <f>CG$163*CG206</f>
        <v>0</v>
      </c>
      <c r="CH207" s="859">
        <f>CI207+CJ207</f>
        <v>0</v>
      </c>
      <c r="CI207" s="87">
        <f>CI$163*CI206</f>
        <v>0</v>
      </c>
      <c r="CJ207" s="87">
        <f>CJ$163*CJ206</f>
        <v>0</v>
      </c>
      <c r="CK207" s="859">
        <f>CL207+CM207</f>
        <v>0</v>
      </c>
      <c r="CL207" s="87">
        <f>CL$163*CL206</f>
        <v>0</v>
      </c>
      <c r="CM207" s="87">
        <f>CM$163*CM206</f>
        <v>0</v>
      </c>
      <c r="CN207" s="859">
        <f>CO207+CP207</f>
        <v>0</v>
      </c>
      <c r="CO207" s="87">
        <f>CO$163*CO206</f>
        <v>0</v>
      </c>
      <c r="CP207" s="87">
        <f>CP$163*CP206</f>
        <v>0</v>
      </c>
      <c r="CQ207" s="859">
        <f>CR207+CS207</f>
        <v>0</v>
      </c>
      <c r="CR207" s="87">
        <f>CR$163*CR206</f>
        <v>0</v>
      </c>
      <c r="CS207" s="87">
        <f>CS$163*CS206</f>
        <v>0</v>
      </c>
      <c r="CT207" s="73"/>
      <c r="CU207" s="1619"/>
      <c r="CV207" s="1619"/>
      <c r="CW207" s="1170" t="s">
        <v>821</v>
      </c>
      <c r="CX207" s="1175"/>
      <c r="CY207" s="1175"/>
      <c r="CZ207" s="1175"/>
      <c r="DA207" s="1176"/>
      <c r="DB207" s="1176"/>
    </row>
    <row s="1619" customFormat="1" customHeight="1" ht="16.5" hidden="1">
      <c r="E208" s="794">
        <v>17.1</v>
      </c>
      <c r="F208" s="919" cm="1" t="str">
        <f t="array" ref="F208:F208">OFFSET(G208,-1,-1)</f>
        <v>1</v>
      </c>
      <c r="L208" s="919" cm="1" t="str">
        <f t="array" ref="L208:L208">OFFSET(M208,-1,-1)</f>
        <v>false</v>
      </c>
      <c r="S208" s="156" cm="1" t="str">
        <f t="array" ref="S208:S208">OFFSET(T208,-1,-1)</f>
        <v>true</v>
      </c>
      <c r="T208" s="156">
        <f>AD208&lt;&gt;"28.0"</f>
        <v>0</v>
      </c>
      <c r="U208" s="816">
        <f>AND(S208,IF(ISBLANK(T208),TRUE,T208))</f>
        <v>0</v>
      </c>
      <c r="X208" s="156" t="s">
        <v>233</v>
      </c>
      <c r="AB208" s="1489"/>
      <c r="AD208" s="157" t="s">
        <v>822</v>
      </c>
      <c r="AE208" s="971"/>
      <c r="AF208" s="622"/>
      <c r="AG208" s="856" t="s">
        <v>805</v>
      </c>
      <c r="AH208" s="86"/>
      <c r="AI208" s="87"/>
      <c r="AJ208" s="87"/>
      <c r="AK208" s="87"/>
      <c r="AL208" s="859">
        <f>AM208+AN208</f>
        <v>0</v>
      </c>
      <c r="AM208" s="87">
        <f>AM203*AM178/1000</f>
        <v>0</v>
      </c>
      <c r="AN208" s="87">
        <f>AN203*AN178/1000</f>
        <v>0</v>
      </c>
      <c r="AO208" s="859">
        <f>AP208+AQ208</f>
        <v>0</v>
      </c>
      <c r="AP208" s="976">
        <f>AP203*AP178/1000</f>
        <v>0</v>
      </c>
      <c r="AQ208" s="976">
        <f>AQ203*AQ178/1000</f>
        <v>0</v>
      </c>
      <c r="AR208" s="859">
        <f>AS208+AT208</f>
        <v>0</v>
      </c>
      <c r="AS208" s="976">
        <f>AS203*AS178/1000</f>
        <v>0</v>
      </c>
      <c r="AT208" s="976">
        <f>AT203*AT178/1000</f>
        <v>0</v>
      </c>
      <c r="AU208" s="859">
        <f>AV208+AW208</f>
        <v>0</v>
      </c>
      <c r="AV208" s="976">
        <f>AV203*AV178/1000</f>
        <v>0</v>
      </c>
      <c r="AW208" s="976">
        <f>AW203*AW178/1000</f>
        <v>0</v>
      </c>
      <c r="AX208" s="859">
        <f>AY208+AZ208</f>
        <v>0</v>
      </c>
      <c r="AY208" s="976">
        <f>AY203*AY178/1000</f>
        <v>0</v>
      </c>
      <c r="AZ208" s="976">
        <f>AZ203*AZ178/1000</f>
        <v>0</v>
      </c>
      <c r="BA208" s="859">
        <f>BB208+BC208</f>
        <v>0</v>
      </c>
      <c r="BB208" s="87">
        <f>BB203*BB178/1000</f>
        <v>0</v>
      </c>
      <c r="BC208" s="87">
        <f>BC203*BC178/1000</f>
        <v>0</v>
      </c>
      <c r="BD208" s="859">
        <f>BE208+BF208</f>
        <v>0</v>
      </c>
      <c r="BE208" s="87">
        <f>BE203*BE178/1000</f>
        <v>0</v>
      </c>
      <c r="BF208" s="87">
        <f>BF203*BF178/1000</f>
        <v>0</v>
      </c>
      <c r="BG208" s="859">
        <f>BH208+BI208</f>
        <v>0</v>
      </c>
      <c r="BH208" s="87">
        <f>BH203*BH178/1000</f>
        <v>0</v>
      </c>
      <c r="BI208" s="87">
        <f>BI203*BI178/1000</f>
        <v>0</v>
      </c>
      <c r="BJ208" s="859">
        <f>BK208+BL208</f>
        <v>0</v>
      </c>
      <c r="BK208" s="87">
        <f>BK203*BK178/1000</f>
        <v>0</v>
      </c>
      <c r="BL208" s="87">
        <f>BL203*BL178/1000</f>
        <v>0</v>
      </c>
      <c r="BM208" s="859">
        <f>BN208+BO208</f>
        <v>0</v>
      </c>
      <c r="BN208" s="87">
        <f>BN203*BN178/1000</f>
        <v>0</v>
      </c>
      <c r="BO208" s="87">
        <f>BO203*BO178/1000</f>
        <v>0</v>
      </c>
      <c r="BP208" s="859">
        <f>BQ208+BR208</f>
        <v>0</v>
      </c>
      <c r="BQ208" s="976">
        <f>BQ203*BQ178/1000</f>
        <v>0</v>
      </c>
      <c r="BR208" s="976">
        <f>BR203*BR178/1000</f>
        <v>0</v>
      </c>
      <c r="BS208" s="859">
        <f>BT208+BU208</f>
        <v>0</v>
      </c>
      <c r="BT208" s="976">
        <f>BT203*BT178/1000</f>
        <v>0</v>
      </c>
      <c r="BU208" s="976">
        <f>BU203*BU178/1000</f>
        <v>0</v>
      </c>
      <c r="BV208" s="859">
        <f>BW208+BX208</f>
        <v>0</v>
      </c>
      <c r="BW208" s="976">
        <f>BW203*BW178/1000</f>
        <v>0</v>
      </c>
      <c r="BX208" s="976">
        <f>BX203*BX178/1000</f>
        <v>0</v>
      </c>
      <c r="BY208" s="859">
        <f>BZ208+CA208</f>
        <v>0</v>
      </c>
      <c r="BZ208" s="976">
        <f>BZ203*BZ178/1000</f>
        <v>0</v>
      </c>
      <c r="CA208" s="976">
        <f>CA203*CA178/1000</f>
        <v>0</v>
      </c>
      <c r="CB208" s="859">
        <f>CC208+CD208</f>
        <v>0</v>
      </c>
      <c r="CC208" s="976">
        <f>CC203*CC178/1000</f>
        <v>0</v>
      </c>
      <c r="CD208" s="976">
        <f>CD203*CD178/1000</f>
        <v>0</v>
      </c>
      <c r="CE208" s="859">
        <f>CF208+CG208</f>
        <v>0</v>
      </c>
      <c r="CF208" s="87">
        <f>CF203*CF178/1000</f>
        <v>0</v>
      </c>
      <c r="CG208" s="87">
        <f>CG203*CG178/1000</f>
        <v>0</v>
      </c>
      <c r="CH208" s="859">
        <f>CI208+CJ208</f>
        <v>0</v>
      </c>
      <c r="CI208" s="87">
        <f>CI203*CI178/1000</f>
        <v>0</v>
      </c>
      <c r="CJ208" s="87">
        <f>CJ203*CJ178/1000</f>
        <v>0</v>
      </c>
      <c r="CK208" s="859">
        <f>CL208+CM208</f>
        <v>0</v>
      </c>
      <c r="CL208" s="87">
        <f>CL203*CL178/1000</f>
        <v>0</v>
      </c>
      <c r="CM208" s="87">
        <f>CM203*CM178/1000</f>
        <v>0</v>
      </c>
      <c r="CN208" s="859">
        <f>CO208+CP208</f>
        <v>0</v>
      </c>
      <c r="CO208" s="87">
        <f>CO203*CO178/1000</f>
        <v>0</v>
      </c>
      <c r="CP208" s="87">
        <f>CP203*CP178/1000</f>
        <v>0</v>
      </c>
      <c r="CQ208" s="859">
        <f>CR208+CS208</f>
        <v>0</v>
      </c>
      <c r="CR208" s="87">
        <f>CR203*CR178/1000</f>
        <v>0</v>
      </c>
      <c r="CS208" s="87">
        <f>CS203*CS178/1000</f>
        <v>0</v>
      </c>
      <c r="CT208" s="73"/>
      <c r="CW208" s="1170" t="s">
        <v>821</v>
      </c>
      <c r="CX208" s="1175" t="s">
        <v>787</v>
      </c>
      <c r="CY208" s="1179" cm="1" t="str">
        <f t="array" ref="CY208:CY208">AE208</f>
        <v>0</v>
      </c>
      <c r="CZ208" s="1179" cm="1" t="str">
        <f t="array" ref="CZ208:CZ208">AF208</f>
        <v>0</v>
      </c>
      <c r="DA208" s="1176"/>
      <c r="DB208" s="1176"/>
    </row>
    <row s="1619" customFormat="1" customHeight="1" ht="16.5">
      <c r="A209" s="1619"/>
      <c r="B209" s="1619"/>
      <c r="C209" s="1619"/>
      <c r="D209" s="1619"/>
      <c r="E209" s="794">
        <v>17.1</v>
      </c>
      <c r="F209" s="919" cm="1" t="str">
        <f t="array" ref="F209:F209">OFFSET(G209,-1,-1)</f>
        <v>1</v>
      </c>
      <c r="G209" s="1619"/>
      <c r="H209" s="1619"/>
      <c r="I209" s="1619"/>
      <c r="J209" s="1619"/>
      <c r="K209" s="1619"/>
      <c r="L209" s="919" cm="1" t="str">
        <f t="array" ref="L209:L209">OFFSET(M209,-1,-1)</f>
        <v>false</v>
      </c>
      <c r="M209" s="1619"/>
      <c r="N209" s="1619"/>
      <c r="O209" s="1619"/>
      <c r="P209" s="1619"/>
      <c r="Q209" s="1619"/>
      <c r="R209" s="1619"/>
      <c r="S209" s="156" cm="1" t="str">
        <f t="array" ref="S209:S209">OFFSET(T209,-1,-1)</f>
        <v>true</v>
      </c>
      <c r="T209" s="156">
        <f>AD209&lt;&gt;"28.0"</f>
        <v>1</v>
      </c>
      <c r="U209" s="816">
        <f>AND(S209,IF(ISBLANK(T209),TRUE,T209))</f>
        <v>1</v>
      </c>
      <c r="V209" s="1619"/>
      <c r="W209" s="1619"/>
      <c r="X209" s="156" t="str">
        <f>'Топливо 4.4'!$AE$204&amp;'Топливо 4.4'!$AF$204</f>
        <v>Уголь бурыйБ</v>
      </c>
      <c r="Y209" s="1619"/>
      <c r="Z209" s="1619"/>
      <c r="AA209" s="1619"/>
      <c r="AB209" s="1489"/>
      <c r="AC209" s="1619"/>
      <c r="AD209" s="157" t="s">
        <v>908</v>
      </c>
      <c r="AE209" s="971" cm="1" t="str">
        <f t="array" ref="AE209:AE209">IF(ISBLANK('Топливо 4.4'!$AE$204),"",'Топливо 4.4'!$AE$204)</f>
        <v>Уголь бурый</v>
      </c>
      <c r="AF209" s="622" cm="1" t="str">
        <f t="array" ref="AF209:AF209">IF(ISBLANK('Топливо 4.4'!$AF$204),"",'Топливо 4.4'!$AF$204)</f>
        <v>Б</v>
      </c>
      <c r="AG209" s="856" t="s">
        <v>805</v>
      </c>
      <c r="AH209" s="1768"/>
      <c r="AI209" s="1766"/>
      <c r="AJ209" s="1766"/>
      <c r="AK209" s="1766"/>
      <c r="AL209" s="859">
        <f>AM209+AN209</f>
        <v>0</v>
      </c>
      <c r="AM209" s="1766">
        <f>AM204*AM179/1000</f>
        <v>0</v>
      </c>
      <c r="AN209" s="1766">
        <f>AN204*AN179/1000</f>
        <v>0</v>
      </c>
      <c r="AO209" s="859">
        <f>AP209+AQ209</f>
        <v>0</v>
      </c>
      <c r="AP209" s="976">
        <f>AP204*AP179/1000</f>
        <v>0</v>
      </c>
      <c r="AQ209" s="976">
        <f>AQ204*AQ179/1000</f>
        <v>0</v>
      </c>
      <c r="AR209" s="859">
        <f>AS209+AT209</f>
        <v>0</v>
      </c>
      <c r="AS209" s="976">
        <f>AS204*AS179/1000</f>
        <v>0</v>
      </c>
      <c r="AT209" s="976">
        <f>AT204*AT179/1000</f>
        <v>0</v>
      </c>
      <c r="AU209" s="859">
        <f>AV209+AW209</f>
        <v>0</v>
      </c>
      <c r="AV209" s="976">
        <f>AV204*AV179/1000</f>
        <v>0</v>
      </c>
      <c r="AW209" s="976">
        <f>AW204*AW179/1000</f>
        <v>0</v>
      </c>
      <c r="AX209" s="859">
        <f>AY209+AZ209</f>
        <v>0</v>
      </c>
      <c r="AY209" s="976">
        <f>AY204*AY179/1000</f>
        <v>0</v>
      </c>
      <c r="AZ209" s="976">
        <f>AZ204*AZ179/1000</f>
        <v>0</v>
      </c>
      <c r="BA209" s="859">
        <f>BB209+BC209</f>
        <v>0</v>
      </c>
      <c r="BB209" s="1766">
        <f>BB204*BB179/1000</f>
        <v>0</v>
      </c>
      <c r="BC209" s="1766">
        <f>BC204*BC179/1000</f>
        <v>0</v>
      </c>
      <c r="BD209" s="859">
        <f>BE209+BF209</f>
        <v>0</v>
      </c>
      <c r="BE209" s="1766">
        <f>BE204*BE179/1000</f>
        <v>0</v>
      </c>
      <c r="BF209" s="1766">
        <f>BF204*BF179/1000</f>
        <v>0</v>
      </c>
      <c r="BG209" s="859">
        <f>BH209+BI209</f>
        <v>0</v>
      </c>
      <c r="BH209" s="1766">
        <f>BH204*BH179/1000</f>
        <v>0</v>
      </c>
      <c r="BI209" s="1766">
        <f>BI204*BI179/1000</f>
        <v>0</v>
      </c>
      <c r="BJ209" s="859">
        <f>BK209+BL209</f>
        <v>0</v>
      </c>
      <c r="BK209" s="1766">
        <f>BK204*BK179/1000</f>
        <v>0</v>
      </c>
      <c r="BL209" s="1766">
        <f>BL204*BL179/1000</f>
        <v>0</v>
      </c>
      <c r="BM209" s="859">
        <f>BN209+BO209</f>
        <v>0</v>
      </c>
      <c r="BN209" s="1766">
        <f>BN204*BN179/1000</f>
        <v>0</v>
      </c>
      <c r="BO209" s="1766">
        <f>BO204*BO179/1000</f>
        <v>0</v>
      </c>
      <c r="BP209" s="859">
        <f>BQ209+BR209</f>
        <v>0</v>
      </c>
      <c r="BQ209" s="976">
        <f>BQ204*BQ179/1000</f>
        <v>0</v>
      </c>
      <c r="BR209" s="976">
        <f>BR204*BR179/1000</f>
        <v>0</v>
      </c>
      <c r="BS209" s="859">
        <f>BT209+BU209</f>
        <v>0</v>
      </c>
      <c r="BT209" s="976">
        <f>BT204*BT179/1000</f>
        <v>0</v>
      </c>
      <c r="BU209" s="976">
        <f>BU204*BU179/1000</f>
        <v>0</v>
      </c>
      <c r="BV209" s="859">
        <f>BW209+BX209</f>
        <v>0</v>
      </c>
      <c r="BW209" s="976">
        <f>BW204*BW179/1000</f>
        <v>0</v>
      </c>
      <c r="BX209" s="976">
        <f>BX204*BX179/1000</f>
        <v>0</v>
      </c>
      <c r="BY209" s="859">
        <f>BZ209+CA209</f>
        <v>0</v>
      </c>
      <c r="BZ209" s="976">
        <f>BZ204*BZ179/1000</f>
        <v>0</v>
      </c>
      <c r="CA209" s="976">
        <f>CA204*CA179/1000</f>
        <v>0</v>
      </c>
      <c r="CB209" s="859">
        <f>CC209+CD209</f>
        <v>0</v>
      </c>
      <c r="CC209" s="976">
        <f>CC204*CC179/1000</f>
        <v>0</v>
      </c>
      <c r="CD209" s="976">
        <f>CD204*CD179/1000</f>
        <v>0</v>
      </c>
      <c r="CE209" s="859">
        <f>CF209+CG209</f>
        <v>0</v>
      </c>
      <c r="CF209" s="1766">
        <f>CF204*CF179/1000</f>
        <v>0</v>
      </c>
      <c r="CG209" s="1766">
        <f>CG204*CG179/1000</f>
        <v>0</v>
      </c>
      <c r="CH209" s="859">
        <f>CI209+CJ209</f>
        <v>0</v>
      </c>
      <c r="CI209" s="1766">
        <f>CI204*CI179/1000</f>
        <v>0</v>
      </c>
      <c r="CJ209" s="1766">
        <f>CJ204*CJ179/1000</f>
        <v>0</v>
      </c>
      <c r="CK209" s="859">
        <f>CL209+CM209</f>
        <v>0</v>
      </c>
      <c r="CL209" s="1766">
        <f>CL204*CL179/1000</f>
        <v>0</v>
      </c>
      <c r="CM209" s="1766">
        <f>CM204*CM179/1000</f>
        <v>0</v>
      </c>
      <c r="CN209" s="859">
        <f>CO209+CP209</f>
        <v>0</v>
      </c>
      <c r="CO209" s="1766">
        <f>CO204*CO179/1000</f>
        <v>0</v>
      </c>
      <c r="CP209" s="1766">
        <f>CP204*CP179/1000</f>
        <v>0</v>
      </c>
      <c r="CQ209" s="859">
        <f>CR209+CS209</f>
        <v>0</v>
      </c>
      <c r="CR209" s="1766">
        <f>CR204*CR179/1000</f>
        <v>0</v>
      </c>
      <c r="CS209" s="1766">
        <f>CS204*CS179/1000</f>
        <v>0</v>
      </c>
      <c r="CT209" s="1730"/>
      <c r="CU209" s="1619"/>
      <c r="CV209" s="1619"/>
      <c r="CW209" s="1170" t="s">
        <v>821</v>
      </c>
      <c r="CX209" s="1175" t="s">
        <v>787</v>
      </c>
      <c r="CY209" s="1179" cm="1" t="str">
        <f t="array" ref="CY209:CY209">AE209</f>
        <v>Уголь бурый</v>
      </c>
      <c r="CZ209" s="1179" cm="1" t="str">
        <f t="array" ref="CZ209:CZ209">AF209</f>
        <v>Б</v>
      </c>
      <c r="DA209" s="1176"/>
      <c r="DB209" s="1176"/>
    </row>
    <row s="1619" customFormat="1" customHeight="1" ht="15" hidden="1">
      <c r="A210" s="1440"/>
      <c r="B210" s="924"/>
      <c r="C210" s="1440"/>
      <c r="D210" s="1440"/>
      <c r="E210" s="794">
        <v>0</v>
      </c>
      <c r="F210" s="919" cm="1" t="str">
        <f t="array" ref="F210:F210">OFFSET(G210,-1,-1)</f>
        <v>1</v>
      </c>
      <c r="G210" s="962"/>
      <c r="H210" s="962"/>
      <c r="I210" s="962"/>
      <c r="J210" s="962"/>
      <c r="K210" s="962"/>
      <c r="L210" s="919" cm="1" t="str">
        <f t="array" ref="L210:L210">OFFSET(M210,-1,-1)</f>
        <v>false</v>
      </c>
      <c r="M210" s="962"/>
      <c r="N210" s="962"/>
      <c r="O210" s="962"/>
      <c r="P210" s="962"/>
      <c r="Q210" s="962"/>
      <c r="R210" s="1440"/>
      <c r="S210" s="156" cm="1" t="str">
        <f t="array" ref="S210:S210">OFFSET(T210,-1,-1)</f>
        <v>true</v>
      </c>
      <c r="T210" s="1440"/>
      <c r="U210" s="816">
        <f>AND(S210,IF(ISBLANK(T210),TRUE,T210))</f>
        <v>1</v>
      </c>
      <c r="V210" s="1440"/>
      <c r="W210" s="1440"/>
      <c r="X210" s="970" t="str">
        <f>"{                  
         funcDyn: 'msg1',
         blok: 'blok_2',
         wsCross: 'Топливо 4.4',
         linkFormula: 'AE-AE#AF-AF',
         levelDyn: "&amp;Y139&amp;"
}"</f>
        <v>{                  
         funcDyn: 'msg1',
         blok: 'blok_2',
         wsCross: 'Топливо 4.4',
         linkFormula: 'AE-AE#AF-AF',
         levelDyn: 1
}</v>
      </c>
      <c r="Y210" s="1440"/>
      <c r="Z210" s="1440"/>
      <c r="AA210" s="817"/>
      <c r="AB210" s="1489"/>
      <c r="AC210" s="1619"/>
      <c r="AD210" s="973"/>
      <c r="AE210" s="972" t="s">
        <v>235</v>
      </c>
      <c r="AF210" s="871"/>
      <c r="AG210" s="856"/>
      <c r="AH210" s="858"/>
      <c r="AI210" s="860"/>
      <c r="AJ210" s="860"/>
      <c r="AK210" s="860"/>
      <c r="AL210" s="860"/>
      <c r="AM210" s="860"/>
      <c r="AN210" s="860"/>
      <c r="AO210" s="860"/>
      <c r="AP210" s="860"/>
      <c r="AQ210" s="860"/>
      <c r="AR210" s="860"/>
      <c r="AS210" s="860"/>
      <c r="AT210" s="860"/>
      <c r="AU210" s="860"/>
      <c r="AV210" s="860"/>
      <c r="AW210" s="860"/>
      <c r="AX210" s="860"/>
      <c r="AY210" s="860"/>
      <c r="AZ210" s="860"/>
      <c r="BA210" s="860"/>
      <c r="BB210" s="860"/>
      <c r="BC210" s="860"/>
      <c r="BD210" s="860"/>
      <c r="BE210" s="860"/>
      <c r="BF210" s="860"/>
      <c r="BG210" s="860"/>
      <c r="BH210" s="860"/>
      <c r="BI210" s="860"/>
      <c r="BJ210" s="860"/>
      <c r="BK210" s="860"/>
      <c r="BL210" s="860"/>
      <c r="BM210" s="860"/>
      <c r="BN210" s="860"/>
      <c r="BO210" s="860"/>
      <c r="BP210" s="860"/>
      <c r="BQ210" s="860"/>
      <c r="BR210" s="860"/>
      <c r="BS210" s="860"/>
      <c r="BT210" s="860"/>
      <c r="BU210" s="860"/>
      <c r="BV210" s="860"/>
      <c r="BW210" s="860"/>
      <c r="BX210" s="860"/>
      <c r="BY210" s="860"/>
      <c r="BZ210" s="860"/>
      <c r="CA210" s="860"/>
      <c r="CB210" s="860"/>
      <c r="CC210" s="860"/>
      <c r="CD210" s="860"/>
      <c r="CE210" s="860"/>
      <c r="CF210" s="860"/>
      <c r="CG210" s="860"/>
      <c r="CH210" s="860"/>
      <c r="CI210" s="860"/>
      <c r="CJ210" s="860"/>
      <c r="CK210" s="860"/>
      <c r="CL210" s="860"/>
      <c r="CM210" s="860"/>
      <c r="CN210" s="860"/>
      <c r="CO210" s="860"/>
      <c r="CP210" s="860"/>
      <c r="CQ210" s="860"/>
      <c r="CR210" s="860"/>
      <c r="CS210" s="860"/>
      <c r="CT210" s="91"/>
      <c r="CU210" s="1619"/>
      <c r="CV210" s="1619"/>
      <c r="CW210" s="1170" t="str">
        <f>IF(AND(ISNUMBER(VALUE(TRIM(SUBSTITUTE(AD210,".","")))),TRIM(SUBSTITUTE(AD210,".",""))&lt;&gt;""),"P"&amp;SUBSTITUTE(AD210,".",""),"")</f>
        <v/>
      </c>
      <c r="CX210" s="1175"/>
      <c r="CY210" s="1175"/>
      <c r="CZ210" s="1175"/>
      <c r="DA210" s="1176"/>
      <c r="DB210" s="1176"/>
    </row>
    <row s="1619" customFormat="1" customHeight="1" ht="29.25" hidden="1">
      <c r="A211" s="1440"/>
      <c r="B211" s="924"/>
      <c r="C211" s="1440"/>
      <c r="D211" s="1440"/>
      <c r="E211" s="794">
        <v>30</v>
      </c>
      <c r="F211" s="919" cm="1" t="str">
        <f t="array" ref="F211:F211">OFFSET(G211,-1,-1)</f>
        <v>1</v>
      </c>
      <c r="G211" s="962"/>
      <c r="H211" s="962"/>
      <c r="I211" s="962"/>
      <c r="J211" s="962"/>
      <c r="K211" s="962"/>
      <c r="L211" s="919" cm="1" t="str">
        <f t="array" ref="L211:L211">OFFSET(M211,-1,-1)</f>
        <v>false</v>
      </c>
      <c r="M211" s="962"/>
      <c r="N211" s="962"/>
      <c r="O211" s="962"/>
      <c r="P211" s="962"/>
      <c r="Q211" s="962"/>
      <c r="R211" s="919" t="s">
        <v>725</v>
      </c>
      <c r="S211" s="156" cm="1" t="str">
        <f t="array" ref="S211:S211">OFFSET(T211,-1,-1)</f>
        <v>true</v>
      </c>
      <c r="T211" s="156" cm="1" t="str">
        <f t="array" ref="T211:T211">L211</f>
        <v>false</v>
      </c>
      <c r="U211" s="816">
        <f>AND(S211,IF(ISBLANK(T211),TRUE,T211))</f>
        <v>0</v>
      </c>
      <c r="V211" s="1440"/>
      <c r="W211" s="1440"/>
      <c r="X211" s="1440"/>
      <c r="Y211" s="1440"/>
      <c r="Z211" s="1440"/>
      <c r="AA211" s="817"/>
      <c r="AB211" s="1489"/>
      <c r="AC211" s="1619"/>
      <c r="AD211" s="170">
        <v>29</v>
      </c>
      <c r="AE211" s="1499" t="s">
        <v>823</v>
      </c>
      <c r="AF211" s="160"/>
      <c r="AG211" s="856" t="s">
        <v>805</v>
      </c>
      <c r="AH211" s="857">
        <f>SUM(AH212:AH214)</f>
        <v>0</v>
      </c>
      <c r="AI211" s="857">
        <f>SUM(AI212:AI214)</f>
        <v>0</v>
      </c>
      <c r="AJ211" s="857">
        <f>SUM(AJ212:AJ214)</f>
        <v>0</v>
      </c>
      <c r="AK211" s="857">
        <f>SUM(AK212:AK214)</f>
        <v>0</v>
      </c>
      <c r="AL211" s="857">
        <f>SUM(AL212:AL214)</f>
        <v>0</v>
      </c>
      <c r="AM211" s="857">
        <f>SUM(AM212:AM214)</f>
        <v>0</v>
      </c>
      <c r="AN211" s="857">
        <f>SUM(AN212:AN214)</f>
        <v>0</v>
      </c>
      <c r="AO211" s="857">
        <f>SUM(AO212:AO214)</f>
        <v>0</v>
      </c>
      <c r="AP211" s="857">
        <f>SUM(AP212:AP214)</f>
        <v>0</v>
      </c>
      <c r="AQ211" s="857">
        <f>SUM(AQ212:AQ214)</f>
        <v>0</v>
      </c>
      <c r="AR211" s="857">
        <f>SUM(AR212:AR214)</f>
        <v>0</v>
      </c>
      <c r="AS211" s="857">
        <f>SUM(AS212:AS214)</f>
        <v>0</v>
      </c>
      <c r="AT211" s="857">
        <f>SUM(AT212:AT214)</f>
        <v>0</v>
      </c>
      <c r="AU211" s="857">
        <f>SUM(AU212:AU214)</f>
        <v>0</v>
      </c>
      <c r="AV211" s="857">
        <f>SUM(AV212:AV214)</f>
        <v>0</v>
      </c>
      <c r="AW211" s="857">
        <f>SUM(AW212:AW214)</f>
        <v>0</v>
      </c>
      <c r="AX211" s="857">
        <f>SUM(AX212:AX214)</f>
        <v>0</v>
      </c>
      <c r="AY211" s="857">
        <f>SUM(AY212:AY214)</f>
        <v>0</v>
      </c>
      <c r="AZ211" s="857">
        <f>SUM(AZ212:AZ214)</f>
        <v>0</v>
      </c>
      <c r="BA211" s="857">
        <f>SUM(BA212:BA214)</f>
        <v>0</v>
      </c>
      <c r="BB211" s="857">
        <f>SUM(BB212:BB214)</f>
        <v>0</v>
      </c>
      <c r="BC211" s="857">
        <f>SUM(BC212:BC214)</f>
        <v>0</v>
      </c>
      <c r="BD211" s="857">
        <f>SUM(BD212:BD214)</f>
        <v>0</v>
      </c>
      <c r="BE211" s="857">
        <f>SUM(BE212:BE214)</f>
        <v>0</v>
      </c>
      <c r="BF211" s="857">
        <f>SUM(BF212:BF214)</f>
        <v>0</v>
      </c>
      <c r="BG211" s="857">
        <f>SUM(BG212:BG214)</f>
        <v>0</v>
      </c>
      <c r="BH211" s="857">
        <f>SUM(BH212:BH214)</f>
        <v>0</v>
      </c>
      <c r="BI211" s="857">
        <f>SUM(BI212:BI214)</f>
        <v>0</v>
      </c>
      <c r="BJ211" s="857">
        <f>SUM(BJ212:BJ214)</f>
        <v>0</v>
      </c>
      <c r="BK211" s="857">
        <f>SUM(BK212:BK214)</f>
        <v>0</v>
      </c>
      <c r="BL211" s="857">
        <f>SUM(BL212:BL214)</f>
        <v>0</v>
      </c>
      <c r="BM211" s="857">
        <f>SUM(BM212:BM214)</f>
        <v>0</v>
      </c>
      <c r="BN211" s="857">
        <f>SUM(BN212:BN214)</f>
        <v>0</v>
      </c>
      <c r="BO211" s="857">
        <f>SUM(BO212:BO214)</f>
        <v>0</v>
      </c>
      <c r="BP211" s="857">
        <f>SUM(BP212:BP214)</f>
        <v>0</v>
      </c>
      <c r="BQ211" s="857">
        <f>SUM(BQ212:BQ214)</f>
        <v>0</v>
      </c>
      <c r="BR211" s="857">
        <f>SUM(BR212:BR214)</f>
        <v>0</v>
      </c>
      <c r="BS211" s="857">
        <f>SUM(BS212:BS214)</f>
        <v>0</v>
      </c>
      <c r="BT211" s="857">
        <f>SUM(BT212:BT214)</f>
        <v>0</v>
      </c>
      <c r="BU211" s="857">
        <f>SUM(BU212:BU214)</f>
        <v>0</v>
      </c>
      <c r="BV211" s="857">
        <f>SUM(BV212:BV214)</f>
        <v>0</v>
      </c>
      <c r="BW211" s="857">
        <f>SUM(BW212:BW214)</f>
        <v>0</v>
      </c>
      <c r="BX211" s="857">
        <f>SUM(BX212:BX214)</f>
        <v>0</v>
      </c>
      <c r="BY211" s="857">
        <f>SUM(BY212:BY214)</f>
        <v>0</v>
      </c>
      <c r="BZ211" s="857">
        <f>SUM(BZ212:BZ214)</f>
        <v>0</v>
      </c>
      <c r="CA211" s="857">
        <f>SUM(CA212:CA214)</f>
        <v>0</v>
      </c>
      <c r="CB211" s="857">
        <f>SUM(CB212:CB214)</f>
        <v>0</v>
      </c>
      <c r="CC211" s="857">
        <f>SUM(CC212:CC214)</f>
        <v>0</v>
      </c>
      <c r="CD211" s="857">
        <f>SUM(CD212:CD214)</f>
        <v>0</v>
      </c>
      <c r="CE211" s="857">
        <f>SUM(CE212:CE214)</f>
        <v>0</v>
      </c>
      <c r="CF211" s="857">
        <f>SUM(CF212:CF214)</f>
        <v>0</v>
      </c>
      <c r="CG211" s="857">
        <f>SUM(CG212:CG214)</f>
        <v>0</v>
      </c>
      <c r="CH211" s="857">
        <f>SUM(CH212:CH214)</f>
        <v>0</v>
      </c>
      <c r="CI211" s="857">
        <f>SUM(CI212:CI214)</f>
        <v>0</v>
      </c>
      <c r="CJ211" s="857">
        <f>SUM(CJ212:CJ214)</f>
        <v>0</v>
      </c>
      <c r="CK211" s="857">
        <f>SUM(CK212:CK214)</f>
        <v>0</v>
      </c>
      <c r="CL211" s="857">
        <f>SUM(CL212:CL214)</f>
        <v>0</v>
      </c>
      <c r="CM211" s="857">
        <f>SUM(CM212:CM214)</f>
        <v>0</v>
      </c>
      <c r="CN211" s="857">
        <f>SUM(CN212:CN214)</f>
        <v>0</v>
      </c>
      <c r="CO211" s="857">
        <f>SUM(CO212:CO214)</f>
        <v>0</v>
      </c>
      <c r="CP211" s="857">
        <f>SUM(CP212:CP214)</f>
        <v>0</v>
      </c>
      <c r="CQ211" s="857">
        <f>SUM(CQ212:CQ214)</f>
        <v>0</v>
      </c>
      <c r="CR211" s="857">
        <f>SUM(CR212:CR214)</f>
        <v>0</v>
      </c>
      <c r="CS211" s="857">
        <f>SUM(CS212:CS214)</f>
        <v>0</v>
      </c>
      <c r="CT211" s="73"/>
      <c r="CU211" s="1619"/>
      <c r="CV211" s="1619"/>
      <c r="CW211" s="1170" t="s">
        <v>824</v>
      </c>
      <c r="CX211" s="1175"/>
      <c r="CY211" s="1175"/>
      <c r="CZ211" s="1175"/>
      <c r="DA211" s="1176"/>
      <c r="DB211" s="1176"/>
    </row>
    <row s="1619" customFormat="1" customHeight="1" ht="16.5" hidden="1">
      <c r="E212" s="794">
        <v>17.1</v>
      </c>
      <c r="F212" s="919" cm="1" t="str">
        <f t="array" ref="F212:F212">OFFSET(G212,-1,-1)</f>
        <v>1</v>
      </c>
      <c r="L212" s="919" cm="1" t="str">
        <f t="array" ref="L212:L212">OFFSET(M212,-1,-1)</f>
        <v>false</v>
      </c>
      <c r="R212" s="919" t="s">
        <v>725</v>
      </c>
      <c r="S212" s="156" cm="1" t="str">
        <f t="array" ref="S212:S212">OFFSET(T212,-1,-1)</f>
        <v>true</v>
      </c>
      <c r="T212" s="156">
        <f>AND(L212,AD212&lt;&gt;"29.0")</f>
        <v>0</v>
      </c>
      <c r="U212" s="816">
        <f>AND(S212,IF(ISBLANK(T212),TRUE,T212))</f>
        <v>0</v>
      </c>
      <c r="X212" s="156" t="s">
        <v>233</v>
      </c>
      <c r="AB212" s="1489"/>
      <c r="AD212" s="157" t="s">
        <v>825</v>
      </c>
      <c r="AE212" s="971"/>
      <c r="AF212" s="622"/>
      <c r="AG212" s="856" t="s">
        <v>805</v>
      </c>
      <c r="AH212" s="86">
        <f>AH$163*AH208</f>
        <v>0</v>
      </c>
      <c r="AI212" s="87">
        <f>AI$163*AI208</f>
        <v>0</v>
      </c>
      <c r="AJ212" s="87">
        <f>AJ$163*AJ208</f>
        <v>0</v>
      </c>
      <c r="AK212" s="87">
        <f>AK$163*AK208</f>
        <v>0</v>
      </c>
      <c r="AL212" s="859">
        <f>AM212+AN212</f>
        <v>0</v>
      </c>
      <c r="AM212" s="87">
        <f>AM$163*AM208</f>
        <v>0</v>
      </c>
      <c r="AN212" s="87">
        <f>AN$163*AN208</f>
        <v>0</v>
      </c>
      <c r="AO212" s="859">
        <f>AP212+AQ212</f>
        <v>0</v>
      </c>
      <c r="AP212" s="976">
        <f>AP$163*AP208</f>
        <v>0</v>
      </c>
      <c r="AQ212" s="976">
        <f>AQ$163*AQ208</f>
        <v>0</v>
      </c>
      <c r="AR212" s="859">
        <f>AS212+AT212</f>
        <v>0</v>
      </c>
      <c r="AS212" s="976">
        <f>AS$163*AS208</f>
        <v>0</v>
      </c>
      <c r="AT212" s="976">
        <f>AT$163*AT208</f>
        <v>0</v>
      </c>
      <c r="AU212" s="859">
        <f>AV212+AW212</f>
        <v>0</v>
      </c>
      <c r="AV212" s="976">
        <f>AV$163*AV208</f>
        <v>0</v>
      </c>
      <c r="AW212" s="976">
        <f>AW$163*AW208</f>
        <v>0</v>
      </c>
      <c r="AX212" s="859">
        <f>AY212+AZ212</f>
        <v>0</v>
      </c>
      <c r="AY212" s="976">
        <f>AY$163*AY208</f>
        <v>0</v>
      </c>
      <c r="AZ212" s="976">
        <f>AZ$163*AZ208</f>
        <v>0</v>
      </c>
      <c r="BA212" s="859">
        <f>BB212+BC212</f>
        <v>0</v>
      </c>
      <c r="BB212" s="87">
        <f>BB$163*BB208</f>
        <v>0</v>
      </c>
      <c r="BC212" s="87">
        <f>BC$163*BC208</f>
        <v>0</v>
      </c>
      <c r="BD212" s="859">
        <f>BE212+BF212</f>
        <v>0</v>
      </c>
      <c r="BE212" s="87">
        <f>BE$163*BE208</f>
        <v>0</v>
      </c>
      <c r="BF212" s="87">
        <f>BF$163*BF208</f>
        <v>0</v>
      </c>
      <c r="BG212" s="859">
        <f>BH212+BI212</f>
        <v>0</v>
      </c>
      <c r="BH212" s="87">
        <f>BH$163*BH208</f>
        <v>0</v>
      </c>
      <c r="BI212" s="87">
        <f>BI$163*BI208</f>
        <v>0</v>
      </c>
      <c r="BJ212" s="859">
        <f>BK212+BL212</f>
        <v>0</v>
      </c>
      <c r="BK212" s="87">
        <f>BK$163*BK208</f>
        <v>0</v>
      </c>
      <c r="BL212" s="87">
        <f>BL$163*BL208</f>
        <v>0</v>
      </c>
      <c r="BM212" s="859">
        <f>BN212+BO212</f>
        <v>0</v>
      </c>
      <c r="BN212" s="87">
        <f>BN$163*BN208</f>
        <v>0</v>
      </c>
      <c r="BO212" s="87">
        <f>BO$163*BO208</f>
        <v>0</v>
      </c>
      <c r="BP212" s="859">
        <f>BQ212+BR212</f>
        <v>0</v>
      </c>
      <c r="BQ212" s="976">
        <f>BQ$163*BQ208</f>
        <v>0</v>
      </c>
      <c r="BR212" s="976">
        <f>BR$163*BR208</f>
        <v>0</v>
      </c>
      <c r="BS212" s="859">
        <f>BT212+BU212</f>
        <v>0</v>
      </c>
      <c r="BT212" s="976">
        <f>BT$163*BT208</f>
        <v>0</v>
      </c>
      <c r="BU212" s="976">
        <f>BU$163*BU208</f>
        <v>0</v>
      </c>
      <c r="BV212" s="859">
        <f>BW212+BX212</f>
        <v>0</v>
      </c>
      <c r="BW212" s="976">
        <f>BW$163*BW208</f>
        <v>0</v>
      </c>
      <c r="BX212" s="976">
        <f>BX$163*BX208</f>
        <v>0</v>
      </c>
      <c r="BY212" s="859">
        <f>BZ212+CA212</f>
        <v>0</v>
      </c>
      <c r="BZ212" s="976">
        <f>BZ$163*BZ208</f>
        <v>0</v>
      </c>
      <c r="CA212" s="976">
        <f>CA$163*CA208</f>
        <v>0</v>
      </c>
      <c r="CB212" s="859">
        <f>CC212+CD212</f>
        <v>0</v>
      </c>
      <c r="CC212" s="976">
        <f>CC$163*CC208</f>
        <v>0</v>
      </c>
      <c r="CD212" s="976">
        <f>CD$163*CD208</f>
        <v>0</v>
      </c>
      <c r="CE212" s="859">
        <f>CF212+CG212</f>
        <v>0</v>
      </c>
      <c r="CF212" s="87">
        <f>CF$163*CF208</f>
        <v>0</v>
      </c>
      <c r="CG212" s="87">
        <f>CG$163*CG208</f>
        <v>0</v>
      </c>
      <c r="CH212" s="859">
        <f>CI212+CJ212</f>
        <v>0</v>
      </c>
      <c r="CI212" s="87">
        <f>CI$163*CI208</f>
        <v>0</v>
      </c>
      <c r="CJ212" s="87">
        <f>CJ$163*CJ208</f>
        <v>0</v>
      </c>
      <c r="CK212" s="859">
        <f>CL212+CM212</f>
        <v>0</v>
      </c>
      <c r="CL212" s="87">
        <f>CL$163*CL208</f>
        <v>0</v>
      </c>
      <c r="CM212" s="87">
        <f>CM$163*CM208</f>
        <v>0</v>
      </c>
      <c r="CN212" s="859">
        <f>CO212+CP212</f>
        <v>0</v>
      </c>
      <c r="CO212" s="87">
        <f>CO$163*CO208</f>
        <v>0</v>
      </c>
      <c r="CP212" s="87">
        <f>CP$163*CP208</f>
        <v>0</v>
      </c>
      <c r="CQ212" s="859">
        <f>CR212+CS212</f>
        <v>0</v>
      </c>
      <c r="CR212" s="87">
        <f>CR$163*CR208</f>
        <v>0</v>
      </c>
      <c r="CS212" s="87">
        <f>CS$163*CS208</f>
        <v>0</v>
      </c>
      <c r="CT212" s="73"/>
      <c r="CW212" s="1170" t="s">
        <v>824</v>
      </c>
      <c r="CX212" s="1175" t="s">
        <v>787</v>
      </c>
      <c r="CY212" s="1179" cm="1" t="str">
        <f t="array" ref="CY212:CY212">AE212</f>
        <v>0</v>
      </c>
      <c r="CZ212" s="1179" cm="1" t="str">
        <f t="array" ref="CZ212:CZ212">AF212</f>
        <v>0</v>
      </c>
      <c r="DA212" s="1176"/>
      <c r="DB212" s="1176"/>
    </row>
    <row s="1619" customFormat="1" customHeight="1" ht="16.5" hidden="1">
      <c r="A213" s="1619"/>
      <c r="B213" s="1619"/>
      <c r="C213" s="1619"/>
      <c r="D213" s="1619"/>
      <c r="E213" s="794">
        <v>17.1</v>
      </c>
      <c r="F213" s="919" cm="1" t="str">
        <f t="array" ref="F213:F213">OFFSET(G213,-1,-1)</f>
        <v>1</v>
      </c>
      <c r="G213" s="1619"/>
      <c r="H213" s="1619"/>
      <c r="I213" s="1619"/>
      <c r="J213" s="1619"/>
      <c r="K213" s="1619"/>
      <c r="L213" s="919" cm="1" t="str">
        <f t="array" ref="L213:L213">OFFSET(M213,-1,-1)</f>
        <v>false</v>
      </c>
      <c r="M213" s="1619"/>
      <c r="N213" s="1619"/>
      <c r="O213" s="1619"/>
      <c r="P213" s="1619"/>
      <c r="Q213" s="1619"/>
      <c r="R213" s="919" t="s">
        <v>725</v>
      </c>
      <c r="S213" s="156" cm="1" t="str">
        <f t="array" ref="S213:S213">OFFSET(T213,-1,-1)</f>
        <v>true</v>
      </c>
      <c r="T213" s="156">
        <f>AND(L213,AD213&lt;&gt;"29.0")</f>
        <v>0</v>
      </c>
      <c r="U213" s="816">
        <f>AND(S213,IF(ISBLANK(T213),TRUE,T213))</f>
        <v>0</v>
      </c>
      <c r="V213" s="1619"/>
      <c r="W213" s="1619"/>
      <c r="X213" s="156" t="str">
        <f>'Топливо 4.4'!$AE$209&amp;'Топливо 4.4'!$AF$209</f>
        <v>Уголь бурыйБ</v>
      </c>
      <c r="Y213" s="1619"/>
      <c r="Z213" s="1619"/>
      <c r="AA213" s="1619"/>
      <c r="AB213" s="1489"/>
      <c r="AC213" s="1619"/>
      <c r="AD213" s="157" t="s">
        <v>909</v>
      </c>
      <c r="AE213" s="971" cm="1" t="str">
        <f t="array" ref="AE213:AE213">IF(ISBLANK('Топливо 4.4'!$AE$209),"",'Топливо 4.4'!$AE$209)</f>
        <v>Уголь бурый</v>
      </c>
      <c r="AF213" s="622" cm="1" t="str">
        <f t="array" ref="AF213:AF213">IF(ISBLANK('Топливо 4.4'!$AF$209),"",'Топливо 4.4'!$AF$209)</f>
        <v>Б</v>
      </c>
      <c r="AG213" s="856" t="s">
        <v>805</v>
      </c>
      <c r="AH213" s="86">
        <f>AH$163*AH209</f>
        <v>0</v>
      </c>
      <c r="AI213" s="87">
        <f>AI$163*AI209</f>
        <v>0</v>
      </c>
      <c r="AJ213" s="87">
        <f>AJ$163*AJ209</f>
        <v>0</v>
      </c>
      <c r="AK213" s="87">
        <f>AK$163*AK209</f>
        <v>0</v>
      </c>
      <c r="AL213" s="859">
        <f>AM213+AN213</f>
        <v>0</v>
      </c>
      <c r="AM213" s="87">
        <f>AM$163*AM209</f>
        <v>0</v>
      </c>
      <c r="AN213" s="87">
        <f>AN$163*AN209</f>
        <v>0</v>
      </c>
      <c r="AO213" s="859">
        <f>AP213+AQ213</f>
        <v>0</v>
      </c>
      <c r="AP213" s="976">
        <f>AP$163*AP209</f>
        <v>0</v>
      </c>
      <c r="AQ213" s="976">
        <f>AQ$163*AQ209</f>
        <v>0</v>
      </c>
      <c r="AR213" s="859">
        <f>AS213+AT213</f>
        <v>0</v>
      </c>
      <c r="AS213" s="976">
        <f>AS$163*AS209</f>
        <v>0</v>
      </c>
      <c r="AT213" s="976">
        <f>AT$163*AT209</f>
        <v>0</v>
      </c>
      <c r="AU213" s="859">
        <f>AV213+AW213</f>
        <v>0</v>
      </c>
      <c r="AV213" s="976">
        <f>AV$163*AV209</f>
        <v>0</v>
      </c>
      <c r="AW213" s="976">
        <f>AW$163*AW209</f>
        <v>0</v>
      </c>
      <c r="AX213" s="859">
        <f>AY213+AZ213</f>
        <v>0</v>
      </c>
      <c r="AY213" s="976">
        <f>AY$163*AY209</f>
        <v>0</v>
      </c>
      <c r="AZ213" s="976">
        <f>AZ$163*AZ209</f>
        <v>0</v>
      </c>
      <c r="BA213" s="859">
        <f>BB213+BC213</f>
        <v>0</v>
      </c>
      <c r="BB213" s="87">
        <f>BB$163*BB209</f>
        <v>0</v>
      </c>
      <c r="BC213" s="87">
        <f>BC$163*BC209</f>
        <v>0</v>
      </c>
      <c r="BD213" s="859">
        <f>BE213+BF213</f>
        <v>0</v>
      </c>
      <c r="BE213" s="87">
        <f>BE$163*BE209</f>
        <v>0</v>
      </c>
      <c r="BF213" s="87">
        <f>BF$163*BF209</f>
        <v>0</v>
      </c>
      <c r="BG213" s="859">
        <f>BH213+BI213</f>
        <v>0</v>
      </c>
      <c r="BH213" s="87">
        <f>BH$163*BH209</f>
        <v>0</v>
      </c>
      <c r="BI213" s="87">
        <f>BI$163*BI209</f>
        <v>0</v>
      </c>
      <c r="BJ213" s="859">
        <f>BK213+BL213</f>
        <v>0</v>
      </c>
      <c r="BK213" s="87">
        <f>BK$163*BK209</f>
        <v>0</v>
      </c>
      <c r="BL213" s="87">
        <f>BL$163*BL209</f>
        <v>0</v>
      </c>
      <c r="BM213" s="859">
        <f>BN213+BO213</f>
        <v>0</v>
      </c>
      <c r="BN213" s="87">
        <f>BN$163*BN209</f>
        <v>0</v>
      </c>
      <c r="BO213" s="87">
        <f>BO$163*BO209</f>
        <v>0</v>
      </c>
      <c r="BP213" s="859">
        <f>BQ213+BR213</f>
        <v>0</v>
      </c>
      <c r="BQ213" s="976">
        <f>BQ$163*BQ209</f>
        <v>0</v>
      </c>
      <c r="BR213" s="976">
        <f>BR$163*BR209</f>
        <v>0</v>
      </c>
      <c r="BS213" s="859">
        <f>BT213+BU213</f>
        <v>0</v>
      </c>
      <c r="BT213" s="976">
        <f>BT$163*BT209</f>
        <v>0</v>
      </c>
      <c r="BU213" s="976">
        <f>BU$163*BU209</f>
        <v>0</v>
      </c>
      <c r="BV213" s="859">
        <f>BW213+BX213</f>
        <v>0</v>
      </c>
      <c r="BW213" s="976">
        <f>BW$163*BW209</f>
        <v>0</v>
      </c>
      <c r="BX213" s="976">
        <f>BX$163*BX209</f>
        <v>0</v>
      </c>
      <c r="BY213" s="859">
        <f>BZ213+CA213</f>
        <v>0</v>
      </c>
      <c r="BZ213" s="976">
        <f>BZ$163*BZ209</f>
        <v>0</v>
      </c>
      <c r="CA213" s="976">
        <f>CA$163*CA209</f>
        <v>0</v>
      </c>
      <c r="CB213" s="859">
        <f>CC213+CD213</f>
        <v>0</v>
      </c>
      <c r="CC213" s="976">
        <f>CC$163*CC209</f>
        <v>0</v>
      </c>
      <c r="CD213" s="976">
        <f>CD$163*CD209</f>
        <v>0</v>
      </c>
      <c r="CE213" s="859">
        <f>CF213+CG213</f>
        <v>0</v>
      </c>
      <c r="CF213" s="87">
        <f>CF$163*CF209</f>
        <v>0</v>
      </c>
      <c r="CG213" s="87">
        <f>CG$163*CG209</f>
        <v>0</v>
      </c>
      <c r="CH213" s="859">
        <f>CI213+CJ213</f>
        <v>0</v>
      </c>
      <c r="CI213" s="87">
        <f>CI$163*CI209</f>
        <v>0</v>
      </c>
      <c r="CJ213" s="87">
        <f>CJ$163*CJ209</f>
        <v>0</v>
      </c>
      <c r="CK213" s="859">
        <f>CL213+CM213</f>
        <v>0</v>
      </c>
      <c r="CL213" s="87">
        <f>CL$163*CL209</f>
        <v>0</v>
      </c>
      <c r="CM213" s="87">
        <f>CM$163*CM209</f>
        <v>0</v>
      </c>
      <c r="CN213" s="859">
        <f>CO213+CP213</f>
        <v>0</v>
      </c>
      <c r="CO213" s="87">
        <f>CO$163*CO209</f>
        <v>0</v>
      </c>
      <c r="CP213" s="87">
        <f>CP$163*CP209</f>
        <v>0</v>
      </c>
      <c r="CQ213" s="859">
        <f>CR213+CS213</f>
        <v>0</v>
      </c>
      <c r="CR213" s="87">
        <f>CR$163*CR209</f>
        <v>0</v>
      </c>
      <c r="CS213" s="87">
        <f>CS$163*CS209</f>
        <v>0</v>
      </c>
      <c r="CT213" s="73"/>
      <c r="CU213" s="1619"/>
      <c r="CV213" s="1619"/>
      <c r="CW213" s="1170" t="s">
        <v>824</v>
      </c>
      <c r="CX213" s="1175" t="s">
        <v>787</v>
      </c>
      <c r="CY213" s="1179" cm="1" t="str">
        <f t="array" ref="CY213:CY213">AE213</f>
        <v>Уголь бурый</v>
      </c>
      <c r="CZ213" s="1179" cm="1" t="str">
        <f t="array" ref="CZ213:CZ213">AF213</f>
        <v>Б</v>
      </c>
      <c r="DA213" s="1176"/>
      <c r="DB213" s="1176"/>
    </row>
    <row s="1619" customFormat="1" customHeight="1" ht="15" hidden="1">
      <c r="A214" s="1440"/>
      <c r="B214" s="924"/>
      <c r="C214" s="1440"/>
      <c r="D214" s="1440"/>
      <c r="E214" s="794">
        <v>0</v>
      </c>
      <c r="F214" s="919" cm="1" t="str">
        <f t="array" ref="F214:F214">OFFSET(G214,-1,-1)</f>
        <v>1</v>
      </c>
      <c r="G214" s="962"/>
      <c r="H214" s="962"/>
      <c r="I214" s="962"/>
      <c r="J214" s="962"/>
      <c r="K214" s="962"/>
      <c r="L214" s="919" cm="1" t="str">
        <f t="array" ref="L214:L214">OFFSET(M214,-1,-1)</f>
        <v>false</v>
      </c>
      <c r="M214" s="962"/>
      <c r="N214" s="962"/>
      <c r="O214" s="962"/>
      <c r="P214" s="962"/>
      <c r="Q214" s="962"/>
      <c r="R214" s="1440"/>
      <c r="S214" s="156" cm="1" t="str">
        <f t="array" ref="S214:S214">OFFSET(T214,-1,-1)</f>
        <v>true</v>
      </c>
      <c r="T214" s="1440"/>
      <c r="U214" s="816">
        <f>AND(S214,IF(ISBLANK(T214),TRUE,T214))</f>
        <v>1</v>
      </c>
      <c r="V214" s="1440"/>
      <c r="W214" s="1440"/>
      <c r="X214" s="970" t="str">
        <f>"{                  
         funcDyn: 'msg1',
         blok: 'blok_2',
         wsCross: 'Топливо 4.4',
         linkFormula: 'AE-AE#AF-AF',
         levelDyn: "&amp;Y139&amp;"
}"</f>
        <v>{                  
         funcDyn: 'msg1',
         blok: 'blok_2',
         wsCross: 'Топливо 4.4',
         linkFormula: 'AE-AE#AF-AF',
         levelDyn: 1
}</v>
      </c>
      <c r="Y214" s="1440"/>
      <c r="Z214" s="1440"/>
      <c r="AA214" s="817"/>
      <c r="AB214" s="1490"/>
      <c r="AC214" s="1619"/>
      <c r="AD214" s="973"/>
      <c r="AE214" s="972" t="s">
        <v>235</v>
      </c>
      <c r="AF214" s="871"/>
      <c r="AG214" s="856"/>
      <c r="AH214" s="858"/>
      <c r="AI214" s="860"/>
      <c r="AJ214" s="860"/>
      <c r="AK214" s="860"/>
      <c r="AL214" s="860"/>
      <c r="AM214" s="860"/>
      <c r="AN214" s="860"/>
      <c r="AO214" s="860"/>
      <c r="AP214" s="860"/>
      <c r="AQ214" s="860"/>
      <c r="AR214" s="860"/>
      <c r="AS214" s="860"/>
      <c r="AT214" s="860"/>
      <c r="AU214" s="860"/>
      <c r="AV214" s="860"/>
      <c r="AW214" s="860"/>
      <c r="AX214" s="860"/>
      <c r="AY214" s="860"/>
      <c r="AZ214" s="860"/>
      <c r="BA214" s="860"/>
      <c r="BB214" s="860"/>
      <c r="BC214" s="860"/>
      <c r="BD214" s="860"/>
      <c r="BE214" s="860"/>
      <c r="BF214" s="860"/>
      <c r="BG214" s="860"/>
      <c r="BH214" s="860"/>
      <c r="BI214" s="860"/>
      <c r="BJ214" s="860"/>
      <c r="BK214" s="860"/>
      <c r="BL214" s="860"/>
      <c r="BM214" s="860"/>
      <c r="BN214" s="860"/>
      <c r="BO214" s="860"/>
      <c r="BP214" s="860"/>
      <c r="BQ214" s="860"/>
      <c r="BR214" s="860"/>
      <c r="BS214" s="860"/>
      <c r="BT214" s="860"/>
      <c r="BU214" s="860"/>
      <c r="BV214" s="860"/>
      <c r="BW214" s="860"/>
      <c r="BX214" s="860"/>
      <c r="BY214" s="860"/>
      <c r="BZ214" s="860"/>
      <c r="CA214" s="860"/>
      <c r="CB214" s="860"/>
      <c r="CC214" s="860"/>
      <c r="CD214" s="860"/>
      <c r="CE214" s="860"/>
      <c r="CF214" s="860"/>
      <c r="CG214" s="860"/>
      <c r="CH214" s="860"/>
      <c r="CI214" s="860"/>
      <c r="CJ214" s="860"/>
      <c r="CK214" s="860"/>
      <c r="CL214" s="860"/>
      <c r="CM214" s="860"/>
      <c r="CN214" s="860"/>
      <c r="CO214" s="860"/>
      <c r="CP214" s="860"/>
      <c r="CQ214" s="860"/>
      <c r="CR214" s="860"/>
      <c r="CS214" s="860"/>
      <c r="CT214" s="91"/>
      <c r="CU214" s="1619"/>
      <c r="CV214" s="1619"/>
      <c r="CW214" s="1170" t="str">
        <f>IF(AND(ISNUMBER(VALUE(TRIM(SUBSTITUTE(AD214,".","")))),TRIM(SUBSTITUTE(AD214,".",""))&lt;&gt;""),"P"&amp;SUBSTITUTE(AD214,".",""),"")</f>
        <v/>
      </c>
      <c r="CX214" s="1175"/>
      <c r="CY214" s="1175"/>
      <c r="CZ214" s="1175"/>
      <c r="DA214" s="1176"/>
      <c r="DB214" s="1176"/>
    </row>
    <row s="1619" customFormat="1" customHeight="1" ht="16.5">
      <c r="A215" s="1440"/>
      <c r="B215" s="924"/>
      <c r="C215" s="1440"/>
      <c r="D215" s="1440"/>
      <c r="E215" s="794">
        <v>17.1</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1440"/>
      <c r="Y215" s="1440"/>
      <c r="Z215" s="1440"/>
      <c r="AA215" s="817"/>
      <c r="AB215" s="1491" t="s">
        <v>826</v>
      </c>
      <c r="AC215" s="1619"/>
      <c r="AD215" s="170" t="s">
        <v>827</v>
      </c>
      <c r="AE215" s="1494" t="s">
        <v>828</v>
      </c>
      <c r="AF215" s="320"/>
      <c r="AG215" s="1007"/>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1730"/>
      <c r="CU215" s="1619"/>
      <c r="CV215" s="1619"/>
      <c r="CW215" s="1170" t="s">
        <v>829</v>
      </c>
      <c r="CX215" s="1175"/>
      <c r="CY215" s="1175"/>
      <c r="CZ215" s="1175"/>
      <c r="DA215" s="1176"/>
      <c r="DB215" s="1176"/>
    </row>
    <row s="1619" customFormat="1" customHeight="1" ht="16.5" hidden="1">
      <c r="E216" s="794">
        <v>17.1</v>
      </c>
      <c r="F216" s="919" cm="1" t="str">
        <f t="array" ref="F216:F216">OFFSET(G216,-1,-1)</f>
        <v>1</v>
      </c>
      <c r="L216" s="919" cm="1" t="str">
        <f t="array" ref="L216:L216">OFFSET(M216,-1,-1)</f>
        <v>false</v>
      </c>
      <c r="S216" s="156" cm="1" t="str">
        <f t="array" ref="S216:S216">OFFSET(T216,-1,-1)</f>
        <v>true</v>
      </c>
      <c r="T216" s="156">
        <f>AD216&lt;&gt;"30.0"</f>
        <v>0</v>
      </c>
      <c r="U216" s="816">
        <f>AND(S216,IF(ISBLANK(T216),TRUE,T216))</f>
        <v>0</v>
      </c>
      <c r="X216" s="156" t="s">
        <v>233</v>
      </c>
      <c r="AB216" s="1492"/>
      <c r="AD216" s="157" t="s">
        <v>830</v>
      </c>
      <c r="AE216" s="971"/>
      <c r="AF216" s="622"/>
      <c r="AG216" s="856" t="s">
        <v>490</v>
      </c>
      <c r="AH216" s="90"/>
      <c r="AI216" s="94"/>
      <c r="AJ216" s="94"/>
      <c r="AK216" s="94"/>
      <c r="AL216" s="860"/>
      <c r="AM216" s="94"/>
      <c r="AN216" s="94"/>
      <c r="AO216" s="860"/>
      <c r="AP216" s="981"/>
      <c r="AQ216" s="981"/>
      <c r="AR216" s="860"/>
      <c r="AS216" s="981"/>
      <c r="AT216" s="981"/>
      <c r="AU216" s="860"/>
      <c r="AV216" s="981"/>
      <c r="AW216" s="981"/>
      <c r="AX216" s="860"/>
      <c r="AY216" s="981"/>
      <c r="AZ216" s="981"/>
      <c r="BA216" s="860"/>
      <c r="BB216" s="94"/>
      <c r="BC216" s="94"/>
      <c r="BD216" s="860"/>
      <c r="BE216" s="94"/>
      <c r="BF216" s="94"/>
      <c r="BG216" s="860"/>
      <c r="BH216" s="94"/>
      <c r="BI216" s="94"/>
      <c r="BJ216" s="860"/>
      <c r="BK216" s="94"/>
      <c r="BL216" s="94"/>
      <c r="BM216" s="860"/>
      <c r="BN216" s="94"/>
      <c r="BO216" s="94"/>
      <c r="BP216" s="860"/>
      <c r="BQ216" s="981"/>
      <c r="BR216" s="981"/>
      <c r="BS216" s="860"/>
      <c r="BT216" s="981"/>
      <c r="BU216" s="981"/>
      <c r="BV216" s="860"/>
      <c r="BW216" s="981"/>
      <c r="BX216" s="981"/>
      <c r="BY216" s="860"/>
      <c r="BZ216" s="981"/>
      <c r="CA216" s="981"/>
      <c r="CB216" s="860"/>
      <c r="CC216" s="981"/>
      <c r="CD216" s="981"/>
      <c r="CE216" s="860"/>
      <c r="CF216" s="94"/>
      <c r="CG216" s="94"/>
      <c r="CH216" s="860"/>
      <c r="CI216" s="94"/>
      <c r="CJ216" s="94"/>
      <c r="CK216" s="860"/>
      <c r="CL216" s="94"/>
      <c r="CM216" s="94"/>
      <c r="CN216" s="860"/>
      <c r="CO216" s="94"/>
      <c r="CP216" s="94"/>
      <c r="CQ216" s="860"/>
      <c r="CR216" s="94"/>
      <c r="CS216" s="94"/>
      <c r="CT216" s="73"/>
      <c r="CW216" s="1170" t="s">
        <v>829</v>
      </c>
      <c r="CX216" s="1175" t="s">
        <v>787</v>
      </c>
      <c r="CY216" s="1179" cm="1" t="str">
        <f t="array" ref="CY216:CY216">AE216</f>
        <v>0</v>
      </c>
      <c r="CZ216" s="1179" cm="1" t="str">
        <f t="array" ref="CZ216:CZ216">AF216</f>
        <v>0</v>
      </c>
      <c r="DA216" s="1176"/>
      <c r="DB216" s="1176"/>
    </row>
    <row s="1619" customFormat="1" customHeight="1" ht="16.5">
      <c r="A217" s="1619"/>
      <c r="B217" s="1619"/>
      <c r="C217" s="1619"/>
      <c r="D217" s="1619"/>
      <c r="E217" s="794">
        <v>17.1</v>
      </c>
      <c r="F217" s="919" cm="1" t="str">
        <f t="array" ref="F217:F217">OFFSET(G217,-1,-1)</f>
        <v>1</v>
      </c>
      <c r="G217" s="1619"/>
      <c r="H217" s="1619"/>
      <c r="I217" s="1619"/>
      <c r="J217" s="1619"/>
      <c r="K217" s="1619"/>
      <c r="L217" s="919" cm="1" t="str">
        <f t="array" ref="L217:L217">OFFSET(M217,-1,-1)</f>
        <v>false</v>
      </c>
      <c r="M217" s="1619"/>
      <c r="N217" s="1619"/>
      <c r="O217" s="1619"/>
      <c r="P217" s="1619"/>
      <c r="Q217" s="1619"/>
      <c r="R217" s="1619"/>
      <c r="S217" s="156" cm="1" t="str">
        <f t="array" ref="S217:S217">OFFSET(T217,-1,-1)</f>
        <v>true</v>
      </c>
      <c r="T217" s="156">
        <f>AD217&lt;&gt;"30.0"</f>
        <v>1</v>
      </c>
      <c r="U217" s="816">
        <f>AND(S217,IF(ISBLANK(T217),TRUE,T217))</f>
        <v>1</v>
      </c>
      <c r="V217" s="1619"/>
      <c r="W217" s="1619"/>
      <c r="X217" s="156" t="str">
        <f>'Топливо 4.4'!$AE$213&amp;'Топливо 4.4'!$AF$213</f>
        <v>Уголь бурыйБ</v>
      </c>
      <c r="Y217" s="1619"/>
      <c r="Z217" s="1619"/>
      <c r="AA217" s="1619"/>
      <c r="AB217" s="1492"/>
      <c r="AC217" s="1619"/>
      <c r="AD217" s="157" t="s">
        <v>910</v>
      </c>
      <c r="AE217" s="971" cm="1" t="str">
        <f t="array" ref="AE217:AE217">IF(ISBLANK('Топливо 4.4'!$AE$213),"",'Топливо 4.4'!$AE$213)</f>
        <v>Уголь бурый</v>
      </c>
      <c r="AF217" s="622" cm="1" t="str">
        <f t="array" ref="AF217:AF217">IF(ISBLANK('Топливо 4.4'!$AF$213),"",'Топливо 4.4'!$AF$213)</f>
        <v>Б</v>
      </c>
      <c r="AG217" s="856" t="s">
        <v>490</v>
      </c>
      <c r="AH217" s="1772"/>
      <c r="AI217" s="1777"/>
      <c r="AJ217" s="1777"/>
      <c r="AK217" s="1777"/>
      <c r="AL217" s="860"/>
      <c r="AM217" s="1777"/>
      <c r="AN217" s="1777"/>
      <c r="AO217" s="860"/>
      <c r="AP217" s="981"/>
      <c r="AQ217" s="981"/>
      <c r="AR217" s="860"/>
      <c r="AS217" s="981"/>
      <c r="AT217" s="981"/>
      <c r="AU217" s="860"/>
      <c r="AV217" s="981"/>
      <c r="AW217" s="981"/>
      <c r="AX217" s="860"/>
      <c r="AY217" s="981"/>
      <c r="AZ217" s="981"/>
      <c r="BA217" s="860"/>
      <c r="BB217" s="1777"/>
      <c r="BC217" s="1777"/>
      <c r="BD217" s="860"/>
      <c r="BE217" s="1777"/>
      <c r="BF217" s="1777"/>
      <c r="BG217" s="860"/>
      <c r="BH217" s="1777"/>
      <c r="BI217" s="1777"/>
      <c r="BJ217" s="860"/>
      <c r="BK217" s="1777"/>
      <c r="BL217" s="1777"/>
      <c r="BM217" s="860"/>
      <c r="BN217" s="1777"/>
      <c r="BO217" s="1777"/>
      <c r="BP217" s="860"/>
      <c r="BQ217" s="981"/>
      <c r="BR217" s="981"/>
      <c r="BS217" s="860"/>
      <c r="BT217" s="981"/>
      <c r="BU217" s="981"/>
      <c r="BV217" s="860"/>
      <c r="BW217" s="981"/>
      <c r="BX217" s="981"/>
      <c r="BY217" s="860"/>
      <c r="BZ217" s="981"/>
      <c r="CA217" s="981"/>
      <c r="CB217" s="860"/>
      <c r="CC217" s="981"/>
      <c r="CD217" s="981"/>
      <c r="CE217" s="860"/>
      <c r="CF217" s="1777"/>
      <c r="CG217" s="1777"/>
      <c r="CH217" s="860"/>
      <c r="CI217" s="1777"/>
      <c r="CJ217" s="1777"/>
      <c r="CK217" s="860"/>
      <c r="CL217" s="1777"/>
      <c r="CM217" s="1777"/>
      <c r="CN217" s="860"/>
      <c r="CO217" s="1777"/>
      <c r="CP217" s="1777"/>
      <c r="CQ217" s="860"/>
      <c r="CR217" s="1777"/>
      <c r="CS217" s="1777"/>
      <c r="CT217" s="1730"/>
      <c r="CU217" s="1619"/>
      <c r="CV217" s="1619"/>
      <c r="CW217" s="1170" t="s">
        <v>829</v>
      </c>
      <c r="CX217" s="1175" t="s">
        <v>787</v>
      </c>
      <c r="CY217" s="1179" cm="1" t="str">
        <f t="array" ref="CY217:CY217">AE217</f>
        <v>Уголь бурый</v>
      </c>
      <c r="CZ217" s="1179" cm="1" t="str">
        <f t="array" ref="CZ217:CZ217">AF217</f>
        <v>Б</v>
      </c>
      <c r="DA217" s="1176"/>
      <c r="DB217" s="1176"/>
    </row>
    <row s="1619" customFormat="1" customHeight="1" ht="15" hidden="1">
      <c r="A218" s="1440"/>
      <c r="B218" s="924"/>
      <c r="C218" s="1440"/>
      <c r="D218" s="1440"/>
      <c r="E218" s="794">
        <v>0</v>
      </c>
      <c r="F218" s="919" cm="1" t="str">
        <f t="array" ref="F218:F218">OFFSET(G218,-1,-1)</f>
        <v>1</v>
      </c>
      <c r="G218" s="962"/>
      <c r="H218" s="962"/>
      <c r="I218" s="962"/>
      <c r="J218" s="962"/>
      <c r="K218" s="962"/>
      <c r="L218" s="919" cm="1" t="str">
        <f t="array" ref="L218:L218">OFFSET(M218,-1,-1)</f>
        <v>false</v>
      </c>
      <c r="M218" s="962"/>
      <c r="N218" s="962"/>
      <c r="O218" s="962"/>
      <c r="P218" s="962"/>
      <c r="Q218" s="962"/>
      <c r="R218" s="1440"/>
      <c r="S218" s="156" cm="1" t="str">
        <f t="array" ref="S218:S218">OFFSET(T218,-1,-1)</f>
        <v>true</v>
      </c>
      <c r="T218" s="1440"/>
      <c r="U218" s="816">
        <f>AND(S218,IF(ISBLANK(T218),TRUE,T218))</f>
        <v>1</v>
      </c>
      <c r="V218" s="1440"/>
      <c r="W218" s="1440"/>
      <c r="X218" s="970" t="str">
        <f>"{                  
         funcDyn: 'msg1',
         blok: 'blok_2',
         wsCross: 'Топливо 4.4',
         linkFormula: 'AE-AE#AF-AF',
         levelDyn: "&amp;Y139&amp;"
}"</f>
        <v>{                  
         funcDyn: 'msg1',
         blok: 'blok_2',
         wsCross: 'Топливо 4.4',
         linkFormula: 'AE-AE#AF-AF',
         levelDyn: 1
}</v>
      </c>
      <c r="Y218" s="1440"/>
      <c r="Z218" s="1440"/>
      <c r="AA218" s="817"/>
      <c r="AB218" s="1492"/>
      <c r="AC218" s="1619"/>
      <c r="AD218" s="973"/>
      <c r="AE218" s="972" t="s">
        <v>235</v>
      </c>
      <c r="AF218" s="871"/>
      <c r="AG218" s="856"/>
      <c r="AH218" s="873"/>
      <c r="AI218" s="95"/>
      <c r="AJ218" s="95"/>
      <c r="AK218" s="95"/>
      <c r="AL218" s="860"/>
      <c r="AM218" s="95"/>
      <c r="AN218" s="95"/>
      <c r="AO218" s="860"/>
      <c r="AP218" s="95"/>
      <c r="AQ218" s="95"/>
      <c r="AR218" s="860"/>
      <c r="AS218" s="95"/>
      <c r="AT218" s="95"/>
      <c r="AU218" s="860"/>
      <c r="AV218" s="95"/>
      <c r="AW218" s="95"/>
      <c r="AX218" s="860"/>
      <c r="AY218" s="95"/>
      <c r="AZ218" s="95"/>
      <c r="BA218" s="860"/>
      <c r="BB218" s="95"/>
      <c r="BC218" s="95"/>
      <c r="BD218" s="860"/>
      <c r="BE218" s="95"/>
      <c r="BF218" s="95"/>
      <c r="BG218" s="860"/>
      <c r="BH218" s="95"/>
      <c r="BI218" s="95"/>
      <c r="BJ218" s="860"/>
      <c r="BK218" s="95"/>
      <c r="BL218" s="95"/>
      <c r="BM218" s="860"/>
      <c r="BN218" s="95"/>
      <c r="BO218" s="95"/>
      <c r="BP218" s="860"/>
      <c r="BQ218" s="95"/>
      <c r="BR218" s="95"/>
      <c r="BS218" s="860"/>
      <c r="BT218" s="95"/>
      <c r="BU218" s="95"/>
      <c r="BV218" s="860"/>
      <c r="BW218" s="95"/>
      <c r="BX218" s="95"/>
      <c r="BY218" s="860"/>
      <c r="BZ218" s="95"/>
      <c r="CA218" s="95"/>
      <c r="CB218" s="860"/>
      <c r="CC218" s="95"/>
      <c r="CD218" s="95"/>
      <c r="CE218" s="860"/>
      <c r="CF218" s="95"/>
      <c r="CG218" s="95"/>
      <c r="CH218" s="860"/>
      <c r="CI218" s="95"/>
      <c r="CJ218" s="95"/>
      <c r="CK218" s="860"/>
      <c r="CL218" s="95"/>
      <c r="CM218" s="95"/>
      <c r="CN218" s="860"/>
      <c r="CO218" s="95"/>
      <c r="CP218" s="95"/>
      <c r="CQ218" s="860"/>
      <c r="CR218" s="95"/>
      <c r="CS218" s="95"/>
      <c r="CT218" s="91"/>
      <c r="CU218" s="1619"/>
      <c r="CV218" s="1619"/>
      <c r="CW218" s="1170" t="str">
        <f>IF(AND(ISNUMBER(VALUE(TRIM(SUBSTITUTE(AD218,".","")))),TRIM(SUBSTITUTE(AD218,".",""))&lt;&gt;""),"P"&amp;SUBSTITUTE(AD218,".",""),"")</f>
        <v/>
      </c>
      <c r="CX218" s="1175"/>
      <c r="CY218" s="1175"/>
      <c r="CZ218" s="1175"/>
      <c r="DA218" s="1176"/>
      <c r="DB218" s="1176"/>
    </row>
    <row s="1619" customFormat="1" customHeight="1" ht="16.5">
      <c r="A219" s="1440"/>
      <c r="B219" s="924"/>
      <c r="C219" s="1440"/>
      <c r="D219" s="1440"/>
      <c r="E219" s="794">
        <v>17.1</v>
      </c>
      <c r="F219" s="919" cm="1" t="str">
        <f t="array" ref="F219:F219">OFFSET(G219,-1,-1)</f>
        <v>1</v>
      </c>
      <c r="G219" s="962"/>
      <c r="H219" s="962"/>
      <c r="I219" s="962"/>
      <c r="J219" s="962"/>
      <c r="K219" s="962"/>
      <c r="L219" s="919" cm="1" t="str">
        <f t="array" ref="L219:L219">OFFSET(M219,-1,-1)</f>
        <v>false</v>
      </c>
      <c r="M219" s="962"/>
      <c r="N219" s="962"/>
      <c r="O219" s="962"/>
      <c r="P219" s="962"/>
      <c r="Q219" s="962"/>
      <c r="R219" s="1440"/>
      <c r="S219" s="156" cm="1" t="str">
        <f t="array" ref="S219:S219">OFFSET(T219,-1,-1)</f>
        <v>true</v>
      </c>
      <c r="T219" s="1440"/>
      <c r="U219" s="816">
        <f>AND(S219,IF(ISBLANK(T219),TRUE,T219))</f>
        <v>1</v>
      </c>
      <c r="V219" s="1440"/>
      <c r="W219" s="1440"/>
      <c r="X219" s="1440"/>
      <c r="Y219" s="1440"/>
      <c r="Z219" s="1440"/>
      <c r="AA219" s="817"/>
      <c r="AB219" s="1492"/>
      <c r="AC219" s="1619"/>
      <c r="AD219" s="170" t="s">
        <v>831</v>
      </c>
      <c r="AE219" s="1494" t="s">
        <v>832</v>
      </c>
      <c r="AF219" s="320"/>
      <c r="AG219" s="1007"/>
      <c r="AH219" s="858"/>
      <c r="AI219" s="860"/>
      <c r="AJ219" s="860"/>
      <c r="AK219" s="860"/>
      <c r="AL219" s="860"/>
      <c r="AM219" s="860"/>
      <c r="AN219" s="860"/>
      <c r="AO219" s="860"/>
      <c r="AP219" s="860"/>
      <c r="AQ219" s="860"/>
      <c r="AR219" s="860"/>
      <c r="AS219" s="860"/>
      <c r="AT219" s="860"/>
      <c r="AU219" s="860"/>
      <c r="AV219" s="860"/>
      <c r="AW219" s="860"/>
      <c r="AX219" s="860"/>
      <c r="AY219" s="860"/>
      <c r="AZ219" s="860"/>
      <c r="BA219" s="860"/>
      <c r="BB219" s="860"/>
      <c r="BC219" s="860"/>
      <c r="BD219" s="860"/>
      <c r="BE219" s="860"/>
      <c r="BF219" s="860"/>
      <c r="BG219" s="860"/>
      <c r="BH219" s="860"/>
      <c r="BI219" s="860"/>
      <c r="BJ219" s="860"/>
      <c r="BK219" s="860"/>
      <c r="BL219" s="860"/>
      <c r="BM219" s="860"/>
      <c r="BN219" s="860"/>
      <c r="BO219" s="860"/>
      <c r="BP219" s="860"/>
      <c r="BQ219" s="860"/>
      <c r="BR219" s="860"/>
      <c r="BS219" s="860"/>
      <c r="BT219" s="860"/>
      <c r="BU219" s="860"/>
      <c r="BV219" s="860"/>
      <c r="BW219" s="860"/>
      <c r="BX219" s="860"/>
      <c r="BY219" s="860"/>
      <c r="BZ219" s="860"/>
      <c r="CA219" s="860"/>
      <c r="CB219" s="860"/>
      <c r="CC219" s="860"/>
      <c r="CD219" s="860"/>
      <c r="CE219" s="860"/>
      <c r="CF219" s="860"/>
      <c r="CG219" s="860"/>
      <c r="CH219" s="860"/>
      <c r="CI219" s="860"/>
      <c r="CJ219" s="860"/>
      <c r="CK219" s="860"/>
      <c r="CL219" s="860"/>
      <c r="CM219" s="860"/>
      <c r="CN219" s="860"/>
      <c r="CO219" s="860"/>
      <c r="CP219" s="860"/>
      <c r="CQ219" s="860"/>
      <c r="CR219" s="860"/>
      <c r="CS219" s="860"/>
      <c r="CT219" s="1730"/>
      <c r="CU219" s="1619"/>
      <c r="CV219" s="1619"/>
      <c r="CW219" s="1170" t="s">
        <v>833</v>
      </c>
      <c r="CX219" s="1175"/>
      <c r="CY219" s="1175"/>
      <c r="CZ219" s="1175"/>
      <c r="DA219" s="1176"/>
      <c r="DB219" s="1176"/>
    </row>
    <row s="1619" customFormat="1" customHeight="1" ht="16.5" hidden="1">
      <c r="E220" s="794">
        <v>17.1</v>
      </c>
      <c r="F220" s="919" cm="1" t="str">
        <f t="array" ref="F220:F220">OFFSET(G220,-1,-1)</f>
        <v>1</v>
      </c>
      <c r="L220" s="919" cm="1" t="str">
        <f t="array" ref="L220:L220">OFFSET(M220,-1,-1)</f>
        <v>false</v>
      </c>
      <c r="S220" s="156" cm="1" t="str">
        <f t="array" ref="S220:S220">OFFSET(T220,-1,-1)</f>
        <v>true</v>
      </c>
      <c r="T220" s="156">
        <f>AD220&lt;&gt;"31.0"</f>
        <v>0</v>
      </c>
      <c r="U220" s="816">
        <f>AND(S220,IF(ISBLANK(T220),TRUE,T220))</f>
        <v>0</v>
      </c>
      <c r="X220" s="156" t="s">
        <v>233</v>
      </c>
      <c r="AB220" s="1492"/>
      <c r="AD220" s="157" t="s">
        <v>834</v>
      </c>
      <c r="AE220" s="971"/>
      <c r="AF220" s="622"/>
      <c r="AG220" s="1067"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59">
        <f>_xlfn.IFERROR(AL225/AL178,0)*1000</f>
        <v>0</v>
      </c>
      <c r="AM220" s="87"/>
      <c r="AN220" s="87"/>
      <c r="AO220" s="859">
        <f>_xlfn.IFERROR(AO225/AO178,0)*1000</f>
        <v>0</v>
      </c>
      <c r="AP220" s="976"/>
      <c r="AQ220" s="976"/>
      <c r="AR220" s="859">
        <f>_xlfn.IFERROR(AR225/AR178,0)*1000</f>
        <v>0</v>
      </c>
      <c r="AS220" s="976"/>
      <c r="AT220" s="976"/>
      <c r="AU220" s="859">
        <f>_xlfn.IFERROR(AU225/AU178,0)*1000</f>
        <v>0</v>
      </c>
      <c r="AV220" s="976"/>
      <c r="AW220" s="976"/>
      <c r="AX220" s="859">
        <f>_xlfn.IFERROR(AX225/AX178,0)*1000</f>
        <v>0</v>
      </c>
      <c r="AY220" s="976"/>
      <c r="AZ220" s="976"/>
      <c r="BA220" s="859">
        <f>_xlfn.IFERROR(BA225/BA178,0)*1000</f>
        <v>0</v>
      </c>
      <c r="BB220" s="87"/>
      <c r="BC220" s="87"/>
      <c r="BD220" s="859">
        <f>_xlfn.IFERROR(BD225/BD178,0)*1000</f>
        <v>0</v>
      </c>
      <c r="BE220" s="87"/>
      <c r="BF220" s="87"/>
      <c r="BG220" s="859">
        <f>_xlfn.IFERROR(BG225/BG178,0)*1000</f>
        <v>0</v>
      </c>
      <c r="BH220" s="87"/>
      <c r="BI220" s="87"/>
      <c r="BJ220" s="859">
        <f>_xlfn.IFERROR(BJ225/BJ178,0)*1000</f>
        <v>0</v>
      </c>
      <c r="BK220" s="87"/>
      <c r="BL220" s="87"/>
      <c r="BM220" s="859">
        <f>_xlfn.IFERROR(BM225/BM178,0)*1000</f>
        <v>0</v>
      </c>
      <c r="BN220" s="87"/>
      <c r="BO220" s="87"/>
      <c r="BP220" s="859">
        <f>_xlfn.IFERROR(BP225/BP178,0)*1000</f>
        <v>0</v>
      </c>
      <c r="BQ220" s="976"/>
      <c r="BR220" s="976"/>
      <c r="BS220" s="859">
        <f>_xlfn.IFERROR(BS225/BS178,0)*1000</f>
        <v>0</v>
      </c>
      <c r="BT220" s="976"/>
      <c r="BU220" s="976"/>
      <c r="BV220" s="859">
        <f>_xlfn.IFERROR(BV225/BV178,0)*1000</f>
        <v>0</v>
      </c>
      <c r="BW220" s="976"/>
      <c r="BX220" s="976"/>
      <c r="BY220" s="859">
        <f>_xlfn.IFERROR(BY225/BY178,0)*1000</f>
        <v>0</v>
      </c>
      <c r="BZ220" s="976"/>
      <c r="CA220" s="976"/>
      <c r="CB220" s="859">
        <f>_xlfn.IFERROR(CB225/CB178,0)*1000</f>
        <v>0</v>
      </c>
      <c r="CC220" s="976"/>
      <c r="CD220" s="976"/>
      <c r="CE220" s="859">
        <f>_xlfn.IFERROR(CE225/CE178,0)*1000</f>
        <v>0</v>
      </c>
      <c r="CF220" s="87"/>
      <c r="CG220" s="87"/>
      <c r="CH220" s="859">
        <f>_xlfn.IFERROR(CH225/CH178,0)*1000</f>
        <v>0</v>
      </c>
      <c r="CI220" s="87"/>
      <c r="CJ220" s="87"/>
      <c r="CK220" s="859">
        <f>_xlfn.IFERROR(CK225/CK178,0)*1000</f>
        <v>0</v>
      </c>
      <c r="CL220" s="87"/>
      <c r="CM220" s="87"/>
      <c r="CN220" s="859">
        <f>_xlfn.IFERROR(CN225/CN178,0)*1000</f>
        <v>0</v>
      </c>
      <c r="CO220" s="87"/>
      <c r="CP220" s="87"/>
      <c r="CQ220" s="859">
        <f>_xlfn.IFERROR(CQ225/CQ178,0)*1000</f>
        <v>0</v>
      </c>
      <c r="CR220" s="87"/>
      <c r="CS220" s="87"/>
      <c r="CT220" s="73"/>
      <c r="CW220" s="1170" t="s">
        <v>833</v>
      </c>
      <c r="CX220" s="1175" t="s">
        <v>787</v>
      </c>
      <c r="CY220" s="1179" cm="1" t="str">
        <f t="array" ref="CY220:CY220">AE220</f>
        <v>0</v>
      </c>
      <c r="CZ220" s="1179" cm="1" t="str">
        <f t="array" ref="CZ220:CZ220">AF220</f>
        <v>0</v>
      </c>
      <c r="DA220" s="1176"/>
      <c r="DB220" s="1176"/>
    </row>
    <row s="1619" customFormat="1" customHeight="1" ht="16.5">
      <c r="A221" s="1619"/>
      <c r="B221" s="1619"/>
      <c r="C221" s="1619"/>
      <c r="D221" s="1619"/>
      <c r="E221" s="794">
        <v>17.1</v>
      </c>
      <c r="F221" s="919" cm="1" t="str">
        <f t="array" ref="F221:F221">OFFSET(G221,-1,-1)</f>
        <v>1</v>
      </c>
      <c r="G221" s="1619"/>
      <c r="H221" s="1619"/>
      <c r="I221" s="1619"/>
      <c r="J221" s="1619"/>
      <c r="K221" s="1619"/>
      <c r="L221" s="919" cm="1" t="str">
        <f t="array" ref="L221:L221">OFFSET(M221,-1,-1)</f>
        <v>false</v>
      </c>
      <c r="M221" s="1619"/>
      <c r="N221" s="1619"/>
      <c r="O221" s="1619"/>
      <c r="P221" s="1619"/>
      <c r="Q221" s="1619"/>
      <c r="R221" s="1619"/>
      <c r="S221" s="156" cm="1" t="str">
        <f t="array" ref="S221:S221">OFFSET(T221,-1,-1)</f>
        <v>true</v>
      </c>
      <c r="T221" s="156">
        <f>AD221&lt;&gt;"31.0"</f>
        <v>1</v>
      </c>
      <c r="U221" s="816">
        <f>AND(S221,IF(ISBLANK(T221),TRUE,T221))</f>
        <v>1</v>
      </c>
      <c r="V221" s="1619"/>
      <c r="W221" s="1619"/>
      <c r="X221" s="156" t="str">
        <f>'Топливо 4.4'!$AE$217&amp;'Топливо 4.4'!$AF$217</f>
        <v>Уголь бурыйБ</v>
      </c>
      <c r="Y221" s="1619"/>
      <c r="Z221" s="1619"/>
      <c r="AA221" s="1619"/>
      <c r="AB221" s="1492"/>
      <c r="AC221" s="1619"/>
      <c r="AD221" s="157" t="s">
        <v>911</v>
      </c>
      <c r="AE221" s="971" cm="1" t="str">
        <f t="array" ref="AE221:AE221">IF(ISBLANK('Топливо 4.4'!$AE$217),"",'Топливо 4.4'!$AE$217)</f>
        <v>Уголь бурый</v>
      </c>
      <c r="AF221" s="622" cm="1" t="str">
        <f t="array" ref="AF221:AF221">IF(ISBLANK('Топливо 4.4'!$AF$217),"",'Топливо 4.4'!$AF$217)</f>
        <v>Б</v>
      </c>
      <c r="AG221" s="1067" t="str">
        <f>"руб./"&amp;_xlfn.IFERROR(INDEX(fuel_ed_izm_list,MATCH(AE221,fuel_list,0)),"")</f>
        <v>руб./тнт</v>
      </c>
      <c r="AH221" s="1768">
        <f>_xlfn.IFERROR(AH226/AH179,0)*1000</f>
        <v>0</v>
      </c>
      <c r="AI221" s="1768">
        <f>_xlfn.IFERROR(AI226/AI179,0)*1000</f>
        <v>0</v>
      </c>
      <c r="AJ221" s="1768">
        <f>_xlfn.IFERROR(AJ226/AJ179,0)*1000</f>
        <v>0</v>
      </c>
      <c r="AK221" s="1768">
        <f>_xlfn.IFERROR(AK226/AK179,0)*1000</f>
        <v>0</v>
      </c>
      <c r="AL221" s="859">
        <f>_xlfn.IFERROR(AL226/AL179,0)*1000</f>
        <v>0</v>
      </c>
      <c r="AM221" s="1766"/>
      <c r="AN221" s="1766"/>
      <c r="AO221" s="859">
        <f>_xlfn.IFERROR(AO226/AO179,0)*1000</f>
        <v>0</v>
      </c>
      <c r="AP221" s="976"/>
      <c r="AQ221" s="976"/>
      <c r="AR221" s="859">
        <f>_xlfn.IFERROR(AR226/AR179,0)*1000</f>
        <v>0</v>
      </c>
      <c r="AS221" s="976"/>
      <c r="AT221" s="976"/>
      <c r="AU221" s="859">
        <f>_xlfn.IFERROR(AU226/AU179,0)*1000</f>
        <v>0</v>
      </c>
      <c r="AV221" s="976"/>
      <c r="AW221" s="976"/>
      <c r="AX221" s="859">
        <f>_xlfn.IFERROR(AX226/AX179,0)*1000</f>
        <v>0</v>
      </c>
      <c r="AY221" s="976"/>
      <c r="AZ221" s="976"/>
      <c r="BA221" s="859">
        <f>_xlfn.IFERROR(BA226/BA179,0)*1000</f>
        <v>0</v>
      </c>
      <c r="BB221" s="1766"/>
      <c r="BC221" s="1766"/>
      <c r="BD221" s="859">
        <f>_xlfn.IFERROR(BD226/BD179,0)*1000</f>
        <v>0</v>
      </c>
      <c r="BE221" s="1766"/>
      <c r="BF221" s="1766"/>
      <c r="BG221" s="859">
        <f>_xlfn.IFERROR(BG226/BG179,0)*1000</f>
        <v>0</v>
      </c>
      <c r="BH221" s="1766"/>
      <c r="BI221" s="1766"/>
      <c r="BJ221" s="859">
        <f>_xlfn.IFERROR(BJ226/BJ179,0)*1000</f>
        <v>0</v>
      </c>
      <c r="BK221" s="1766"/>
      <c r="BL221" s="1766"/>
      <c r="BM221" s="859">
        <f>_xlfn.IFERROR(BM226/BM179,0)*1000</f>
        <v>0</v>
      </c>
      <c r="BN221" s="1766"/>
      <c r="BO221" s="1766"/>
      <c r="BP221" s="859">
        <f>_xlfn.IFERROR(BP226/BP179,0)*1000</f>
        <v>0</v>
      </c>
      <c r="BQ221" s="976"/>
      <c r="BR221" s="976"/>
      <c r="BS221" s="859">
        <f>_xlfn.IFERROR(BS226/BS179,0)*1000</f>
        <v>0</v>
      </c>
      <c r="BT221" s="976"/>
      <c r="BU221" s="976"/>
      <c r="BV221" s="859">
        <f>_xlfn.IFERROR(BV226/BV179,0)*1000</f>
        <v>0</v>
      </c>
      <c r="BW221" s="976"/>
      <c r="BX221" s="976"/>
      <c r="BY221" s="859">
        <f>_xlfn.IFERROR(BY226/BY179,0)*1000</f>
        <v>0</v>
      </c>
      <c r="BZ221" s="976"/>
      <c r="CA221" s="976"/>
      <c r="CB221" s="859">
        <f>_xlfn.IFERROR(CB226/CB179,0)*1000</f>
        <v>0</v>
      </c>
      <c r="CC221" s="976"/>
      <c r="CD221" s="976"/>
      <c r="CE221" s="859">
        <f>_xlfn.IFERROR(CE226/CE179,0)*1000</f>
        <v>0</v>
      </c>
      <c r="CF221" s="1766"/>
      <c r="CG221" s="1766"/>
      <c r="CH221" s="859">
        <f>_xlfn.IFERROR(CH226/CH179,0)*1000</f>
        <v>0</v>
      </c>
      <c r="CI221" s="1766"/>
      <c r="CJ221" s="1766"/>
      <c r="CK221" s="859">
        <f>_xlfn.IFERROR(CK226/CK179,0)*1000</f>
        <v>0</v>
      </c>
      <c r="CL221" s="1766"/>
      <c r="CM221" s="1766"/>
      <c r="CN221" s="859">
        <f>_xlfn.IFERROR(CN226/CN179,0)*1000</f>
        <v>0</v>
      </c>
      <c r="CO221" s="1766"/>
      <c r="CP221" s="1766"/>
      <c r="CQ221" s="859">
        <f>_xlfn.IFERROR(CQ226/CQ179,0)*1000</f>
        <v>0</v>
      </c>
      <c r="CR221" s="1766"/>
      <c r="CS221" s="1766"/>
      <c r="CT221" s="1730"/>
      <c r="CU221" s="1619"/>
      <c r="CV221" s="1619"/>
      <c r="CW221" s="1170" t="s">
        <v>833</v>
      </c>
      <c r="CX221" s="1175" t="s">
        <v>787</v>
      </c>
      <c r="CY221" s="1179" cm="1" t="str">
        <f t="array" ref="CY221:CY221">AE221</f>
        <v>Уголь бурый</v>
      </c>
      <c r="CZ221" s="1179" cm="1" t="str">
        <f t="array" ref="CZ221:CZ221">AF221</f>
        <v>Б</v>
      </c>
      <c r="DA221" s="1176"/>
      <c r="DB221" s="1176"/>
    </row>
    <row s="1619" customFormat="1" customHeight="1" ht="15" hidden="1">
      <c r="A222" s="1440"/>
      <c r="B222" s="924"/>
      <c r="C222" s="1440"/>
      <c r="D222" s="1440"/>
      <c r="E222" s="794">
        <v>0</v>
      </c>
      <c r="F222" s="919" cm="1" t="str">
        <f t="array" ref="F222:F222">OFFSET(G222,-1,-1)</f>
        <v>1</v>
      </c>
      <c r="G222" s="962"/>
      <c r="H222" s="962"/>
      <c r="I222" s="962"/>
      <c r="J222" s="962"/>
      <c r="K222" s="962"/>
      <c r="L222" s="919" cm="1" t="str">
        <f t="array" ref="L222:L222">OFFSET(M222,-1,-1)</f>
        <v>false</v>
      </c>
      <c r="M222" s="962"/>
      <c r="N222" s="962"/>
      <c r="O222" s="962"/>
      <c r="P222" s="962"/>
      <c r="Q222" s="962"/>
      <c r="R222" s="1440"/>
      <c r="S222" s="156" cm="1" t="str">
        <f t="array" ref="S222:S222">OFFSET(T222,-1,-1)</f>
        <v>true</v>
      </c>
      <c r="T222" s="1440"/>
      <c r="U222" s="816">
        <f>AND(S222,IF(ISBLANK(T222),TRUE,T222))</f>
        <v>1</v>
      </c>
      <c r="V222" s="1440"/>
      <c r="W222" s="1440"/>
      <c r="X222" s="970" t="str">
        <f>"{                  
         funcDyn: 'msg1',
         blok: 'blok_2',
         wsCross: 'Топливо 4.4',
         linkFormula: 'AE-AE#AF-AF',
         levelDyn: "&amp;Y139&amp;"
}"</f>
        <v>{                  
         funcDyn: 'msg1',
         blok: 'blok_2',
         wsCross: 'Топливо 4.4',
         linkFormula: 'AE-AE#AF-AF',
         levelDyn: 1
}</v>
      </c>
      <c r="Y222" s="1440"/>
      <c r="Z222" s="1440"/>
      <c r="AA222" s="817"/>
      <c r="AB222" s="1492"/>
      <c r="AC222" s="1619"/>
      <c r="AD222" s="973"/>
      <c r="AE222" s="972" t="s">
        <v>235</v>
      </c>
      <c r="AF222" s="871"/>
      <c r="AG222" s="856"/>
      <c r="AH222" s="860"/>
      <c r="AI222" s="860"/>
      <c r="AJ222" s="860"/>
      <c r="AK222" s="860"/>
      <c r="AL222" s="860"/>
      <c r="AM222" s="860"/>
      <c r="AN222" s="860"/>
      <c r="AO222" s="860"/>
      <c r="AP222" s="860"/>
      <c r="AQ222" s="860"/>
      <c r="AR222" s="860"/>
      <c r="AS222" s="860"/>
      <c r="AT222" s="860"/>
      <c r="AU222" s="860"/>
      <c r="AV222" s="860"/>
      <c r="AW222" s="860"/>
      <c r="AX222" s="860"/>
      <c r="AY222" s="860"/>
      <c r="AZ222" s="860"/>
      <c r="BA222" s="860"/>
      <c r="BB222" s="860"/>
      <c r="BC222" s="860"/>
      <c r="BD222" s="860"/>
      <c r="BE222" s="860"/>
      <c r="BF222" s="860"/>
      <c r="BG222" s="860"/>
      <c r="BH222" s="860"/>
      <c r="BI222" s="860"/>
      <c r="BJ222" s="860"/>
      <c r="BK222" s="860"/>
      <c r="BL222" s="860"/>
      <c r="BM222" s="860"/>
      <c r="BN222" s="860"/>
      <c r="BO222" s="860"/>
      <c r="BP222" s="860"/>
      <c r="BQ222" s="860"/>
      <c r="BR222" s="860"/>
      <c r="BS222" s="860"/>
      <c r="BT222" s="860"/>
      <c r="BU222" s="860"/>
      <c r="BV222" s="860"/>
      <c r="BW222" s="860"/>
      <c r="BX222" s="860"/>
      <c r="BY222" s="860"/>
      <c r="BZ222" s="860"/>
      <c r="CA222" s="860"/>
      <c r="CB222" s="860"/>
      <c r="CC222" s="860"/>
      <c r="CD222" s="860"/>
      <c r="CE222" s="860"/>
      <c r="CF222" s="860"/>
      <c r="CG222" s="860"/>
      <c r="CH222" s="860"/>
      <c r="CI222" s="860"/>
      <c r="CJ222" s="860"/>
      <c r="CK222" s="860"/>
      <c r="CL222" s="860"/>
      <c r="CM222" s="860"/>
      <c r="CN222" s="860"/>
      <c r="CO222" s="860"/>
      <c r="CP222" s="860"/>
      <c r="CQ222" s="860"/>
      <c r="CR222" s="860"/>
      <c r="CS222" s="860"/>
      <c r="CT222" s="91"/>
      <c r="CU222" s="1619"/>
      <c r="CV222" s="1619"/>
      <c r="CW222" s="1170" t="str">
        <f>IF(AND(ISNUMBER(VALUE(TRIM(SUBSTITUTE(AD222,".","")))),TRIM(SUBSTITUTE(AD222,".",""))&lt;&gt;""),"P"&amp;SUBSTITUTE(AD222,".",""),"")</f>
        <v/>
      </c>
      <c r="CX222" s="1175"/>
      <c r="CY222" s="1175"/>
      <c r="CZ222" s="1175"/>
      <c r="DA222" s="1176"/>
      <c r="DB222" s="1176"/>
    </row>
    <row s="1619" customFormat="1" customHeight="1" ht="16.5">
      <c r="A223" s="1440"/>
      <c r="B223" s="924"/>
      <c r="C223" s="1440"/>
      <c r="D223" s="1440"/>
      <c r="E223" s="794">
        <v>17.1</v>
      </c>
      <c r="F223" s="919" cm="1" t="str">
        <f t="array" ref="F223:F223">OFFSET(G223,-1,-1)</f>
        <v>1</v>
      </c>
      <c r="G223" s="962"/>
      <c r="H223" s="962"/>
      <c r="I223" s="962"/>
      <c r="J223" s="962"/>
      <c r="K223" s="962"/>
      <c r="L223" s="919" cm="1" t="str">
        <f t="array" ref="L223:L223">OFFSET(M223,-1,-1)</f>
        <v>false</v>
      </c>
      <c r="M223" s="962"/>
      <c r="N223" s="962"/>
      <c r="O223" s="962"/>
      <c r="P223" s="962"/>
      <c r="Q223" s="962"/>
      <c r="R223" s="1440"/>
      <c r="S223" s="156" cm="1" t="str">
        <f t="array" ref="S223:S223">OFFSET(T223,-1,-1)</f>
        <v>true</v>
      </c>
      <c r="T223" s="1440"/>
      <c r="U223" s="816">
        <f>AND(S223,IF(ISBLANK(T223),TRUE,T223))</f>
        <v>1</v>
      </c>
      <c r="V223" s="1440"/>
      <c r="W223" s="1440"/>
      <c r="X223" s="1440"/>
      <c r="Y223" s="1440"/>
      <c r="Z223" s="1440"/>
      <c r="AA223" s="817"/>
      <c r="AB223" s="1492"/>
      <c r="AC223" s="1619"/>
      <c r="AD223" s="170" t="s">
        <v>835</v>
      </c>
      <c r="AE223" s="1494" t="s">
        <v>836</v>
      </c>
      <c r="AF223" s="320"/>
      <c r="AG223" s="856" t="s">
        <v>805</v>
      </c>
      <c r="AH223" s="857">
        <f>SUM(AH225:AH227)</f>
        <v>0</v>
      </c>
      <c r="AI223" s="857">
        <f>SUM(AI225:AI227)</f>
        <v>0</v>
      </c>
      <c r="AJ223" s="857">
        <f>SUM(AJ225:AJ227)</f>
        <v>0</v>
      </c>
      <c r="AK223" s="857">
        <f>SUM(AK225:AK227)</f>
        <v>0</v>
      </c>
      <c r="AL223" s="857">
        <f>SUM(AL225:AL227)</f>
        <v>0</v>
      </c>
      <c r="AM223" s="857">
        <f>SUM(AM225:AM227)</f>
        <v>0</v>
      </c>
      <c r="AN223" s="857">
        <f>SUM(AN225:AN227)</f>
        <v>0</v>
      </c>
      <c r="AO223" s="857">
        <f>SUM(AO225:AO227)</f>
        <v>0</v>
      </c>
      <c r="AP223" s="857">
        <f>SUM(AP225:AP227)</f>
        <v>0</v>
      </c>
      <c r="AQ223" s="857">
        <f>SUM(AQ225:AQ227)</f>
        <v>0</v>
      </c>
      <c r="AR223" s="857">
        <f>SUM(AR225:AR227)</f>
        <v>0</v>
      </c>
      <c r="AS223" s="857">
        <f>SUM(AS225:AS227)</f>
        <v>0</v>
      </c>
      <c r="AT223" s="857">
        <f>SUM(AT225:AT227)</f>
        <v>0</v>
      </c>
      <c r="AU223" s="857">
        <f>SUM(AU225:AU227)</f>
        <v>0</v>
      </c>
      <c r="AV223" s="857">
        <f>SUM(AV225:AV227)</f>
        <v>0</v>
      </c>
      <c r="AW223" s="857">
        <f>SUM(AW225:AW227)</f>
        <v>0</v>
      </c>
      <c r="AX223" s="857">
        <f>SUM(AX225:AX227)</f>
        <v>0</v>
      </c>
      <c r="AY223" s="857">
        <f>SUM(AY225:AY227)</f>
        <v>0</v>
      </c>
      <c r="AZ223" s="857">
        <f>SUM(AZ225:AZ227)</f>
        <v>0</v>
      </c>
      <c r="BA223" s="857">
        <f>SUM(BA225:BA227)</f>
        <v>0</v>
      </c>
      <c r="BB223" s="857">
        <f>SUM(BB225:BB227)</f>
        <v>0</v>
      </c>
      <c r="BC223" s="857">
        <f>SUM(BC225:BC227)</f>
        <v>0</v>
      </c>
      <c r="BD223" s="857">
        <f>SUM(BD225:BD227)</f>
        <v>0</v>
      </c>
      <c r="BE223" s="857">
        <f>SUM(BE225:BE227)</f>
        <v>0</v>
      </c>
      <c r="BF223" s="857">
        <f>SUM(BF225:BF227)</f>
        <v>0</v>
      </c>
      <c r="BG223" s="857">
        <f>SUM(BG225:BG227)</f>
        <v>0</v>
      </c>
      <c r="BH223" s="857">
        <f>SUM(BH225:BH227)</f>
        <v>0</v>
      </c>
      <c r="BI223" s="857">
        <f>SUM(BI225:BI227)</f>
        <v>0</v>
      </c>
      <c r="BJ223" s="857">
        <f>SUM(BJ225:BJ227)</f>
        <v>0</v>
      </c>
      <c r="BK223" s="857">
        <f>SUM(BK225:BK227)</f>
        <v>0</v>
      </c>
      <c r="BL223" s="857">
        <f>SUM(BL225:BL227)</f>
        <v>0</v>
      </c>
      <c r="BM223" s="857">
        <f>SUM(BM225:BM227)</f>
        <v>0</v>
      </c>
      <c r="BN223" s="857">
        <f>SUM(BN225:BN227)</f>
        <v>0</v>
      </c>
      <c r="BO223" s="857">
        <f>SUM(BO225:BO227)</f>
        <v>0</v>
      </c>
      <c r="BP223" s="857">
        <f>SUM(BP225:BP227)</f>
        <v>0</v>
      </c>
      <c r="BQ223" s="857">
        <f>SUM(BQ225:BQ227)</f>
        <v>0</v>
      </c>
      <c r="BR223" s="857">
        <f>SUM(BR225:BR227)</f>
        <v>0</v>
      </c>
      <c r="BS223" s="857">
        <f>SUM(BS225:BS227)</f>
        <v>0</v>
      </c>
      <c r="BT223" s="857">
        <f>SUM(BT225:BT227)</f>
        <v>0</v>
      </c>
      <c r="BU223" s="857">
        <f>SUM(BU225:BU227)</f>
        <v>0</v>
      </c>
      <c r="BV223" s="857">
        <f>SUM(BV225:BV227)</f>
        <v>0</v>
      </c>
      <c r="BW223" s="857">
        <f>SUM(BW225:BW227)</f>
        <v>0</v>
      </c>
      <c r="BX223" s="857">
        <f>SUM(BX225:BX227)</f>
        <v>0</v>
      </c>
      <c r="BY223" s="857">
        <f>SUM(BY225:BY227)</f>
        <v>0</v>
      </c>
      <c r="BZ223" s="857">
        <f>SUM(BZ225:BZ227)</f>
        <v>0</v>
      </c>
      <c r="CA223" s="857">
        <f>SUM(CA225:CA227)</f>
        <v>0</v>
      </c>
      <c r="CB223" s="857">
        <f>SUM(CB225:CB227)</f>
        <v>0</v>
      </c>
      <c r="CC223" s="857">
        <f>SUM(CC225:CC227)</f>
        <v>0</v>
      </c>
      <c r="CD223" s="857">
        <f>SUM(CD225:CD227)</f>
        <v>0</v>
      </c>
      <c r="CE223" s="857">
        <f>SUM(CE225:CE227)</f>
        <v>0</v>
      </c>
      <c r="CF223" s="857">
        <f>SUM(CF225:CF227)</f>
        <v>0</v>
      </c>
      <c r="CG223" s="857">
        <f>SUM(CG225:CG227)</f>
        <v>0</v>
      </c>
      <c r="CH223" s="857">
        <f>SUM(CH225:CH227)</f>
        <v>0</v>
      </c>
      <c r="CI223" s="857">
        <f>SUM(CI225:CI227)</f>
        <v>0</v>
      </c>
      <c r="CJ223" s="857">
        <f>SUM(CJ225:CJ227)</f>
        <v>0</v>
      </c>
      <c r="CK223" s="857">
        <f>SUM(CK225:CK227)</f>
        <v>0</v>
      </c>
      <c r="CL223" s="857">
        <f>SUM(CL225:CL227)</f>
        <v>0</v>
      </c>
      <c r="CM223" s="857">
        <f>SUM(CM225:CM227)</f>
        <v>0</v>
      </c>
      <c r="CN223" s="857">
        <f>SUM(CN225:CN227)</f>
        <v>0</v>
      </c>
      <c r="CO223" s="857">
        <f>SUM(CO225:CO227)</f>
        <v>0</v>
      </c>
      <c r="CP223" s="857">
        <f>SUM(CP225:CP227)</f>
        <v>0</v>
      </c>
      <c r="CQ223" s="857">
        <f>SUM(CQ225:CQ227)</f>
        <v>0</v>
      </c>
      <c r="CR223" s="857">
        <f>SUM(CR225:CR227)</f>
        <v>0</v>
      </c>
      <c r="CS223" s="857">
        <f>SUM(CS225:CS227)</f>
        <v>0</v>
      </c>
      <c r="CT223" s="1730"/>
      <c r="CU223" s="1619"/>
      <c r="CV223" s="1619"/>
      <c r="CW223" s="1170" t="s">
        <v>837</v>
      </c>
      <c r="CX223" s="1175"/>
      <c r="CY223" s="1175"/>
      <c r="CZ223" s="1175"/>
      <c r="DA223" s="1176"/>
      <c r="DB223" s="1176"/>
    </row>
    <row s="1619" customFormat="1" customHeight="1" ht="16.5" hidden="1">
      <c r="A224" s="1440"/>
      <c r="B224" s="924"/>
      <c r="C224" s="1440"/>
      <c r="D224" s="1440"/>
      <c r="E224" s="794">
        <v>17.1</v>
      </c>
      <c r="F224" s="919" cm="1" t="str">
        <f t="array" ref="F224:F224">OFFSET(G224,-1,-1)</f>
        <v>1</v>
      </c>
      <c r="G224" s="962"/>
      <c r="H224" s="962"/>
      <c r="I224" s="962"/>
      <c r="J224" s="962"/>
      <c r="K224" s="962"/>
      <c r="L224" s="919" cm="1" t="str">
        <f t="array" ref="L224:L224">OFFSET(M224,-1,-1)</f>
        <v>false</v>
      </c>
      <c r="M224" s="962"/>
      <c r="N224" s="962"/>
      <c r="O224" s="962"/>
      <c r="P224" s="962"/>
      <c r="Q224" s="962"/>
      <c r="R224" s="919" t="s">
        <v>725</v>
      </c>
      <c r="S224" s="156" cm="1" t="str">
        <f t="array" ref="S224:S224">OFFSET(T224,-1,-1)</f>
        <v>true</v>
      </c>
      <c r="T224" s="919" t="b">
        <v>0</v>
      </c>
      <c r="U224" s="816">
        <f>AND(S224,IF(ISBLANK(T224),TRUE,T224))</f>
        <v>0</v>
      </c>
      <c r="V224" s="1440"/>
      <c r="W224" s="1440"/>
      <c r="X224" s="1440"/>
      <c r="Y224" s="1440"/>
      <c r="Z224" s="1440"/>
      <c r="AA224" s="817"/>
      <c r="AB224" s="1492"/>
      <c r="AC224" s="1619"/>
      <c r="AD224" s="157" t="str">
        <f>AD223&amp;".0"</f>
        <v>32.0</v>
      </c>
      <c r="AE224" s="1346" t="s">
        <v>736</v>
      </c>
      <c r="AF224" s="161"/>
      <c r="AG224" s="856" t="s">
        <v>805</v>
      </c>
      <c r="AH224" s="86">
        <f>AH163*AH223</f>
        <v>0</v>
      </c>
      <c r="AI224" s="87">
        <f>AI$163*AI223</f>
        <v>0</v>
      </c>
      <c r="AJ224" s="87">
        <f>AJ$163*AJ223</f>
        <v>0</v>
      </c>
      <c r="AK224" s="87">
        <f>AK$163*AK223</f>
        <v>0</v>
      </c>
      <c r="AL224" s="859">
        <f>AM224+AN224</f>
        <v>0</v>
      </c>
      <c r="AM224" s="87">
        <f>AM$163*AM223</f>
        <v>0</v>
      </c>
      <c r="AN224" s="87">
        <f>AN$163*AN223</f>
        <v>0</v>
      </c>
      <c r="AO224" s="859">
        <f>AP224+AQ224</f>
        <v>0</v>
      </c>
      <c r="AP224" s="976">
        <f>AP$163*AP223</f>
        <v>0</v>
      </c>
      <c r="AQ224" s="976">
        <f>AQ$163*AQ223</f>
        <v>0</v>
      </c>
      <c r="AR224" s="859">
        <f>AS224+AT224</f>
        <v>0</v>
      </c>
      <c r="AS224" s="976">
        <f>AS$163*AS223</f>
        <v>0</v>
      </c>
      <c r="AT224" s="976">
        <f>AT$163*AT223</f>
        <v>0</v>
      </c>
      <c r="AU224" s="859">
        <f>AV224+AW224</f>
        <v>0</v>
      </c>
      <c r="AV224" s="976">
        <f>AV$163*AV223</f>
        <v>0</v>
      </c>
      <c r="AW224" s="976">
        <f>AW$163*AW223</f>
        <v>0</v>
      </c>
      <c r="AX224" s="859">
        <f>AY224+AZ224</f>
        <v>0</v>
      </c>
      <c r="AY224" s="976">
        <f>AY$163*AY223</f>
        <v>0</v>
      </c>
      <c r="AZ224" s="976">
        <f>AZ$163*AZ223</f>
        <v>0</v>
      </c>
      <c r="BA224" s="859">
        <f>BB224+BC224</f>
        <v>0</v>
      </c>
      <c r="BB224" s="87">
        <f>BB$163*BB223</f>
        <v>0</v>
      </c>
      <c r="BC224" s="87">
        <f>BC$163*BC223</f>
        <v>0</v>
      </c>
      <c r="BD224" s="859">
        <f>BE224+BF224</f>
        <v>0</v>
      </c>
      <c r="BE224" s="87">
        <f>BE$163*BE223</f>
        <v>0</v>
      </c>
      <c r="BF224" s="87">
        <f>BF$163*BF223</f>
        <v>0</v>
      </c>
      <c r="BG224" s="859">
        <f>BH224+BI224</f>
        <v>0</v>
      </c>
      <c r="BH224" s="87">
        <f>BH$163*BH223</f>
        <v>0</v>
      </c>
      <c r="BI224" s="87">
        <f>BI$163*BI223</f>
        <v>0</v>
      </c>
      <c r="BJ224" s="859">
        <f>BK224+BL224</f>
        <v>0</v>
      </c>
      <c r="BK224" s="87">
        <f>BK$163*BK223</f>
        <v>0</v>
      </c>
      <c r="BL224" s="87">
        <f>BL$163*BL223</f>
        <v>0</v>
      </c>
      <c r="BM224" s="859">
        <f>BN224+BO224</f>
        <v>0</v>
      </c>
      <c r="BN224" s="87">
        <f>BN$163*BN223</f>
        <v>0</v>
      </c>
      <c r="BO224" s="87">
        <f>BO$163*BO223</f>
        <v>0</v>
      </c>
      <c r="BP224" s="859">
        <f>BQ224+BR224</f>
        <v>0</v>
      </c>
      <c r="BQ224" s="976">
        <f>BQ$163*BQ223</f>
        <v>0</v>
      </c>
      <c r="BR224" s="976">
        <f>BR$163*BR223</f>
        <v>0</v>
      </c>
      <c r="BS224" s="859">
        <f>BT224+BU224</f>
        <v>0</v>
      </c>
      <c r="BT224" s="976">
        <f>BT$163*BT223</f>
        <v>0</v>
      </c>
      <c r="BU224" s="976">
        <f>BU$163*BU223</f>
        <v>0</v>
      </c>
      <c r="BV224" s="859">
        <f>BW224+BX224</f>
        <v>0</v>
      </c>
      <c r="BW224" s="976">
        <f>BW$163*BW223</f>
        <v>0</v>
      </c>
      <c r="BX224" s="976">
        <f>BX$163*BX223</f>
        <v>0</v>
      </c>
      <c r="BY224" s="859">
        <f>BZ224+CA224</f>
        <v>0</v>
      </c>
      <c r="BZ224" s="976">
        <f>BZ$163*BZ223</f>
        <v>0</v>
      </c>
      <c r="CA224" s="976">
        <f>CA$163*CA223</f>
        <v>0</v>
      </c>
      <c r="CB224" s="859">
        <f>CC224+CD224</f>
        <v>0</v>
      </c>
      <c r="CC224" s="976">
        <f>CC$163*CC223</f>
        <v>0</v>
      </c>
      <c r="CD224" s="976">
        <f>CD$163*CD223</f>
        <v>0</v>
      </c>
      <c r="CE224" s="859">
        <f>CF224+CG224</f>
        <v>0</v>
      </c>
      <c r="CF224" s="87">
        <f>CF$163*CF223</f>
        <v>0</v>
      </c>
      <c r="CG224" s="87">
        <f>CG$163*CG223</f>
        <v>0</v>
      </c>
      <c r="CH224" s="859">
        <f>CI224+CJ224</f>
        <v>0</v>
      </c>
      <c r="CI224" s="87">
        <f>CI$163*CI223</f>
        <v>0</v>
      </c>
      <c r="CJ224" s="87">
        <f>CJ$163*CJ223</f>
        <v>0</v>
      </c>
      <c r="CK224" s="859">
        <f>CL224+CM224</f>
        <v>0</v>
      </c>
      <c r="CL224" s="87">
        <f>CL$163*CL223</f>
        <v>0</v>
      </c>
      <c r="CM224" s="87">
        <f>CM$163*CM223</f>
        <v>0</v>
      </c>
      <c r="CN224" s="859">
        <f>CO224+CP224</f>
        <v>0</v>
      </c>
      <c r="CO224" s="87">
        <f>CO$163*CO223</f>
        <v>0</v>
      </c>
      <c r="CP224" s="87">
        <f>CP$163*CP223</f>
        <v>0</v>
      </c>
      <c r="CQ224" s="859">
        <f>CR224+CS224</f>
        <v>0</v>
      </c>
      <c r="CR224" s="87">
        <f>CR$163*CR223</f>
        <v>0</v>
      </c>
      <c r="CS224" s="87">
        <f>CS$163*CS223</f>
        <v>0</v>
      </c>
      <c r="CT224" s="73"/>
      <c r="CU224" s="1619"/>
      <c r="CV224" s="1619"/>
      <c r="CW224" s="1170" t="s">
        <v>838</v>
      </c>
      <c r="CX224" s="1175"/>
      <c r="CY224" s="1175"/>
      <c r="CZ224" s="1175"/>
      <c r="DA224" s="1176"/>
      <c r="DB224" s="1176"/>
    </row>
    <row s="1619" customFormat="1" customHeight="1" ht="16.5" hidden="1">
      <c r="E225" s="794">
        <v>17.1</v>
      </c>
      <c r="F225" s="919" cm="1" t="str">
        <f t="array" ref="F225:F225">OFFSET(G225,-1,-1)</f>
        <v>1</v>
      </c>
      <c r="L225" s="919" cm="1" t="str">
        <f t="array" ref="L225:L225">OFFSET(M225,-1,-1)</f>
        <v>false</v>
      </c>
      <c r="S225" s="156" cm="1" t="str">
        <f t="array" ref="S225:S225">OFFSET(T225,-1,-1)</f>
        <v>true</v>
      </c>
      <c r="T225" s="156">
        <f>AD225&lt;&gt;"32.0"</f>
        <v>0</v>
      </c>
      <c r="U225" s="816">
        <f>AND(S225,IF(ISBLANK(T225),TRUE,T225))</f>
        <v>0</v>
      </c>
      <c r="X225" s="156" t="s">
        <v>233</v>
      </c>
      <c r="AB225" s="1492"/>
      <c r="AD225" s="157" t="s">
        <v>839</v>
      </c>
      <c r="AE225" s="971"/>
      <c r="AF225" s="622"/>
      <c r="AG225" s="856" t="s">
        <v>805</v>
      </c>
      <c r="AH225" s="86"/>
      <c r="AI225" s="87"/>
      <c r="AJ225" s="87"/>
      <c r="AK225" s="87"/>
      <c r="AL225" s="859">
        <f>AM225+AN225</f>
        <v>0</v>
      </c>
      <c r="AM225" s="87">
        <f>AM220*AM178/1000</f>
        <v>0</v>
      </c>
      <c r="AN225" s="87">
        <f>AN220*AN178/1000</f>
        <v>0</v>
      </c>
      <c r="AO225" s="859">
        <f>AP225+AQ225</f>
        <v>0</v>
      </c>
      <c r="AP225" s="976">
        <f>AP220*AP178/1000</f>
        <v>0</v>
      </c>
      <c r="AQ225" s="976">
        <f>AQ220*AQ178/1000</f>
        <v>0</v>
      </c>
      <c r="AR225" s="859">
        <f>AS225+AT225</f>
        <v>0</v>
      </c>
      <c r="AS225" s="976">
        <f>AS220*AS178/1000</f>
        <v>0</v>
      </c>
      <c r="AT225" s="976">
        <f>AT220*AT178/1000</f>
        <v>0</v>
      </c>
      <c r="AU225" s="859">
        <f>AV225+AW225</f>
        <v>0</v>
      </c>
      <c r="AV225" s="976">
        <f>AV220*AV178/1000</f>
        <v>0</v>
      </c>
      <c r="AW225" s="976">
        <f>AW220*AW178/1000</f>
        <v>0</v>
      </c>
      <c r="AX225" s="859">
        <f>AY225+AZ225</f>
        <v>0</v>
      </c>
      <c r="AY225" s="976">
        <f>AY220*AY178/1000</f>
        <v>0</v>
      </c>
      <c r="AZ225" s="976">
        <f>AZ220*AZ178/1000</f>
        <v>0</v>
      </c>
      <c r="BA225" s="859">
        <f>BB225+BC225</f>
        <v>0</v>
      </c>
      <c r="BB225" s="87">
        <f>BB220*BB178/1000</f>
        <v>0</v>
      </c>
      <c r="BC225" s="87">
        <f>BC220*BC178/1000</f>
        <v>0</v>
      </c>
      <c r="BD225" s="859">
        <f>BE225+BF225</f>
        <v>0</v>
      </c>
      <c r="BE225" s="87">
        <f>BE220*BE178/1000</f>
        <v>0</v>
      </c>
      <c r="BF225" s="87">
        <f>BF220*BF178/1000</f>
        <v>0</v>
      </c>
      <c r="BG225" s="859">
        <f>BH225+BI225</f>
        <v>0</v>
      </c>
      <c r="BH225" s="87">
        <f>BH220*BH178/1000</f>
        <v>0</v>
      </c>
      <c r="BI225" s="87">
        <f>BI220*BI178/1000</f>
        <v>0</v>
      </c>
      <c r="BJ225" s="859">
        <f>BK225+BL225</f>
        <v>0</v>
      </c>
      <c r="BK225" s="87">
        <f>BK220*BK178/1000</f>
        <v>0</v>
      </c>
      <c r="BL225" s="87">
        <f>BL220*BL178/1000</f>
        <v>0</v>
      </c>
      <c r="BM225" s="859">
        <f>BN225+BO225</f>
        <v>0</v>
      </c>
      <c r="BN225" s="87">
        <f>BN220*BN178/1000</f>
        <v>0</v>
      </c>
      <c r="BO225" s="87">
        <f>BO220*BO178/1000</f>
        <v>0</v>
      </c>
      <c r="BP225" s="859">
        <f>BQ225+BR225</f>
        <v>0</v>
      </c>
      <c r="BQ225" s="976">
        <f>BQ220*BQ178/1000</f>
        <v>0</v>
      </c>
      <c r="BR225" s="976">
        <f>BR220*BR178/1000</f>
        <v>0</v>
      </c>
      <c r="BS225" s="859">
        <f>BT225+BU225</f>
        <v>0</v>
      </c>
      <c r="BT225" s="976">
        <f>BT220*BT178/1000</f>
        <v>0</v>
      </c>
      <c r="BU225" s="976">
        <f>BU220*BU178/1000</f>
        <v>0</v>
      </c>
      <c r="BV225" s="859">
        <f>BW225+BX225</f>
        <v>0</v>
      </c>
      <c r="BW225" s="976">
        <f>BW220*BW178/1000</f>
        <v>0</v>
      </c>
      <c r="BX225" s="976">
        <f>BX220*BX178/1000</f>
        <v>0</v>
      </c>
      <c r="BY225" s="859">
        <f>BZ225+CA225</f>
        <v>0</v>
      </c>
      <c r="BZ225" s="976">
        <f>BZ220*BZ178/1000</f>
        <v>0</v>
      </c>
      <c r="CA225" s="976">
        <f>CA220*CA178/1000</f>
        <v>0</v>
      </c>
      <c r="CB225" s="859">
        <f>CC225+CD225</f>
        <v>0</v>
      </c>
      <c r="CC225" s="976">
        <f>CC220*CC178/1000</f>
        <v>0</v>
      </c>
      <c r="CD225" s="976">
        <f>CD220*CD178/1000</f>
        <v>0</v>
      </c>
      <c r="CE225" s="859">
        <f>CF225+CG225</f>
        <v>0</v>
      </c>
      <c r="CF225" s="87">
        <f>CF220*CF178/1000</f>
        <v>0</v>
      </c>
      <c r="CG225" s="87">
        <f>CG220*CG178/1000</f>
        <v>0</v>
      </c>
      <c r="CH225" s="859">
        <f>CI225+CJ225</f>
        <v>0</v>
      </c>
      <c r="CI225" s="87">
        <f>CI220*CI178/1000</f>
        <v>0</v>
      </c>
      <c r="CJ225" s="87">
        <f>CJ220*CJ178/1000</f>
        <v>0</v>
      </c>
      <c r="CK225" s="859">
        <f>CL225+CM225</f>
        <v>0</v>
      </c>
      <c r="CL225" s="87">
        <f>CL220*CL178/1000</f>
        <v>0</v>
      </c>
      <c r="CM225" s="87">
        <f>CM220*CM178/1000</f>
        <v>0</v>
      </c>
      <c r="CN225" s="859">
        <f>CO225+CP225</f>
        <v>0</v>
      </c>
      <c r="CO225" s="87">
        <f>CO220*CO178/1000</f>
        <v>0</v>
      </c>
      <c r="CP225" s="87">
        <f>CP220*CP178/1000</f>
        <v>0</v>
      </c>
      <c r="CQ225" s="859">
        <f>CR225+CS225</f>
        <v>0</v>
      </c>
      <c r="CR225" s="87">
        <f>CR220*CR178/1000</f>
        <v>0</v>
      </c>
      <c r="CS225" s="87">
        <f>CS220*CS178/1000</f>
        <v>0</v>
      </c>
      <c r="CT225" s="73"/>
      <c r="CW225" s="1170" t="s">
        <v>838</v>
      </c>
      <c r="CX225" s="1175" t="s">
        <v>787</v>
      </c>
      <c r="CY225" s="1179" cm="1" t="str">
        <f t="array" ref="CY225:CY225">AE225</f>
        <v>0</v>
      </c>
      <c r="CZ225" s="1179" cm="1" t="str">
        <f t="array" ref="CZ225:CZ225">AF225</f>
        <v>0</v>
      </c>
      <c r="DA225" s="1176"/>
      <c r="DB225" s="1176"/>
    </row>
    <row s="1619" customFormat="1" customHeight="1" ht="16.5">
      <c r="A226" s="1619"/>
      <c r="B226" s="1619"/>
      <c r="C226" s="1619"/>
      <c r="D226" s="1619"/>
      <c r="E226" s="794">
        <v>17.1</v>
      </c>
      <c r="F226" s="919" cm="1" t="str">
        <f t="array" ref="F226:F226">OFFSET(G226,-1,-1)</f>
        <v>1</v>
      </c>
      <c r="G226" s="1619"/>
      <c r="H226" s="1619"/>
      <c r="I226" s="1619"/>
      <c r="J226" s="1619"/>
      <c r="K226" s="1619"/>
      <c r="L226" s="919" cm="1" t="str">
        <f t="array" ref="L226:L226">OFFSET(M226,-1,-1)</f>
        <v>false</v>
      </c>
      <c r="M226" s="1619"/>
      <c r="N226" s="1619"/>
      <c r="O226" s="1619"/>
      <c r="P226" s="1619"/>
      <c r="Q226" s="1619"/>
      <c r="R226" s="1619"/>
      <c r="S226" s="156" cm="1" t="str">
        <f t="array" ref="S226:S226">OFFSET(T226,-1,-1)</f>
        <v>true</v>
      </c>
      <c r="T226" s="156">
        <f>AD226&lt;&gt;"32.0"</f>
        <v>1</v>
      </c>
      <c r="U226" s="816">
        <f>AND(S226,IF(ISBLANK(T226),TRUE,T226))</f>
        <v>1</v>
      </c>
      <c r="V226" s="1619"/>
      <c r="W226" s="1619"/>
      <c r="X226" s="156" t="str">
        <f>'Топливо 4.4'!$AE$221&amp;'Топливо 4.4'!$AF$221</f>
        <v>Уголь бурыйБ</v>
      </c>
      <c r="Y226" s="1619"/>
      <c r="Z226" s="1619"/>
      <c r="AA226" s="1619"/>
      <c r="AB226" s="1492"/>
      <c r="AC226" s="1619"/>
      <c r="AD226" s="157" t="s">
        <v>912</v>
      </c>
      <c r="AE226" s="971" cm="1" t="str">
        <f t="array" ref="AE226:AE226">IF(ISBLANK('Топливо 4.4'!$AE$221),"",'Топливо 4.4'!$AE$221)</f>
        <v>Уголь бурый</v>
      </c>
      <c r="AF226" s="622" cm="1" t="str">
        <f t="array" ref="AF226:AF226">IF(ISBLANK('Топливо 4.4'!$AF$221),"",'Топливо 4.4'!$AF$221)</f>
        <v>Б</v>
      </c>
      <c r="AG226" s="856" t="s">
        <v>805</v>
      </c>
      <c r="AH226" s="1768"/>
      <c r="AI226" s="1766"/>
      <c r="AJ226" s="1766"/>
      <c r="AK226" s="1766"/>
      <c r="AL226" s="859">
        <f>AM226+AN226</f>
        <v>0</v>
      </c>
      <c r="AM226" s="1766">
        <f>AM221*AM179/1000</f>
        <v>0</v>
      </c>
      <c r="AN226" s="1766">
        <f>AN221*AN179/1000</f>
        <v>0</v>
      </c>
      <c r="AO226" s="859">
        <f>AP226+AQ226</f>
        <v>0</v>
      </c>
      <c r="AP226" s="976">
        <f>AP221*AP179/1000</f>
        <v>0</v>
      </c>
      <c r="AQ226" s="976">
        <f>AQ221*AQ179/1000</f>
        <v>0</v>
      </c>
      <c r="AR226" s="859">
        <f>AS226+AT226</f>
        <v>0</v>
      </c>
      <c r="AS226" s="976">
        <f>AS221*AS179/1000</f>
        <v>0</v>
      </c>
      <c r="AT226" s="976">
        <f>AT221*AT179/1000</f>
        <v>0</v>
      </c>
      <c r="AU226" s="859">
        <f>AV226+AW226</f>
        <v>0</v>
      </c>
      <c r="AV226" s="976">
        <f>AV221*AV179/1000</f>
        <v>0</v>
      </c>
      <c r="AW226" s="976">
        <f>AW221*AW179/1000</f>
        <v>0</v>
      </c>
      <c r="AX226" s="859">
        <f>AY226+AZ226</f>
        <v>0</v>
      </c>
      <c r="AY226" s="976">
        <f>AY221*AY179/1000</f>
        <v>0</v>
      </c>
      <c r="AZ226" s="976">
        <f>AZ221*AZ179/1000</f>
        <v>0</v>
      </c>
      <c r="BA226" s="859">
        <f>BB226+BC226</f>
        <v>0</v>
      </c>
      <c r="BB226" s="1766">
        <f>BB221*BB179/1000</f>
        <v>0</v>
      </c>
      <c r="BC226" s="1766">
        <f>BC221*BC179/1000</f>
        <v>0</v>
      </c>
      <c r="BD226" s="859">
        <f>BE226+BF226</f>
        <v>0</v>
      </c>
      <c r="BE226" s="1766">
        <f>BE221*BE179/1000</f>
        <v>0</v>
      </c>
      <c r="BF226" s="1766">
        <f>BF221*BF179/1000</f>
        <v>0</v>
      </c>
      <c r="BG226" s="859">
        <f>BH226+BI226</f>
        <v>0</v>
      </c>
      <c r="BH226" s="1766">
        <f>BH221*BH179/1000</f>
        <v>0</v>
      </c>
      <c r="BI226" s="1766">
        <f>BI221*BI179/1000</f>
        <v>0</v>
      </c>
      <c r="BJ226" s="859">
        <f>BK226+BL226</f>
        <v>0</v>
      </c>
      <c r="BK226" s="1766">
        <f>BK221*BK179/1000</f>
        <v>0</v>
      </c>
      <c r="BL226" s="1766">
        <f>BL221*BL179/1000</f>
        <v>0</v>
      </c>
      <c r="BM226" s="859">
        <f>BN226+BO226</f>
        <v>0</v>
      </c>
      <c r="BN226" s="1766">
        <f>BN221*BN179/1000</f>
        <v>0</v>
      </c>
      <c r="BO226" s="1766">
        <f>BO221*BO179/1000</f>
        <v>0</v>
      </c>
      <c r="BP226" s="859">
        <f>BQ226+BR226</f>
        <v>0</v>
      </c>
      <c r="BQ226" s="976">
        <f>BQ221*BQ179/1000</f>
        <v>0</v>
      </c>
      <c r="BR226" s="976">
        <f>BR221*BR179/1000</f>
        <v>0</v>
      </c>
      <c r="BS226" s="859">
        <f>BT226+BU226</f>
        <v>0</v>
      </c>
      <c r="BT226" s="976">
        <f>BT221*BT179/1000</f>
        <v>0</v>
      </c>
      <c r="BU226" s="976">
        <f>BU221*BU179/1000</f>
        <v>0</v>
      </c>
      <c r="BV226" s="859">
        <f>BW226+BX226</f>
        <v>0</v>
      </c>
      <c r="BW226" s="976">
        <f>BW221*BW179/1000</f>
        <v>0</v>
      </c>
      <c r="BX226" s="976">
        <f>BX221*BX179/1000</f>
        <v>0</v>
      </c>
      <c r="BY226" s="859">
        <f>BZ226+CA226</f>
        <v>0</v>
      </c>
      <c r="BZ226" s="976">
        <f>BZ221*BZ179/1000</f>
        <v>0</v>
      </c>
      <c r="CA226" s="976">
        <f>CA221*CA179/1000</f>
        <v>0</v>
      </c>
      <c r="CB226" s="859">
        <f>CC226+CD226</f>
        <v>0</v>
      </c>
      <c r="CC226" s="976">
        <f>CC221*CC179/1000</f>
        <v>0</v>
      </c>
      <c r="CD226" s="976">
        <f>CD221*CD179/1000</f>
        <v>0</v>
      </c>
      <c r="CE226" s="859">
        <f>CF226+CG226</f>
        <v>0</v>
      </c>
      <c r="CF226" s="1766">
        <f>CF221*CF179/1000</f>
        <v>0</v>
      </c>
      <c r="CG226" s="1766">
        <f>CG221*CG179/1000</f>
        <v>0</v>
      </c>
      <c r="CH226" s="859">
        <f>CI226+CJ226</f>
        <v>0</v>
      </c>
      <c r="CI226" s="1766">
        <f>CI221*CI179/1000</f>
        <v>0</v>
      </c>
      <c r="CJ226" s="1766">
        <f>CJ221*CJ179/1000</f>
        <v>0</v>
      </c>
      <c r="CK226" s="859">
        <f>CL226+CM226</f>
        <v>0</v>
      </c>
      <c r="CL226" s="1766">
        <f>CL221*CL179/1000</f>
        <v>0</v>
      </c>
      <c r="CM226" s="1766">
        <f>CM221*CM179/1000</f>
        <v>0</v>
      </c>
      <c r="CN226" s="859">
        <f>CO226+CP226</f>
        <v>0</v>
      </c>
      <c r="CO226" s="1766">
        <f>CO221*CO179/1000</f>
        <v>0</v>
      </c>
      <c r="CP226" s="1766">
        <f>CP221*CP179/1000</f>
        <v>0</v>
      </c>
      <c r="CQ226" s="859">
        <f>CR226+CS226</f>
        <v>0</v>
      </c>
      <c r="CR226" s="1766">
        <f>CR221*CR179/1000</f>
        <v>0</v>
      </c>
      <c r="CS226" s="1766">
        <f>CS221*CS179/1000</f>
        <v>0</v>
      </c>
      <c r="CT226" s="1730"/>
      <c r="CU226" s="1619"/>
      <c r="CV226" s="1619"/>
      <c r="CW226" s="1170" t="s">
        <v>838</v>
      </c>
      <c r="CX226" s="1175" t="s">
        <v>787</v>
      </c>
      <c r="CY226" s="1179" cm="1" t="str">
        <f t="array" ref="CY226:CY226">AE226</f>
        <v>Уголь бурый</v>
      </c>
      <c r="CZ226" s="1179" cm="1" t="str">
        <f t="array" ref="CZ226:CZ226">AF226</f>
        <v>Б</v>
      </c>
      <c r="DA226" s="1176"/>
      <c r="DB226" s="1176"/>
    </row>
    <row s="1619" customFormat="1" customHeight="1" ht="15" hidden="1">
      <c r="A227" s="1440"/>
      <c r="B227" s="924"/>
      <c r="C227" s="1440"/>
      <c r="D227" s="1440"/>
      <c r="E227" s="794">
        <v>0</v>
      </c>
      <c r="F227" s="919" cm="1" t="str">
        <f t="array" ref="F227:F227">OFFSET(G227,-1,-1)</f>
        <v>1</v>
      </c>
      <c r="G227" s="962"/>
      <c r="H227" s="962"/>
      <c r="I227" s="962"/>
      <c r="J227" s="962"/>
      <c r="K227" s="962"/>
      <c r="L227" s="919" cm="1" t="str">
        <f t="array" ref="L227:L227">OFFSET(M227,-1,-1)</f>
        <v>false</v>
      </c>
      <c r="M227" s="962"/>
      <c r="N227" s="962"/>
      <c r="O227" s="962"/>
      <c r="P227" s="962"/>
      <c r="Q227" s="962"/>
      <c r="R227" s="1440"/>
      <c r="S227" s="156" cm="1" t="str">
        <f t="array" ref="S227:S227">OFFSET(T227,-1,-1)</f>
        <v>true</v>
      </c>
      <c r="T227" s="1440"/>
      <c r="U227" s="816">
        <f>AND(S227,IF(ISBLANK(T227),TRUE,T227))</f>
        <v>1</v>
      </c>
      <c r="V227" s="1440"/>
      <c r="W227" s="1440"/>
      <c r="X227" s="970" t="str">
        <f>"{                  
         funcDyn: 'msg1',
         blok: 'blok_2',
         wsCross: 'Топливо 4.4',
         linkFormula: 'AE-AE#AF-AF',
         levelDyn: "&amp;Y139&amp;"
}"</f>
        <v>{                  
         funcDyn: 'msg1',
         blok: 'blok_2',
         wsCross: 'Топливо 4.4',
         linkFormula: 'AE-AE#AF-AF',
         levelDyn: 1
}</v>
      </c>
      <c r="Y227" s="1440"/>
      <c r="Z227" s="1440"/>
      <c r="AA227" s="817"/>
      <c r="AB227" s="1492"/>
      <c r="AC227" s="1619"/>
      <c r="AD227" s="973"/>
      <c r="AE227" s="972" t="s">
        <v>235</v>
      </c>
      <c r="AF227" s="871"/>
      <c r="AG227" s="856"/>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91"/>
      <c r="CU227" s="1619"/>
      <c r="CV227" s="1619"/>
      <c r="CW227" s="1170" t="str">
        <f>IF(AND(ISNUMBER(VALUE(TRIM(SUBSTITUTE(AD227,".","")))),TRIM(SUBSTITUTE(AD227,".",""))&lt;&gt;""),"P"&amp;SUBSTITUTE(AD227,".",""),"")</f>
        <v/>
      </c>
      <c r="CX227" s="1175"/>
      <c r="CY227" s="1175"/>
      <c r="CZ227" s="1175"/>
      <c r="DA227" s="1176"/>
      <c r="DB227" s="1176"/>
    </row>
    <row s="1619" customFormat="1" customHeight="1" ht="29.25" hidden="1">
      <c r="A228" s="1440"/>
      <c r="B228" s="924"/>
      <c r="C228" s="1440"/>
      <c r="D228" s="1440"/>
      <c r="E228" s="794">
        <v>30</v>
      </c>
      <c r="F228" s="919" cm="1" t="str">
        <f t="array" ref="F228:F228">OFFSET(G228,-1,-1)</f>
        <v>1</v>
      </c>
      <c r="G228" s="962"/>
      <c r="H228" s="962"/>
      <c r="I228" s="962"/>
      <c r="J228" s="962"/>
      <c r="K228" s="962"/>
      <c r="L228" s="919" cm="1" t="str">
        <f t="array" ref="L228:L228">OFFSET(M228,-1,-1)</f>
        <v>false</v>
      </c>
      <c r="M228" s="962"/>
      <c r="N228" s="962"/>
      <c r="O228" s="962"/>
      <c r="P228" s="962"/>
      <c r="Q228" s="962"/>
      <c r="R228" s="919" t="s">
        <v>725</v>
      </c>
      <c r="S228" s="156" cm="1" t="str">
        <f t="array" ref="S228:S228">OFFSET(T228,-1,-1)</f>
        <v>true</v>
      </c>
      <c r="T228" s="156" cm="1" t="str">
        <f t="array" ref="T228:T228">L228</f>
        <v>false</v>
      </c>
      <c r="U228" s="816">
        <f>AND(S228,IF(ISBLANK(T228),TRUE,T228))</f>
        <v>0</v>
      </c>
      <c r="V228" s="1440"/>
      <c r="W228" s="1440"/>
      <c r="X228" s="1440"/>
      <c r="Y228" s="1440"/>
      <c r="Z228" s="1440"/>
      <c r="AA228" s="817"/>
      <c r="AB228" s="1492"/>
      <c r="AC228" s="1619"/>
      <c r="AD228" s="170" t="s">
        <v>840</v>
      </c>
      <c r="AE228" s="1499" t="s">
        <v>841</v>
      </c>
      <c r="AF228" s="160"/>
      <c r="AG228" s="856" t="s">
        <v>805</v>
      </c>
      <c r="AH228" s="857">
        <f>SUM(AH229:AH231)</f>
        <v>0</v>
      </c>
      <c r="AI228" s="857">
        <f>SUM(AI229:AI231)</f>
        <v>0</v>
      </c>
      <c r="AJ228" s="857">
        <f>SUM(AJ229:AJ231)</f>
        <v>0</v>
      </c>
      <c r="AK228" s="857">
        <f>SUM(AK229:AK231)</f>
        <v>0</v>
      </c>
      <c r="AL228" s="857">
        <f>SUM(AL229:AL231)</f>
        <v>0</v>
      </c>
      <c r="AM228" s="857">
        <f>SUM(AM229:AM231)</f>
        <v>0</v>
      </c>
      <c r="AN228" s="857">
        <f>SUM(AN229:AN231)</f>
        <v>0</v>
      </c>
      <c r="AO228" s="857">
        <f>SUM(AO229:AO231)</f>
        <v>0</v>
      </c>
      <c r="AP228" s="857">
        <f>SUM(AP229:AP231)</f>
        <v>0</v>
      </c>
      <c r="AQ228" s="857">
        <f>SUM(AQ229:AQ231)</f>
        <v>0</v>
      </c>
      <c r="AR228" s="857">
        <f>SUM(AR229:AR231)</f>
        <v>0</v>
      </c>
      <c r="AS228" s="857">
        <f>SUM(AS229:AS231)</f>
        <v>0</v>
      </c>
      <c r="AT228" s="857">
        <f>SUM(AT229:AT231)</f>
        <v>0</v>
      </c>
      <c r="AU228" s="857">
        <f>SUM(AU229:AU231)</f>
        <v>0</v>
      </c>
      <c r="AV228" s="857">
        <f>SUM(AV229:AV231)</f>
        <v>0</v>
      </c>
      <c r="AW228" s="857">
        <f>SUM(AW229:AW231)</f>
        <v>0</v>
      </c>
      <c r="AX228" s="857">
        <f>SUM(AX229:AX231)</f>
        <v>0</v>
      </c>
      <c r="AY228" s="857">
        <f>SUM(AY229:AY231)</f>
        <v>0</v>
      </c>
      <c r="AZ228" s="857">
        <f>SUM(AZ229:AZ231)</f>
        <v>0</v>
      </c>
      <c r="BA228" s="857">
        <f>SUM(BA229:BA231)</f>
        <v>0</v>
      </c>
      <c r="BB228" s="857">
        <f>SUM(BB229:BB231)</f>
        <v>0</v>
      </c>
      <c r="BC228" s="857">
        <f>SUM(BC229:BC231)</f>
        <v>0</v>
      </c>
      <c r="BD228" s="857">
        <f>SUM(BD229:BD231)</f>
        <v>0</v>
      </c>
      <c r="BE228" s="857">
        <f>SUM(BE229:BE231)</f>
        <v>0</v>
      </c>
      <c r="BF228" s="857">
        <f>SUM(BF229:BF231)</f>
        <v>0</v>
      </c>
      <c r="BG228" s="857">
        <f>SUM(BG229:BG231)</f>
        <v>0</v>
      </c>
      <c r="BH228" s="857">
        <f>SUM(BH229:BH231)</f>
        <v>0</v>
      </c>
      <c r="BI228" s="857">
        <f>SUM(BI229:BI231)</f>
        <v>0</v>
      </c>
      <c r="BJ228" s="857">
        <f>SUM(BJ229:BJ231)</f>
        <v>0</v>
      </c>
      <c r="BK228" s="857">
        <f>SUM(BK229:BK231)</f>
        <v>0</v>
      </c>
      <c r="BL228" s="857">
        <f>SUM(BL229:BL231)</f>
        <v>0</v>
      </c>
      <c r="BM228" s="857">
        <f>SUM(BM229:BM231)</f>
        <v>0</v>
      </c>
      <c r="BN228" s="857">
        <f>SUM(BN229:BN231)</f>
        <v>0</v>
      </c>
      <c r="BO228" s="857">
        <f>SUM(BO229:BO231)</f>
        <v>0</v>
      </c>
      <c r="BP228" s="857">
        <f>SUM(BP229:BP231)</f>
        <v>0</v>
      </c>
      <c r="BQ228" s="857">
        <f>SUM(BQ229:BQ231)</f>
        <v>0</v>
      </c>
      <c r="BR228" s="857">
        <f>SUM(BR229:BR231)</f>
        <v>0</v>
      </c>
      <c r="BS228" s="857">
        <f>SUM(BS229:BS231)</f>
        <v>0</v>
      </c>
      <c r="BT228" s="857">
        <f>SUM(BT229:BT231)</f>
        <v>0</v>
      </c>
      <c r="BU228" s="857">
        <f>SUM(BU229:BU231)</f>
        <v>0</v>
      </c>
      <c r="BV228" s="857">
        <f>SUM(BV229:BV231)</f>
        <v>0</v>
      </c>
      <c r="BW228" s="857">
        <f>SUM(BW229:BW231)</f>
        <v>0</v>
      </c>
      <c r="BX228" s="857">
        <f>SUM(BX229:BX231)</f>
        <v>0</v>
      </c>
      <c r="BY228" s="857">
        <f>SUM(BY229:BY231)</f>
        <v>0</v>
      </c>
      <c r="BZ228" s="857">
        <f>SUM(BZ229:BZ231)</f>
        <v>0</v>
      </c>
      <c r="CA228" s="857">
        <f>SUM(CA229:CA231)</f>
        <v>0</v>
      </c>
      <c r="CB228" s="857">
        <f>SUM(CB229:CB231)</f>
        <v>0</v>
      </c>
      <c r="CC228" s="857">
        <f>SUM(CC229:CC231)</f>
        <v>0</v>
      </c>
      <c r="CD228" s="857">
        <f>SUM(CD229:CD231)</f>
        <v>0</v>
      </c>
      <c r="CE228" s="857">
        <f>SUM(CE229:CE231)</f>
        <v>0</v>
      </c>
      <c r="CF228" s="857">
        <f>SUM(CF229:CF231)</f>
        <v>0</v>
      </c>
      <c r="CG228" s="857">
        <f>SUM(CG229:CG231)</f>
        <v>0</v>
      </c>
      <c r="CH228" s="857">
        <f>SUM(CH229:CH231)</f>
        <v>0</v>
      </c>
      <c r="CI228" s="857">
        <f>SUM(CI229:CI231)</f>
        <v>0</v>
      </c>
      <c r="CJ228" s="857">
        <f>SUM(CJ229:CJ231)</f>
        <v>0</v>
      </c>
      <c r="CK228" s="857">
        <f>SUM(CK229:CK231)</f>
        <v>0</v>
      </c>
      <c r="CL228" s="857">
        <f>SUM(CL229:CL231)</f>
        <v>0</v>
      </c>
      <c r="CM228" s="857">
        <f>SUM(CM229:CM231)</f>
        <v>0</v>
      </c>
      <c r="CN228" s="857">
        <f>SUM(CN229:CN231)</f>
        <v>0</v>
      </c>
      <c r="CO228" s="857">
        <f>SUM(CO229:CO231)</f>
        <v>0</v>
      </c>
      <c r="CP228" s="857">
        <f>SUM(CP229:CP231)</f>
        <v>0</v>
      </c>
      <c r="CQ228" s="857">
        <f>SUM(CQ229:CQ231)</f>
        <v>0</v>
      </c>
      <c r="CR228" s="857">
        <f>SUM(CR229:CR231)</f>
        <v>0</v>
      </c>
      <c r="CS228" s="857">
        <f>SUM(CS229:CS231)</f>
        <v>0</v>
      </c>
      <c r="CT228" s="73"/>
      <c r="CU228" s="1619"/>
      <c r="CV228" s="1619"/>
      <c r="CW228" s="1170" t="s">
        <v>842</v>
      </c>
      <c r="CX228" s="1175"/>
      <c r="CY228" s="1175"/>
      <c r="CZ228" s="1175"/>
      <c r="DA228" s="1176"/>
      <c r="DB228" s="1176"/>
    </row>
    <row s="1619" customFormat="1" customHeight="1" ht="16.5" hidden="1">
      <c r="E229" s="794">
        <v>17.1</v>
      </c>
      <c r="F229" s="919" cm="1" t="str">
        <f t="array" ref="F229:F229">OFFSET(G229,-1,-1)</f>
        <v>1</v>
      </c>
      <c r="L229" s="919" cm="1" t="str">
        <f t="array" ref="L229:L229">OFFSET(M229,-1,-1)</f>
        <v>false</v>
      </c>
      <c r="R229" s="919" t="s">
        <v>725</v>
      </c>
      <c r="S229" s="156" cm="1" t="str">
        <f t="array" ref="S229:S229">OFFSET(T229,-1,-1)</f>
        <v>true</v>
      </c>
      <c r="T229" s="156">
        <f>AND(L229,AD229&lt;&gt;"33.0")</f>
        <v>0</v>
      </c>
      <c r="U229" s="816">
        <f>AND(S229,IF(ISBLANK(T229),TRUE,T229))</f>
        <v>0</v>
      </c>
      <c r="X229" s="156" t="s">
        <v>233</v>
      </c>
      <c r="AB229" s="1492"/>
      <c r="AD229" s="157" t="s">
        <v>843</v>
      </c>
      <c r="AE229" s="971"/>
      <c r="AF229" s="622"/>
      <c r="AG229" s="856" t="s">
        <v>805</v>
      </c>
      <c r="AH229" s="86">
        <f>AH$163*AH225</f>
        <v>0</v>
      </c>
      <c r="AI229" s="87">
        <f>AI$163*AI225</f>
        <v>0</v>
      </c>
      <c r="AJ229" s="87">
        <f>AJ$163*AJ225</f>
        <v>0</v>
      </c>
      <c r="AK229" s="87">
        <f>AK$163*AK225</f>
        <v>0</v>
      </c>
      <c r="AL229" s="859">
        <f>AM229+AN229</f>
        <v>0</v>
      </c>
      <c r="AM229" s="87">
        <f>AM$163*AM225</f>
        <v>0</v>
      </c>
      <c r="AN229" s="87">
        <f>AN$163*AN225</f>
        <v>0</v>
      </c>
      <c r="AO229" s="859">
        <f>AP229+AQ229</f>
        <v>0</v>
      </c>
      <c r="AP229" s="976">
        <f>AP$163*AP225</f>
        <v>0</v>
      </c>
      <c r="AQ229" s="976">
        <f>AQ$163*AQ225</f>
        <v>0</v>
      </c>
      <c r="AR229" s="859">
        <f>AS229+AT229</f>
        <v>0</v>
      </c>
      <c r="AS229" s="976">
        <f>AS$163*AS225</f>
        <v>0</v>
      </c>
      <c r="AT229" s="976">
        <f>AT$163*AT225</f>
        <v>0</v>
      </c>
      <c r="AU229" s="859">
        <f>AV229+AW229</f>
        <v>0</v>
      </c>
      <c r="AV229" s="976">
        <f>AV$163*AV225</f>
        <v>0</v>
      </c>
      <c r="AW229" s="976">
        <f>AW$163*AW225</f>
        <v>0</v>
      </c>
      <c r="AX229" s="859">
        <f>AY229+AZ229</f>
        <v>0</v>
      </c>
      <c r="AY229" s="976">
        <f>AY$163*AY225</f>
        <v>0</v>
      </c>
      <c r="AZ229" s="976">
        <f>AZ$163*AZ225</f>
        <v>0</v>
      </c>
      <c r="BA229" s="859">
        <f>BB229+BC229</f>
        <v>0</v>
      </c>
      <c r="BB229" s="87">
        <f>BB$163*BB225</f>
        <v>0</v>
      </c>
      <c r="BC229" s="87">
        <f>BC$163*BC225</f>
        <v>0</v>
      </c>
      <c r="BD229" s="859">
        <f>BE229+BF229</f>
        <v>0</v>
      </c>
      <c r="BE229" s="87">
        <f>BE$163*BE225</f>
        <v>0</v>
      </c>
      <c r="BF229" s="87">
        <f>BF$163*BF225</f>
        <v>0</v>
      </c>
      <c r="BG229" s="859">
        <f>BH229+BI229</f>
        <v>0</v>
      </c>
      <c r="BH229" s="87">
        <f>BH$163*BH225</f>
        <v>0</v>
      </c>
      <c r="BI229" s="87">
        <f>BI$163*BI225</f>
        <v>0</v>
      </c>
      <c r="BJ229" s="859">
        <f>BK229+BL229</f>
        <v>0</v>
      </c>
      <c r="BK229" s="87">
        <f>BK$163*BK225</f>
        <v>0</v>
      </c>
      <c r="BL229" s="87">
        <f>BL$163*BL225</f>
        <v>0</v>
      </c>
      <c r="BM229" s="859">
        <f>BN229+BO229</f>
        <v>0</v>
      </c>
      <c r="BN229" s="87">
        <f>BN$163*BN225</f>
        <v>0</v>
      </c>
      <c r="BO229" s="87">
        <f>BO$163*BO225</f>
        <v>0</v>
      </c>
      <c r="BP229" s="859">
        <f>BQ229+BR229</f>
        <v>0</v>
      </c>
      <c r="BQ229" s="976">
        <f>BQ$163*BQ225</f>
        <v>0</v>
      </c>
      <c r="BR229" s="976">
        <f>BR$163*BR225</f>
        <v>0</v>
      </c>
      <c r="BS229" s="859">
        <f>BT229+BU229</f>
        <v>0</v>
      </c>
      <c r="BT229" s="976">
        <f>BT$163*BT225</f>
        <v>0</v>
      </c>
      <c r="BU229" s="976">
        <f>BU$163*BU225</f>
        <v>0</v>
      </c>
      <c r="BV229" s="859">
        <f>BW229+BX229</f>
        <v>0</v>
      </c>
      <c r="BW229" s="976">
        <f>BW$163*BW225</f>
        <v>0</v>
      </c>
      <c r="BX229" s="976">
        <f>BX$163*BX225</f>
        <v>0</v>
      </c>
      <c r="BY229" s="859">
        <f>BZ229+CA229</f>
        <v>0</v>
      </c>
      <c r="BZ229" s="976">
        <f>BZ$163*BZ225</f>
        <v>0</v>
      </c>
      <c r="CA229" s="976">
        <f>CA$163*CA225</f>
        <v>0</v>
      </c>
      <c r="CB229" s="859">
        <f>CC229+CD229</f>
        <v>0</v>
      </c>
      <c r="CC229" s="976">
        <f>CC$163*CC225</f>
        <v>0</v>
      </c>
      <c r="CD229" s="976">
        <f>CD$163*CD225</f>
        <v>0</v>
      </c>
      <c r="CE229" s="859">
        <f>CF229+CG229</f>
        <v>0</v>
      </c>
      <c r="CF229" s="87">
        <f>CF$163*CF225</f>
        <v>0</v>
      </c>
      <c r="CG229" s="87">
        <f>CG$163*CG225</f>
        <v>0</v>
      </c>
      <c r="CH229" s="859">
        <f>CI229+CJ229</f>
        <v>0</v>
      </c>
      <c r="CI229" s="87">
        <f>CI$163*CI225</f>
        <v>0</v>
      </c>
      <c r="CJ229" s="87">
        <f>CJ$163*CJ225</f>
        <v>0</v>
      </c>
      <c r="CK229" s="859">
        <f>CL229+CM229</f>
        <v>0</v>
      </c>
      <c r="CL229" s="87">
        <f>CL$163*CL225</f>
        <v>0</v>
      </c>
      <c r="CM229" s="87">
        <f>CM$163*CM225</f>
        <v>0</v>
      </c>
      <c r="CN229" s="859">
        <f>CO229+CP229</f>
        <v>0</v>
      </c>
      <c r="CO229" s="87">
        <f>CO$163*CO225</f>
        <v>0</v>
      </c>
      <c r="CP229" s="87">
        <f>CP$163*CP225</f>
        <v>0</v>
      </c>
      <c r="CQ229" s="859">
        <f>CR229+CS229</f>
        <v>0</v>
      </c>
      <c r="CR229" s="87">
        <f>CR$163*CR225</f>
        <v>0</v>
      </c>
      <c r="CS229" s="87">
        <f>CS$163*CS225</f>
        <v>0</v>
      </c>
      <c r="CT229" s="73"/>
      <c r="CW229" s="1170" t="s">
        <v>842</v>
      </c>
      <c r="CX229" s="1175" t="s">
        <v>787</v>
      </c>
      <c r="CY229" s="1179" cm="1" t="str">
        <f t="array" ref="CY229:CY229">AE229</f>
        <v>0</v>
      </c>
      <c r="CZ229" s="1179" cm="1" t="str">
        <f t="array" ref="CZ229:CZ229">AF229</f>
        <v>0</v>
      </c>
      <c r="DA229" s="1176"/>
      <c r="DB229" s="1176"/>
    </row>
    <row s="1619" customFormat="1" customHeight="1" ht="16.5" hidden="1">
      <c r="A230" s="1619"/>
      <c r="B230" s="1619"/>
      <c r="C230" s="1619"/>
      <c r="D230" s="1619"/>
      <c r="E230" s="794">
        <v>17.1</v>
      </c>
      <c r="F230" s="919" cm="1" t="str">
        <f t="array" ref="F230:F230">OFFSET(G230,-1,-1)</f>
        <v>1</v>
      </c>
      <c r="G230" s="1619"/>
      <c r="H230" s="1619"/>
      <c r="I230" s="1619"/>
      <c r="J230" s="1619"/>
      <c r="K230" s="1619"/>
      <c r="L230" s="919" cm="1" t="str">
        <f t="array" ref="L230:L230">OFFSET(M230,-1,-1)</f>
        <v>false</v>
      </c>
      <c r="M230" s="1619"/>
      <c r="N230" s="1619"/>
      <c r="O230" s="1619"/>
      <c r="P230" s="1619"/>
      <c r="Q230" s="1619"/>
      <c r="R230" s="919" t="s">
        <v>725</v>
      </c>
      <c r="S230" s="156" cm="1" t="str">
        <f t="array" ref="S230:S230">OFFSET(T230,-1,-1)</f>
        <v>true</v>
      </c>
      <c r="T230" s="156">
        <f>AND(L230,AD230&lt;&gt;"33.0")</f>
        <v>0</v>
      </c>
      <c r="U230" s="816">
        <f>AND(S230,IF(ISBLANK(T230),TRUE,T230))</f>
        <v>0</v>
      </c>
      <c r="V230" s="1619"/>
      <c r="W230" s="1619"/>
      <c r="X230" s="156" t="str">
        <f>'Топливо 4.4'!$AE$226&amp;'Топливо 4.4'!$AF$226</f>
        <v>Уголь бурыйБ</v>
      </c>
      <c r="Y230" s="1619"/>
      <c r="Z230" s="1619"/>
      <c r="AA230" s="1619"/>
      <c r="AB230" s="1492"/>
      <c r="AC230" s="1619"/>
      <c r="AD230" s="157" t="s">
        <v>913</v>
      </c>
      <c r="AE230" s="971" cm="1" t="str">
        <f t="array" ref="AE230:AE230">IF(ISBLANK('Топливо 4.4'!$AE$226),"",'Топливо 4.4'!$AE$226)</f>
        <v>Уголь бурый</v>
      </c>
      <c r="AF230" s="622" cm="1" t="str">
        <f t="array" ref="AF230:AF230">IF(ISBLANK('Топливо 4.4'!$AF$226),"",'Топливо 4.4'!$AF$226)</f>
        <v>Б</v>
      </c>
      <c r="AG230" s="856" t="s">
        <v>805</v>
      </c>
      <c r="AH230" s="86">
        <f>AH$163*AH226</f>
        <v>0</v>
      </c>
      <c r="AI230" s="87">
        <f>AI$163*AI226</f>
        <v>0</v>
      </c>
      <c r="AJ230" s="87">
        <f>AJ$163*AJ226</f>
        <v>0</v>
      </c>
      <c r="AK230" s="87">
        <f>AK$163*AK226</f>
        <v>0</v>
      </c>
      <c r="AL230" s="859">
        <f>AM230+AN230</f>
        <v>0</v>
      </c>
      <c r="AM230" s="87">
        <f>AM$163*AM226</f>
        <v>0</v>
      </c>
      <c r="AN230" s="87">
        <f>AN$163*AN226</f>
        <v>0</v>
      </c>
      <c r="AO230" s="859">
        <f>AP230+AQ230</f>
        <v>0</v>
      </c>
      <c r="AP230" s="976">
        <f>AP$163*AP226</f>
        <v>0</v>
      </c>
      <c r="AQ230" s="976">
        <f>AQ$163*AQ226</f>
        <v>0</v>
      </c>
      <c r="AR230" s="859">
        <f>AS230+AT230</f>
        <v>0</v>
      </c>
      <c r="AS230" s="976">
        <f>AS$163*AS226</f>
        <v>0</v>
      </c>
      <c r="AT230" s="976">
        <f>AT$163*AT226</f>
        <v>0</v>
      </c>
      <c r="AU230" s="859">
        <f>AV230+AW230</f>
        <v>0</v>
      </c>
      <c r="AV230" s="976">
        <f>AV$163*AV226</f>
        <v>0</v>
      </c>
      <c r="AW230" s="976">
        <f>AW$163*AW226</f>
        <v>0</v>
      </c>
      <c r="AX230" s="859">
        <f>AY230+AZ230</f>
        <v>0</v>
      </c>
      <c r="AY230" s="976">
        <f>AY$163*AY226</f>
        <v>0</v>
      </c>
      <c r="AZ230" s="976">
        <f>AZ$163*AZ226</f>
        <v>0</v>
      </c>
      <c r="BA230" s="859">
        <f>BB230+BC230</f>
        <v>0</v>
      </c>
      <c r="BB230" s="87">
        <f>BB$163*BB226</f>
        <v>0</v>
      </c>
      <c r="BC230" s="87">
        <f>BC$163*BC226</f>
        <v>0</v>
      </c>
      <c r="BD230" s="859">
        <f>BE230+BF230</f>
        <v>0</v>
      </c>
      <c r="BE230" s="87">
        <f>BE$163*BE226</f>
        <v>0</v>
      </c>
      <c r="BF230" s="87">
        <f>BF$163*BF226</f>
        <v>0</v>
      </c>
      <c r="BG230" s="859">
        <f>BH230+BI230</f>
        <v>0</v>
      </c>
      <c r="BH230" s="87">
        <f>BH$163*BH226</f>
        <v>0</v>
      </c>
      <c r="BI230" s="87">
        <f>BI$163*BI226</f>
        <v>0</v>
      </c>
      <c r="BJ230" s="859">
        <f>BK230+BL230</f>
        <v>0</v>
      </c>
      <c r="BK230" s="87">
        <f>BK$163*BK226</f>
        <v>0</v>
      </c>
      <c r="BL230" s="87">
        <f>BL$163*BL226</f>
        <v>0</v>
      </c>
      <c r="BM230" s="859">
        <f>BN230+BO230</f>
        <v>0</v>
      </c>
      <c r="BN230" s="87">
        <f>BN$163*BN226</f>
        <v>0</v>
      </c>
      <c r="BO230" s="87">
        <f>BO$163*BO226</f>
        <v>0</v>
      </c>
      <c r="BP230" s="859">
        <f>BQ230+BR230</f>
        <v>0</v>
      </c>
      <c r="BQ230" s="976">
        <f>BQ$163*BQ226</f>
        <v>0</v>
      </c>
      <c r="BR230" s="976">
        <f>BR$163*BR226</f>
        <v>0</v>
      </c>
      <c r="BS230" s="859">
        <f>BT230+BU230</f>
        <v>0</v>
      </c>
      <c r="BT230" s="976">
        <f>BT$163*BT226</f>
        <v>0</v>
      </c>
      <c r="BU230" s="976">
        <f>BU$163*BU226</f>
        <v>0</v>
      </c>
      <c r="BV230" s="859">
        <f>BW230+BX230</f>
        <v>0</v>
      </c>
      <c r="BW230" s="976">
        <f>BW$163*BW226</f>
        <v>0</v>
      </c>
      <c r="BX230" s="976">
        <f>BX$163*BX226</f>
        <v>0</v>
      </c>
      <c r="BY230" s="859">
        <f>BZ230+CA230</f>
        <v>0</v>
      </c>
      <c r="BZ230" s="976">
        <f>BZ$163*BZ226</f>
        <v>0</v>
      </c>
      <c r="CA230" s="976">
        <f>CA$163*CA226</f>
        <v>0</v>
      </c>
      <c r="CB230" s="859">
        <f>CC230+CD230</f>
        <v>0</v>
      </c>
      <c r="CC230" s="976">
        <f>CC$163*CC226</f>
        <v>0</v>
      </c>
      <c r="CD230" s="976">
        <f>CD$163*CD226</f>
        <v>0</v>
      </c>
      <c r="CE230" s="859">
        <f>CF230+CG230</f>
        <v>0</v>
      </c>
      <c r="CF230" s="87">
        <f>CF$163*CF226</f>
        <v>0</v>
      </c>
      <c r="CG230" s="87">
        <f>CG$163*CG226</f>
        <v>0</v>
      </c>
      <c r="CH230" s="859">
        <f>CI230+CJ230</f>
        <v>0</v>
      </c>
      <c r="CI230" s="87">
        <f>CI$163*CI226</f>
        <v>0</v>
      </c>
      <c r="CJ230" s="87">
        <f>CJ$163*CJ226</f>
        <v>0</v>
      </c>
      <c r="CK230" s="859">
        <f>CL230+CM230</f>
        <v>0</v>
      </c>
      <c r="CL230" s="87">
        <f>CL$163*CL226</f>
        <v>0</v>
      </c>
      <c r="CM230" s="87">
        <f>CM$163*CM226</f>
        <v>0</v>
      </c>
      <c r="CN230" s="859">
        <f>CO230+CP230</f>
        <v>0</v>
      </c>
      <c r="CO230" s="87">
        <f>CO$163*CO226</f>
        <v>0</v>
      </c>
      <c r="CP230" s="87">
        <f>CP$163*CP226</f>
        <v>0</v>
      </c>
      <c r="CQ230" s="859">
        <f>CR230+CS230</f>
        <v>0</v>
      </c>
      <c r="CR230" s="87">
        <f>CR$163*CR226</f>
        <v>0</v>
      </c>
      <c r="CS230" s="87">
        <f>CS$163*CS226</f>
        <v>0</v>
      </c>
      <c r="CT230" s="73"/>
      <c r="CU230" s="1619"/>
      <c r="CV230" s="1619"/>
      <c r="CW230" s="1170" t="s">
        <v>842</v>
      </c>
      <c r="CX230" s="1175" t="s">
        <v>787</v>
      </c>
      <c r="CY230" s="1179" cm="1" t="str">
        <f t="array" ref="CY230:CY230">AE230</f>
        <v>Уголь бурый</v>
      </c>
      <c r="CZ230" s="1179" cm="1" t="str">
        <f t="array" ref="CZ230:CZ230">AF230</f>
        <v>Б</v>
      </c>
      <c r="DA230" s="1176"/>
      <c r="DB230" s="1176"/>
    </row>
    <row s="1619" customFormat="1" customHeight="1" ht="15" hidden="1">
      <c r="A231" s="1440"/>
      <c r="B231" s="924"/>
      <c r="C231" s="1440"/>
      <c r="D231" s="1440"/>
      <c r="E231" s="794">
        <v>0</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440"/>
      <c r="U231" s="816">
        <f>AND(S231,IF(ISBLANK(T231),TRUE,T231))</f>
        <v>1</v>
      </c>
      <c r="V231" s="1440"/>
      <c r="W231" s="1440"/>
      <c r="X231" s="970" t="str">
        <f>"{                  
         funcDyn: 'msg1',
         blok: 'blok_2',
         wsCross: 'Топливо 4.4',
         linkFormula: 'AE-AE#AF-AF',
         levelDyn: "&amp;Y139&amp;"
}"</f>
        <v>{                  
         funcDyn: 'msg1',
         blok: 'blok_2',
         wsCross: 'Топливо 4.4',
         linkFormula: 'AE-AE#AF-AF',
         levelDyn: 1
}</v>
      </c>
      <c r="Y231" s="1440"/>
      <c r="Z231" s="1440"/>
      <c r="AA231" s="817"/>
      <c r="AB231" s="1493"/>
      <c r="AC231" s="1619"/>
      <c r="AD231" s="973"/>
      <c r="AE231" s="972" t="s">
        <v>235</v>
      </c>
      <c r="AF231" s="871"/>
      <c r="AG231" s="856"/>
      <c r="AH231" s="858"/>
      <c r="AI231" s="860"/>
      <c r="AJ231" s="860"/>
      <c r="AK231" s="860"/>
      <c r="AL231" s="860"/>
      <c r="AM231" s="860"/>
      <c r="AN231" s="860"/>
      <c r="AO231" s="860"/>
      <c r="AP231" s="860"/>
      <c r="AQ231" s="860"/>
      <c r="AR231" s="860"/>
      <c r="AS231" s="860"/>
      <c r="AT231" s="860"/>
      <c r="AU231" s="860"/>
      <c r="AV231" s="860"/>
      <c r="AW231" s="860"/>
      <c r="AX231" s="860"/>
      <c r="AY231" s="860"/>
      <c r="AZ231" s="860"/>
      <c r="BA231" s="860"/>
      <c r="BB231" s="860"/>
      <c r="BC231" s="860"/>
      <c r="BD231" s="860"/>
      <c r="BE231" s="860"/>
      <c r="BF231" s="860"/>
      <c r="BG231" s="860"/>
      <c r="BH231" s="860"/>
      <c r="BI231" s="860"/>
      <c r="BJ231" s="860"/>
      <c r="BK231" s="860"/>
      <c r="BL231" s="860"/>
      <c r="BM231" s="860"/>
      <c r="BN231" s="860"/>
      <c r="BO231" s="860"/>
      <c r="BP231" s="860"/>
      <c r="BQ231" s="860"/>
      <c r="BR231" s="860"/>
      <c r="BS231" s="860"/>
      <c r="BT231" s="860"/>
      <c r="BU231" s="860"/>
      <c r="BV231" s="860"/>
      <c r="BW231" s="860"/>
      <c r="BX231" s="860"/>
      <c r="BY231" s="860"/>
      <c r="BZ231" s="860"/>
      <c r="CA231" s="860"/>
      <c r="CB231" s="860"/>
      <c r="CC231" s="860"/>
      <c r="CD231" s="860"/>
      <c r="CE231" s="860"/>
      <c r="CF231" s="860"/>
      <c r="CG231" s="860"/>
      <c r="CH231" s="860"/>
      <c r="CI231" s="860"/>
      <c r="CJ231" s="860"/>
      <c r="CK231" s="860"/>
      <c r="CL231" s="860"/>
      <c r="CM231" s="860"/>
      <c r="CN231" s="860"/>
      <c r="CO231" s="860"/>
      <c r="CP231" s="860"/>
      <c r="CQ231" s="860"/>
      <c r="CR231" s="860"/>
      <c r="CS231" s="860"/>
      <c r="CT231" s="91"/>
      <c r="CU231" s="1619"/>
      <c r="CV231" s="1619"/>
      <c r="CW231" s="1170" t="str">
        <f>IF(AND(ISNUMBER(VALUE(TRIM(SUBSTITUTE(AD231,".","")))),TRIM(SUBSTITUTE(AD231,".",""))&lt;&gt;""),"P"&amp;SUBSTITUTE(AD231,".",""),"")</f>
        <v/>
      </c>
      <c r="CX231" s="1175"/>
      <c r="CY231" s="1175"/>
      <c r="CZ231" s="1175"/>
      <c r="DA231" s="1176"/>
      <c r="DB231" s="1176"/>
    </row>
    <row s="1619" customFormat="1" customHeight="1" ht="16.5">
      <c r="A232" s="1440"/>
      <c r="B232" s="924"/>
      <c r="C232" s="1440"/>
      <c r="D232" s="1440"/>
      <c r="E232" s="794">
        <v>17.1</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1440"/>
      <c r="Y232" s="1440"/>
      <c r="Z232" s="1440"/>
      <c r="AA232" s="817"/>
      <c r="AB232" s="1482" t="s">
        <v>844</v>
      </c>
      <c r="AC232" s="1619"/>
      <c r="AD232" s="170" t="s">
        <v>845</v>
      </c>
      <c r="AE232" s="1494" t="s">
        <v>846</v>
      </c>
      <c r="AF232" s="320"/>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30"/>
      <c r="CU232" s="1619"/>
      <c r="CV232" s="1619"/>
      <c r="CW232" s="1170" t="s">
        <v>847</v>
      </c>
      <c r="CX232" s="1175"/>
      <c r="CY232" s="1175"/>
      <c r="CZ232" s="1175"/>
      <c r="DA232" s="1176"/>
      <c r="DB232" s="1176"/>
    </row>
    <row s="1619" customFormat="1" customHeight="1" ht="16.5" hidden="1">
      <c r="E233" s="794">
        <v>17.1</v>
      </c>
      <c r="F233" s="919" cm="1" t="str">
        <f t="array" ref="F233:F233">OFFSET(G233,-1,-1)</f>
        <v>1</v>
      </c>
      <c r="L233" s="919" cm="1" t="str">
        <f t="array" ref="L233:L233">OFFSET(M233,-1,-1)</f>
        <v>false</v>
      </c>
      <c r="S233" s="156" cm="1" t="str">
        <f t="array" ref="S233:S233">OFFSET(T233,-1,-1)</f>
        <v>true</v>
      </c>
      <c r="T233" s="156">
        <f>AD233&lt;&gt;"34.0"</f>
        <v>0</v>
      </c>
      <c r="U233" s="816">
        <f>AND(S233,IF(ISBLANK(T233),TRUE,T233))</f>
        <v>0</v>
      </c>
      <c r="X233" s="156" t="s">
        <v>233</v>
      </c>
      <c r="AB233" s="1483"/>
      <c r="AD233" s="157" t="s">
        <v>848</v>
      </c>
      <c r="AE233" s="971"/>
      <c r="AF233" s="622"/>
      <c r="AG233" s="856" t="s">
        <v>490</v>
      </c>
      <c r="AH233" s="90"/>
      <c r="AI233" s="94"/>
      <c r="AJ233" s="94"/>
      <c r="AK233" s="94"/>
      <c r="AL233" s="860"/>
      <c r="AM233" s="94"/>
      <c r="AN233" s="94"/>
      <c r="AO233" s="860"/>
      <c r="AP233" s="981"/>
      <c r="AQ233" s="981"/>
      <c r="AR233" s="860"/>
      <c r="AS233" s="981"/>
      <c r="AT233" s="981"/>
      <c r="AU233" s="860"/>
      <c r="AV233" s="981"/>
      <c r="AW233" s="981"/>
      <c r="AX233" s="860"/>
      <c r="AY233" s="981"/>
      <c r="AZ233" s="981"/>
      <c r="BA233" s="860"/>
      <c r="BB233" s="94"/>
      <c r="BC233" s="94"/>
      <c r="BD233" s="860"/>
      <c r="BE233" s="94"/>
      <c r="BF233" s="94"/>
      <c r="BG233" s="860"/>
      <c r="BH233" s="94"/>
      <c r="BI233" s="94"/>
      <c r="BJ233" s="860"/>
      <c r="BK233" s="94"/>
      <c r="BL233" s="94"/>
      <c r="BM233" s="860"/>
      <c r="BN233" s="94"/>
      <c r="BO233" s="94"/>
      <c r="BP233" s="860"/>
      <c r="BQ233" s="981"/>
      <c r="BR233" s="981"/>
      <c r="BS233" s="860"/>
      <c r="BT233" s="981"/>
      <c r="BU233" s="981"/>
      <c r="BV233" s="860"/>
      <c r="BW233" s="981"/>
      <c r="BX233" s="981"/>
      <c r="BY233" s="860"/>
      <c r="BZ233" s="981"/>
      <c r="CA233" s="981"/>
      <c r="CB233" s="860"/>
      <c r="CC233" s="981"/>
      <c r="CD233" s="981"/>
      <c r="CE233" s="860"/>
      <c r="CF233" s="94"/>
      <c r="CG233" s="94"/>
      <c r="CH233" s="860"/>
      <c r="CI233" s="94"/>
      <c r="CJ233" s="94"/>
      <c r="CK233" s="860"/>
      <c r="CL233" s="94"/>
      <c r="CM233" s="94"/>
      <c r="CN233" s="860"/>
      <c r="CO233" s="94"/>
      <c r="CP233" s="94"/>
      <c r="CQ233" s="860"/>
      <c r="CR233" s="94"/>
      <c r="CS233" s="94"/>
      <c r="CT233" s="73"/>
      <c r="CW233" s="1170" t="s">
        <v>847</v>
      </c>
      <c r="CX233" s="1175" t="s">
        <v>787</v>
      </c>
      <c r="CY233" s="1179" cm="1" t="str">
        <f t="array" ref="CY233:CY233">AE233</f>
        <v>0</v>
      </c>
      <c r="CZ233" s="1179" cm="1" t="str">
        <f t="array" ref="CZ233:CZ233">AF233</f>
        <v>0</v>
      </c>
      <c r="DA233" s="1176"/>
      <c r="DB233" s="1176"/>
    </row>
    <row s="1619" customFormat="1" customHeight="1" ht="16.5">
      <c r="A234" s="1619"/>
      <c r="B234" s="1619"/>
      <c r="C234" s="1619"/>
      <c r="D234" s="1619"/>
      <c r="E234" s="794">
        <v>17.1</v>
      </c>
      <c r="F234" s="919" cm="1" t="str">
        <f t="array" ref="F234:F234">OFFSET(G234,-1,-1)</f>
        <v>1</v>
      </c>
      <c r="G234" s="1619"/>
      <c r="H234" s="1619"/>
      <c r="I234" s="1619"/>
      <c r="J234" s="1619"/>
      <c r="K234" s="1619"/>
      <c r="L234" s="919" cm="1" t="str">
        <f t="array" ref="L234:L234">OFFSET(M234,-1,-1)</f>
        <v>false</v>
      </c>
      <c r="M234" s="1619"/>
      <c r="N234" s="1619"/>
      <c r="O234" s="1619"/>
      <c r="P234" s="1619"/>
      <c r="Q234" s="1619"/>
      <c r="R234" s="1619"/>
      <c r="S234" s="156" cm="1" t="str">
        <f t="array" ref="S234:S234">OFFSET(T234,-1,-1)</f>
        <v>true</v>
      </c>
      <c r="T234" s="156">
        <f>AD234&lt;&gt;"34.0"</f>
        <v>1</v>
      </c>
      <c r="U234" s="816">
        <f>AND(S234,IF(ISBLANK(T234),TRUE,T234))</f>
        <v>1</v>
      </c>
      <c r="V234" s="1619"/>
      <c r="W234" s="1619"/>
      <c r="X234" s="156" t="str">
        <f>'Топливо 4.4'!$AE$230&amp;'Топливо 4.4'!$AF$230</f>
        <v>Уголь бурыйБ</v>
      </c>
      <c r="Y234" s="1619"/>
      <c r="Z234" s="1619"/>
      <c r="AA234" s="1619"/>
      <c r="AB234" s="1483"/>
      <c r="AC234" s="1619"/>
      <c r="AD234" s="157" t="s">
        <v>914</v>
      </c>
      <c r="AE234" s="971" cm="1" t="str">
        <f t="array" ref="AE234:AE234">IF(ISBLANK('Топливо 4.4'!$AE$230),"",'Топливо 4.4'!$AE$230)</f>
        <v>Уголь бурый</v>
      </c>
      <c r="AF234" s="622" cm="1" t="str">
        <f t="array" ref="AF234:AF234">IF(ISBLANK('Топливо 4.4'!$AF$230),"",'Топливо 4.4'!$AF$230)</f>
        <v>Б</v>
      </c>
      <c r="AG234" s="856" t="s">
        <v>490</v>
      </c>
      <c r="AH234" s="1772"/>
      <c r="AI234" s="1777"/>
      <c r="AJ234" s="1777"/>
      <c r="AK234" s="1777"/>
      <c r="AL234" s="860"/>
      <c r="AM234" s="1777"/>
      <c r="AN234" s="1777"/>
      <c r="AO234" s="860"/>
      <c r="AP234" s="981"/>
      <c r="AQ234" s="981"/>
      <c r="AR234" s="860"/>
      <c r="AS234" s="981"/>
      <c r="AT234" s="981"/>
      <c r="AU234" s="860"/>
      <c r="AV234" s="981"/>
      <c r="AW234" s="981"/>
      <c r="AX234" s="860"/>
      <c r="AY234" s="981"/>
      <c r="AZ234" s="981"/>
      <c r="BA234" s="860"/>
      <c r="BB234" s="1777"/>
      <c r="BC234" s="1777"/>
      <c r="BD234" s="860"/>
      <c r="BE234" s="1777"/>
      <c r="BF234" s="1777"/>
      <c r="BG234" s="860"/>
      <c r="BH234" s="1777"/>
      <c r="BI234" s="1777"/>
      <c r="BJ234" s="860"/>
      <c r="BK234" s="1777"/>
      <c r="BL234" s="1777"/>
      <c r="BM234" s="860"/>
      <c r="BN234" s="1777"/>
      <c r="BO234" s="1777"/>
      <c r="BP234" s="860"/>
      <c r="BQ234" s="981"/>
      <c r="BR234" s="981"/>
      <c r="BS234" s="860"/>
      <c r="BT234" s="981"/>
      <c r="BU234" s="981"/>
      <c r="BV234" s="860"/>
      <c r="BW234" s="981"/>
      <c r="BX234" s="981"/>
      <c r="BY234" s="860"/>
      <c r="BZ234" s="981"/>
      <c r="CA234" s="981"/>
      <c r="CB234" s="860"/>
      <c r="CC234" s="981"/>
      <c r="CD234" s="981"/>
      <c r="CE234" s="860"/>
      <c r="CF234" s="1777"/>
      <c r="CG234" s="1777"/>
      <c r="CH234" s="860"/>
      <c r="CI234" s="1777"/>
      <c r="CJ234" s="1777"/>
      <c r="CK234" s="860"/>
      <c r="CL234" s="1777"/>
      <c r="CM234" s="1777"/>
      <c r="CN234" s="860"/>
      <c r="CO234" s="1777"/>
      <c r="CP234" s="1777"/>
      <c r="CQ234" s="860"/>
      <c r="CR234" s="1777"/>
      <c r="CS234" s="1777"/>
      <c r="CT234" s="1730"/>
      <c r="CU234" s="1619"/>
      <c r="CV234" s="1619"/>
      <c r="CW234" s="1170" t="s">
        <v>847</v>
      </c>
      <c r="CX234" s="1175" t="s">
        <v>787</v>
      </c>
      <c r="CY234" s="1179" cm="1" t="str">
        <f t="array" ref="CY234:CY234">AE234</f>
        <v>Уголь бурый</v>
      </c>
      <c r="CZ234" s="1179" cm="1" t="str">
        <f t="array" ref="CZ234:CZ234">AF234</f>
        <v>Б</v>
      </c>
      <c r="DA234" s="1176"/>
      <c r="DB234" s="1176"/>
    </row>
    <row s="1619" customFormat="1" customHeight="1" ht="15" hidden="1">
      <c r="A235" s="1440"/>
      <c r="B235" s="924"/>
      <c r="C235" s="1440"/>
      <c r="D235" s="1440"/>
      <c r="E235" s="794">
        <v>0</v>
      </c>
      <c r="F235" s="919" cm="1" t="str">
        <f t="array" ref="F235:F235">OFFSET(G235,-1,-1)</f>
        <v>1</v>
      </c>
      <c r="G235" s="962"/>
      <c r="H235" s="962"/>
      <c r="I235" s="962"/>
      <c r="J235" s="962"/>
      <c r="K235" s="962"/>
      <c r="L235" s="919" cm="1" t="str">
        <f t="array" ref="L235:L235">OFFSET(M235,-1,-1)</f>
        <v>false</v>
      </c>
      <c r="M235" s="962"/>
      <c r="N235" s="962"/>
      <c r="O235" s="962"/>
      <c r="P235" s="962"/>
      <c r="Q235" s="962"/>
      <c r="R235" s="1440"/>
      <c r="S235" s="156" cm="1" t="str">
        <f t="array" ref="S235:S235">OFFSET(T235,-1,-1)</f>
        <v>true</v>
      </c>
      <c r="T235" s="1440"/>
      <c r="U235" s="816">
        <f>AND(S235,IF(ISBLANK(T235),TRUE,T235))</f>
        <v>1</v>
      </c>
      <c r="V235" s="1440"/>
      <c r="W235" s="1440"/>
      <c r="X235" s="970" t="str">
        <f>"{                  
         funcDyn: 'msg1',
         blok: 'blok_2',
         wsCross: 'Топливо 4.4',
         linkFormula: 'AE-AE#AF-AF',
         levelDyn: "&amp;Y139&amp;"
}"</f>
        <v>{                  
         funcDyn: 'msg1',
         blok: 'blok_2',
         wsCross: 'Топливо 4.4',
         linkFormula: 'AE-AE#AF-AF',
         levelDyn: 1
}</v>
      </c>
      <c r="Y235" s="1440"/>
      <c r="Z235" s="1440"/>
      <c r="AA235" s="817"/>
      <c r="AB235" s="1483"/>
      <c r="AC235" s="1619"/>
      <c r="AD235" s="973"/>
      <c r="AE235" s="972" t="s">
        <v>235</v>
      </c>
      <c r="AF235" s="871"/>
      <c r="AG235" s="856"/>
      <c r="AH235" s="873"/>
      <c r="AI235" s="95"/>
      <c r="AJ235" s="95"/>
      <c r="AK235" s="95"/>
      <c r="AL235" s="860"/>
      <c r="AM235" s="95"/>
      <c r="AN235" s="95"/>
      <c r="AO235" s="860"/>
      <c r="AP235" s="95"/>
      <c r="AQ235" s="95"/>
      <c r="AR235" s="860"/>
      <c r="AS235" s="95"/>
      <c r="AT235" s="95"/>
      <c r="AU235" s="860"/>
      <c r="AV235" s="95"/>
      <c r="AW235" s="95"/>
      <c r="AX235" s="860"/>
      <c r="AY235" s="95"/>
      <c r="AZ235" s="95"/>
      <c r="BA235" s="860"/>
      <c r="BB235" s="95"/>
      <c r="BC235" s="95"/>
      <c r="BD235" s="860"/>
      <c r="BE235" s="95"/>
      <c r="BF235" s="95"/>
      <c r="BG235" s="860"/>
      <c r="BH235" s="95"/>
      <c r="BI235" s="95"/>
      <c r="BJ235" s="860"/>
      <c r="BK235" s="95"/>
      <c r="BL235" s="95"/>
      <c r="BM235" s="860"/>
      <c r="BN235" s="95"/>
      <c r="BO235" s="95"/>
      <c r="BP235" s="860"/>
      <c r="BQ235" s="95"/>
      <c r="BR235" s="95"/>
      <c r="BS235" s="860"/>
      <c r="BT235" s="95"/>
      <c r="BU235" s="95"/>
      <c r="BV235" s="860"/>
      <c r="BW235" s="95"/>
      <c r="BX235" s="95"/>
      <c r="BY235" s="860"/>
      <c r="BZ235" s="95"/>
      <c r="CA235" s="95"/>
      <c r="CB235" s="860"/>
      <c r="CC235" s="95"/>
      <c r="CD235" s="95"/>
      <c r="CE235" s="860"/>
      <c r="CF235" s="95"/>
      <c r="CG235" s="95"/>
      <c r="CH235" s="860"/>
      <c r="CI235" s="95"/>
      <c r="CJ235" s="95"/>
      <c r="CK235" s="860"/>
      <c r="CL235" s="95"/>
      <c r="CM235" s="95"/>
      <c r="CN235" s="860"/>
      <c r="CO235" s="95"/>
      <c r="CP235" s="95"/>
      <c r="CQ235" s="860"/>
      <c r="CR235" s="95"/>
      <c r="CS235" s="95"/>
      <c r="CT235" s="91"/>
      <c r="CU235" s="1619"/>
      <c r="CV235" s="1619"/>
      <c r="CW235" s="1170" t="str">
        <f>IF(AND(ISNUMBER(VALUE(TRIM(SUBSTITUTE(AD235,".","")))),TRIM(SUBSTITUTE(AD235,".",""))&lt;&gt;""),"P"&amp;SUBSTITUTE(AD235,".",""),"")</f>
        <v/>
      </c>
      <c r="CX235" s="1175"/>
      <c r="CY235" s="1175"/>
      <c r="CZ235" s="1175"/>
      <c r="DA235" s="1176"/>
      <c r="DB235" s="1176"/>
    </row>
    <row s="1619" customFormat="1" customHeight="1" ht="16.5">
      <c r="A236" s="1440"/>
      <c r="B236" s="924"/>
      <c r="C236" s="1440"/>
      <c r="D236" s="1440"/>
      <c r="E236" s="794">
        <v>17.1</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1440"/>
      <c r="Y236" s="1440"/>
      <c r="Z236" s="1440"/>
      <c r="AA236" s="817"/>
      <c r="AB236" s="1483"/>
      <c r="AC236" s="1619"/>
      <c r="AD236" s="170" t="s">
        <v>849</v>
      </c>
      <c r="AE236" s="1494" t="s">
        <v>850</v>
      </c>
      <c r="AF236" s="320"/>
      <c r="AG236" s="1007"/>
      <c r="AH236" s="858"/>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1730"/>
      <c r="CU236" s="1619"/>
      <c r="CV236" s="1619"/>
      <c r="CW236" s="1170" t="s">
        <v>851</v>
      </c>
      <c r="CX236" s="1175"/>
      <c r="CY236" s="1175"/>
      <c r="CZ236" s="1175"/>
      <c r="DA236" s="1176"/>
      <c r="DB236" s="1176"/>
    </row>
    <row s="1619" customFormat="1" customHeight="1" ht="16.5" hidden="1">
      <c r="E237" s="794">
        <v>17.1</v>
      </c>
      <c r="F237" s="919" cm="1" t="str">
        <f t="array" ref="F237:F237">OFFSET(G237,-1,-1)</f>
        <v>1</v>
      </c>
      <c r="L237" s="919" cm="1" t="str">
        <f t="array" ref="L237:L237">OFFSET(M237,-1,-1)</f>
        <v>false</v>
      </c>
      <c r="S237" s="156" cm="1" t="str">
        <f t="array" ref="S237:S237">OFFSET(T237,-1,-1)</f>
        <v>true</v>
      </c>
      <c r="T237" s="156">
        <f>AD237&lt;&gt;"35.0"</f>
        <v>0</v>
      </c>
      <c r="U237" s="816">
        <f>AND(S237,IF(ISBLANK(T237),TRUE,T237))</f>
        <v>0</v>
      </c>
      <c r="X237" s="156" t="s">
        <v>233</v>
      </c>
      <c r="AB237" s="1483"/>
      <c r="AD237" s="157" t="s">
        <v>852</v>
      </c>
      <c r="AE237" s="971"/>
      <c r="AF237" s="622"/>
      <c r="AG237" s="1067"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59">
        <f>_xlfn.IFERROR(AL242/AL178,0)*1000</f>
        <v>0</v>
      </c>
      <c r="AM237" s="87"/>
      <c r="AN237" s="87"/>
      <c r="AO237" s="859">
        <f>_xlfn.IFERROR(AO242/AO178,0)*1000</f>
        <v>0</v>
      </c>
      <c r="AP237" s="976"/>
      <c r="AQ237" s="976"/>
      <c r="AR237" s="859">
        <f>_xlfn.IFERROR(AR242/AR178,0)*1000</f>
        <v>0</v>
      </c>
      <c r="AS237" s="976"/>
      <c r="AT237" s="976"/>
      <c r="AU237" s="859">
        <f>_xlfn.IFERROR(AU242/AU178,0)*1000</f>
        <v>0</v>
      </c>
      <c r="AV237" s="976"/>
      <c r="AW237" s="976"/>
      <c r="AX237" s="859">
        <f>_xlfn.IFERROR(AX242/AX178,0)*1000</f>
        <v>0</v>
      </c>
      <c r="AY237" s="976"/>
      <c r="AZ237" s="976"/>
      <c r="BA237" s="859">
        <f>_xlfn.IFERROR(BA242/BA178,0)*1000</f>
        <v>0</v>
      </c>
      <c r="BB237" s="87"/>
      <c r="BC237" s="87"/>
      <c r="BD237" s="859">
        <f>_xlfn.IFERROR(BD242/BD178,0)*1000</f>
        <v>0</v>
      </c>
      <c r="BE237" s="87"/>
      <c r="BF237" s="87"/>
      <c r="BG237" s="859">
        <f>_xlfn.IFERROR(BG242/BG178,0)*1000</f>
        <v>0</v>
      </c>
      <c r="BH237" s="87"/>
      <c r="BI237" s="87"/>
      <c r="BJ237" s="859">
        <f>_xlfn.IFERROR(BJ242/BJ178,0)*1000</f>
        <v>0</v>
      </c>
      <c r="BK237" s="87"/>
      <c r="BL237" s="87"/>
      <c r="BM237" s="859">
        <f>_xlfn.IFERROR(BM242/BM178,0)*1000</f>
        <v>0</v>
      </c>
      <c r="BN237" s="87"/>
      <c r="BO237" s="87"/>
      <c r="BP237" s="859">
        <f>_xlfn.IFERROR(BP242/BP178,0)*1000</f>
        <v>0</v>
      </c>
      <c r="BQ237" s="976"/>
      <c r="BR237" s="976"/>
      <c r="BS237" s="859">
        <f>_xlfn.IFERROR(BS242/BS178,0)*1000</f>
        <v>0</v>
      </c>
      <c r="BT237" s="976"/>
      <c r="BU237" s="976"/>
      <c r="BV237" s="859">
        <f>_xlfn.IFERROR(BV242/BV178,0)*1000</f>
        <v>0</v>
      </c>
      <c r="BW237" s="976"/>
      <c r="BX237" s="976"/>
      <c r="BY237" s="859">
        <f>_xlfn.IFERROR(BY242/BY178,0)*1000</f>
        <v>0</v>
      </c>
      <c r="BZ237" s="976"/>
      <c r="CA237" s="976"/>
      <c r="CB237" s="859">
        <f>_xlfn.IFERROR(CB242/CB178,0)*1000</f>
        <v>0</v>
      </c>
      <c r="CC237" s="976"/>
      <c r="CD237" s="976"/>
      <c r="CE237" s="859">
        <f>_xlfn.IFERROR(CE242/CE178,0)*1000</f>
        <v>0</v>
      </c>
      <c r="CF237" s="87"/>
      <c r="CG237" s="87"/>
      <c r="CH237" s="859">
        <f>_xlfn.IFERROR(CH242/CH178,0)*1000</f>
        <v>0</v>
      </c>
      <c r="CI237" s="87"/>
      <c r="CJ237" s="87"/>
      <c r="CK237" s="859">
        <f>_xlfn.IFERROR(CK242/CK178,0)*1000</f>
        <v>0</v>
      </c>
      <c r="CL237" s="87"/>
      <c r="CM237" s="87"/>
      <c r="CN237" s="859">
        <f>_xlfn.IFERROR(CN242/CN178,0)*1000</f>
        <v>0</v>
      </c>
      <c r="CO237" s="87"/>
      <c r="CP237" s="87"/>
      <c r="CQ237" s="859">
        <f>_xlfn.IFERROR(CQ242/CQ178,0)*1000</f>
        <v>0</v>
      </c>
      <c r="CR237" s="87"/>
      <c r="CS237" s="87"/>
      <c r="CT237" s="73"/>
      <c r="CW237" s="1170" t="s">
        <v>851</v>
      </c>
      <c r="CX237" s="1175" t="s">
        <v>787</v>
      </c>
      <c r="CY237" s="1179" cm="1" t="str">
        <f t="array" ref="CY237:CY237">AE237</f>
        <v>0</v>
      </c>
      <c r="CZ237" s="1179" cm="1" t="str">
        <f t="array" ref="CZ237:CZ237">AF237</f>
        <v>0</v>
      </c>
      <c r="DA237" s="1176"/>
      <c r="DB237" s="1176"/>
    </row>
    <row s="1619" customFormat="1" customHeight="1" ht="16.5">
      <c r="A238" s="1619"/>
      <c r="B238" s="1619"/>
      <c r="C238" s="1619"/>
      <c r="D238" s="1619"/>
      <c r="E238" s="794">
        <v>17.1</v>
      </c>
      <c r="F238" s="919" cm="1" t="str">
        <f t="array" ref="F238:F238">OFFSET(G238,-1,-1)</f>
        <v>1</v>
      </c>
      <c r="G238" s="1619"/>
      <c r="H238" s="1619"/>
      <c r="I238" s="1619"/>
      <c r="J238" s="1619"/>
      <c r="K238" s="1619"/>
      <c r="L238" s="919" cm="1" t="str">
        <f t="array" ref="L238:L238">OFFSET(M238,-1,-1)</f>
        <v>false</v>
      </c>
      <c r="M238" s="1619"/>
      <c r="N238" s="1619"/>
      <c r="O238" s="1619"/>
      <c r="P238" s="1619"/>
      <c r="Q238" s="1619"/>
      <c r="R238" s="1619"/>
      <c r="S238" s="156" cm="1" t="str">
        <f t="array" ref="S238:S238">OFFSET(T238,-1,-1)</f>
        <v>true</v>
      </c>
      <c r="T238" s="156">
        <f>AD238&lt;&gt;"35.0"</f>
        <v>1</v>
      </c>
      <c r="U238" s="816">
        <f>AND(S238,IF(ISBLANK(T238),TRUE,T238))</f>
        <v>1</v>
      </c>
      <c r="V238" s="1619"/>
      <c r="W238" s="1619"/>
      <c r="X238" s="156" t="str">
        <f>'Топливо 4.4'!$AE$234&amp;'Топливо 4.4'!$AF$234</f>
        <v>Уголь бурыйБ</v>
      </c>
      <c r="Y238" s="1619"/>
      <c r="Z238" s="1619"/>
      <c r="AA238" s="1619"/>
      <c r="AB238" s="1483"/>
      <c r="AC238" s="1619"/>
      <c r="AD238" s="157" t="s">
        <v>915</v>
      </c>
      <c r="AE238" s="971" cm="1" t="str">
        <f t="array" ref="AE238:AE238">IF(ISBLANK('Топливо 4.4'!$AE$234),"",'Топливо 4.4'!$AE$234)</f>
        <v>Уголь бурый</v>
      </c>
      <c r="AF238" s="622" cm="1" t="str">
        <f t="array" ref="AF238:AF238">IF(ISBLANK('Топливо 4.4'!$AF$234),"",'Топливо 4.4'!$AF$234)</f>
        <v>Б</v>
      </c>
      <c r="AG238" s="1067" t="str">
        <f>"руб./"&amp;_xlfn.IFERROR(INDEX(fuel_ed_izm_list,MATCH(AE238,fuel_list,0)),"")</f>
        <v>руб./тнт</v>
      </c>
      <c r="AH238" s="1768">
        <f>_xlfn.IFERROR(AH243/AH179,0)*1000</f>
        <v>0</v>
      </c>
      <c r="AI238" s="1768">
        <f>_xlfn.IFERROR(AI243/AI179,0)*1000</f>
        <v>0</v>
      </c>
      <c r="AJ238" s="1768">
        <f>_xlfn.IFERROR(AJ243/AJ179,0)*1000</f>
        <v>0</v>
      </c>
      <c r="AK238" s="1768">
        <f>_xlfn.IFERROR(AK243/AK179,0)*1000</f>
        <v>0</v>
      </c>
      <c r="AL238" s="859">
        <f>_xlfn.IFERROR(AL243/AL179,0)*1000</f>
        <v>0</v>
      </c>
      <c r="AM238" s="1766"/>
      <c r="AN238" s="1766"/>
      <c r="AO238" s="859">
        <f>_xlfn.IFERROR(AO243/AO179,0)*1000</f>
        <v>0</v>
      </c>
      <c r="AP238" s="976"/>
      <c r="AQ238" s="976"/>
      <c r="AR238" s="859">
        <f>_xlfn.IFERROR(AR243/AR179,0)*1000</f>
        <v>0</v>
      </c>
      <c r="AS238" s="976"/>
      <c r="AT238" s="976"/>
      <c r="AU238" s="859">
        <f>_xlfn.IFERROR(AU243/AU179,0)*1000</f>
        <v>0</v>
      </c>
      <c r="AV238" s="976"/>
      <c r="AW238" s="976"/>
      <c r="AX238" s="859">
        <f>_xlfn.IFERROR(AX243/AX179,0)*1000</f>
        <v>0</v>
      </c>
      <c r="AY238" s="976"/>
      <c r="AZ238" s="976"/>
      <c r="BA238" s="859">
        <f>_xlfn.IFERROR(BA243/BA179,0)*1000</f>
        <v>0</v>
      </c>
      <c r="BB238" s="1766"/>
      <c r="BC238" s="1766"/>
      <c r="BD238" s="859">
        <f>_xlfn.IFERROR(BD243/BD179,0)*1000</f>
        <v>0</v>
      </c>
      <c r="BE238" s="1766"/>
      <c r="BF238" s="1766"/>
      <c r="BG238" s="859">
        <f>_xlfn.IFERROR(BG243/BG179,0)*1000</f>
        <v>0</v>
      </c>
      <c r="BH238" s="1766"/>
      <c r="BI238" s="1766"/>
      <c r="BJ238" s="859">
        <f>_xlfn.IFERROR(BJ243/BJ179,0)*1000</f>
        <v>0</v>
      </c>
      <c r="BK238" s="1766"/>
      <c r="BL238" s="1766"/>
      <c r="BM238" s="859">
        <f>_xlfn.IFERROR(BM243/BM179,0)*1000</f>
        <v>0</v>
      </c>
      <c r="BN238" s="1766"/>
      <c r="BO238" s="1766"/>
      <c r="BP238" s="859">
        <f>_xlfn.IFERROR(BP243/BP179,0)*1000</f>
        <v>0</v>
      </c>
      <c r="BQ238" s="976"/>
      <c r="BR238" s="976"/>
      <c r="BS238" s="859">
        <f>_xlfn.IFERROR(BS243/BS179,0)*1000</f>
        <v>0</v>
      </c>
      <c r="BT238" s="976"/>
      <c r="BU238" s="976"/>
      <c r="BV238" s="859">
        <f>_xlfn.IFERROR(BV243/BV179,0)*1000</f>
        <v>0</v>
      </c>
      <c r="BW238" s="976"/>
      <c r="BX238" s="976"/>
      <c r="BY238" s="859">
        <f>_xlfn.IFERROR(BY243/BY179,0)*1000</f>
        <v>0</v>
      </c>
      <c r="BZ238" s="976"/>
      <c r="CA238" s="976"/>
      <c r="CB238" s="859">
        <f>_xlfn.IFERROR(CB243/CB179,0)*1000</f>
        <v>0</v>
      </c>
      <c r="CC238" s="976"/>
      <c r="CD238" s="976"/>
      <c r="CE238" s="859">
        <f>_xlfn.IFERROR(CE243/CE179,0)*1000</f>
        <v>0</v>
      </c>
      <c r="CF238" s="1766"/>
      <c r="CG238" s="1766"/>
      <c r="CH238" s="859">
        <f>_xlfn.IFERROR(CH243/CH179,0)*1000</f>
        <v>0</v>
      </c>
      <c r="CI238" s="1766"/>
      <c r="CJ238" s="1766"/>
      <c r="CK238" s="859">
        <f>_xlfn.IFERROR(CK243/CK179,0)*1000</f>
        <v>0</v>
      </c>
      <c r="CL238" s="1766"/>
      <c r="CM238" s="1766"/>
      <c r="CN238" s="859">
        <f>_xlfn.IFERROR(CN243/CN179,0)*1000</f>
        <v>0</v>
      </c>
      <c r="CO238" s="1766"/>
      <c r="CP238" s="1766"/>
      <c r="CQ238" s="859">
        <f>_xlfn.IFERROR(CQ243/CQ179,0)*1000</f>
        <v>0</v>
      </c>
      <c r="CR238" s="1766"/>
      <c r="CS238" s="1766"/>
      <c r="CT238" s="1730"/>
      <c r="CU238" s="1619"/>
      <c r="CV238" s="1619"/>
      <c r="CW238" s="1170" t="s">
        <v>851</v>
      </c>
      <c r="CX238" s="1175" t="s">
        <v>787</v>
      </c>
      <c r="CY238" s="1179" cm="1" t="str">
        <f t="array" ref="CY238:CY238">AE238</f>
        <v>Уголь бурый</v>
      </c>
      <c r="CZ238" s="1179" cm="1" t="str">
        <f t="array" ref="CZ238:CZ238">AF238</f>
        <v>Б</v>
      </c>
      <c r="DA238" s="1176"/>
      <c r="DB238" s="1176"/>
    </row>
    <row s="1619" customFormat="1" customHeight="1" ht="15" hidden="1">
      <c r="A239" s="1440"/>
      <c r="B239" s="924"/>
      <c r="C239" s="1440"/>
      <c r="D239" s="1440"/>
      <c r="E239" s="794">
        <v>0</v>
      </c>
      <c r="F239" s="919" cm="1" t="str">
        <f t="array" ref="F239:F239">OFFSET(G239,-1,-1)</f>
        <v>1</v>
      </c>
      <c r="G239" s="962"/>
      <c r="H239" s="962"/>
      <c r="I239" s="962"/>
      <c r="J239" s="962"/>
      <c r="K239" s="962"/>
      <c r="L239" s="919" cm="1" t="str">
        <f t="array" ref="L239:L239">OFFSET(M239,-1,-1)</f>
        <v>false</v>
      </c>
      <c r="M239" s="962"/>
      <c r="N239" s="962"/>
      <c r="O239" s="962"/>
      <c r="P239" s="962"/>
      <c r="Q239" s="962"/>
      <c r="R239" s="1440"/>
      <c r="S239" s="156" cm="1" t="str">
        <f t="array" ref="S239:S239">OFFSET(T239,-1,-1)</f>
        <v>true</v>
      </c>
      <c r="T239" s="1440"/>
      <c r="U239" s="816">
        <f>AND(S239,IF(ISBLANK(T239),TRUE,T239))</f>
        <v>1</v>
      </c>
      <c r="V239" s="1440"/>
      <c r="W239" s="1440"/>
      <c r="X239" s="970" t="str">
        <f>"{                  
         funcDyn: 'msg1',
         blok: 'blok_2',
         wsCross: 'Топливо 4.4',
         linkFormula: 'AE-AE#AF-AF',
         levelDyn: "&amp;Y139&amp;"
}"</f>
        <v>{                  
         funcDyn: 'msg1',
         blok: 'blok_2',
         wsCross: 'Топливо 4.4',
         linkFormula: 'AE-AE#AF-AF',
         levelDyn: 1
}</v>
      </c>
      <c r="Y239" s="1440"/>
      <c r="Z239" s="1440"/>
      <c r="AA239" s="817"/>
      <c r="AB239" s="1483"/>
      <c r="AC239" s="1619"/>
      <c r="AD239" s="973"/>
      <c r="AE239" s="972" t="s">
        <v>235</v>
      </c>
      <c r="AF239" s="871"/>
      <c r="AG239" s="856"/>
      <c r="AH239" s="858"/>
      <c r="AI239" s="860"/>
      <c r="AJ239" s="860"/>
      <c r="AK239" s="860"/>
      <c r="AL239" s="860"/>
      <c r="AM239" s="860"/>
      <c r="AN239" s="860"/>
      <c r="AO239" s="860"/>
      <c r="AP239" s="860"/>
      <c r="AQ239" s="860"/>
      <c r="AR239" s="860"/>
      <c r="AS239" s="860"/>
      <c r="AT239" s="860"/>
      <c r="AU239" s="860"/>
      <c r="AV239" s="860"/>
      <c r="AW239" s="860"/>
      <c r="AX239" s="860"/>
      <c r="AY239" s="860"/>
      <c r="AZ239" s="860"/>
      <c r="BA239" s="860"/>
      <c r="BB239" s="860"/>
      <c r="BC239" s="860"/>
      <c r="BD239" s="860"/>
      <c r="BE239" s="860"/>
      <c r="BF239" s="860"/>
      <c r="BG239" s="860"/>
      <c r="BH239" s="860"/>
      <c r="BI239" s="860"/>
      <c r="BJ239" s="860"/>
      <c r="BK239" s="860"/>
      <c r="BL239" s="860"/>
      <c r="BM239" s="860"/>
      <c r="BN239" s="860"/>
      <c r="BO239" s="860"/>
      <c r="BP239" s="860"/>
      <c r="BQ239" s="860"/>
      <c r="BR239" s="860"/>
      <c r="BS239" s="860"/>
      <c r="BT239" s="860"/>
      <c r="BU239" s="860"/>
      <c r="BV239" s="860"/>
      <c r="BW239" s="860"/>
      <c r="BX239" s="860"/>
      <c r="BY239" s="860"/>
      <c r="BZ239" s="860"/>
      <c r="CA239" s="860"/>
      <c r="CB239" s="860"/>
      <c r="CC239" s="860"/>
      <c r="CD239" s="860"/>
      <c r="CE239" s="860"/>
      <c r="CF239" s="860"/>
      <c r="CG239" s="860"/>
      <c r="CH239" s="860"/>
      <c r="CI239" s="860"/>
      <c r="CJ239" s="860"/>
      <c r="CK239" s="860"/>
      <c r="CL239" s="860"/>
      <c r="CM239" s="860"/>
      <c r="CN239" s="860"/>
      <c r="CO239" s="860"/>
      <c r="CP239" s="860"/>
      <c r="CQ239" s="860"/>
      <c r="CR239" s="860"/>
      <c r="CS239" s="860"/>
      <c r="CT239" s="91"/>
      <c r="CU239" s="1619"/>
      <c r="CV239" s="1619"/>
      <c r="CW239" s="1170" t="str">
        <f>IF(AND(ISNUMBER(VALUE(TRIM(SUBSTITUTE(AD239,".","")))),TRIM(SUBSTITUTE(AD239,".",""))&lt;&gt;""),"P"&amp;SUBSTITUTE(AD239,".",""),"")</f>
        <v/>
      </c>
      <c r="CX239" s="1175"/>
      <c r="CY239" s="1175"/>
      <c r="CZ239" s="1175"/>
      <c r="DA239" s="1176"/>
      <c r="DB239" s="1176"/>
    </row>
    <row s="1619" customFormat="1" customHeight="1" ht="16.5">
      <c r="A240" s="1440"/>
      <c r="B240" s="924"/>
      <c r="C240" s="1440"/>
      <c r="D240" s="1440"/>
      <c r="E240" s="794">
        <v>17.1</v>
      </c>
      <c r="F240" s="919" cm="1" t="str">
        <f t="array" ref="F240:F240">OFFSET(G240,-1,-1)</f>
        <v>1</v>
      </c>
      <c r="G240" s="962"/>
      <c r="H240" s="962"/>
      <c r="I240" s="962"/>
      <c r="J240" s="962"/>
      <c r="K240" s="962"/>
      <c r="L240" s="919" cm="1" t="str">
        <f t="array" ref="L240:L240">OFFSET(M240,-1,-1)</f>
        <v>false</v>
      </c>
      <c r="M240" s="962"/>
      <c r="N240" s="962"/>
      <c r="O240" s="962"/>
      <c r="P240" s="962"/>
      <c r="Q240" s="962"/>
      <c r="R240" s="1440"/>
      <c r="S240" s="156" cm="1" t="str">
        <f t="array" ref="S240:S240">OFFSET(T240,-1,-1)</f>
        <v>true</v>
      </c>
      <c r="T240" s="1440"/>
      <c r="U240" s="816">
        <f>AND(S240,IF(ISBLANK(T240),TRUE,T240))</f>
        <v>1</v>
      </c>
      <c r="V240" s="1440"/>
      <c r="W240" s="1440"/>
      <c r="X240" s="1440"/>
      <c r="Y240" s="1440"/>
      <c r="Z240" s="1440"/>
      <c r="AA240" s="817"/>
      <c r="AB240" s="1483"/>
      <c r="AC240" s="1619"/>
      <c r="AD240" s="170" t="s">
        <v>853</v>
      </c>
      <c r="AE240" s="1494" t="s">
        <v>854</v>
      </c>
      <c r="AF240" s="320"/>
      <c r="AG240" s="856" t="s">
        <v>805</v>
      </c>
      <c r="AH240" s="857">
        <f>SUM(AH242:AH244)</f>
        <v>0</v>
      </c>
      <c r="AI240" s="857">
        <f>SUM(AI242:AI244)</f>
        <v>0</v>
      </c>
      <c r="AJ240" s="857">
        <f>SUM(AJ242:AJ244)</f>
        <v>0</v>
      </c>
      <c r="AK240" s="857">
        <f>SUM(AK242:AK244)</f>
        <v>0</v>
      </c>
      <c r="AL240" s="857">
        <f>SUM(AL242:AL244)</f>
        <v>0</v>
      </c>
      <c r="AM240" s="857">
        <f>SUM(AM242:AM244)</f>
        <v>0</v>
      </c>
      <c r="AN240" s="857">
        <f>SUM(AN242:AN244)</f>
        <v>0</v>
      </c>
      <c r="AO240" s="857">
        <f>SUM(AO242:AO244)</f>
        <v>0</v>
      </c>
      <c r="AP240" s="857">
        <f>SUM(AP242:AP244)</f>
        <v>0</v>
      </c>
      <c r="AQ240" s="857">
        <f>SUM(AQ242:AQ244)</f>
        <v>0</v>
      </c>
      <c r="AR240" s="857">
        <f>SUM(AR242:AR244)</f>
        <v>0</v>
      </c>
      <c r="AS240" s="857">
        <f>SUM(AS242:AS244)</f>
        <v>0</v>
      </c>
      <c r="AT240" s="857">
        <f>SUM(AT242:AT244)</f>
        <v>0</v>
      </c>
      <c r="AU240" s="857">
        <f>SUM(AU242:AU244)</f>
        <v>0</v>
      </c>
      <c r="AV240" s="857">
        <f>SUM(AV242:AV244)</f>
        <v>0</v>
      </c>
      <c r="AW240" s="857">
        <f>SUM(AW242:AW244)</f>
        <v>0</v>
      </c>
      <c r="AX240" s="857">
        <f>SUM(AX242:AX244)</f>
        <v>0</v>
      </c>
      <c r="AY240" s="857">
        <f>SUM(AY242:AY244)</f>
        <v>0</v>
      </c>
      <c r="AZ240" s="857">
        <f>SUM(AZ242:AZ244)</f>
        <v>0</v>
      </c>
      <c r="BA240" s="857">
        <f>SUM(BA242:BA244)</f>
        <v>0</v>
      </c>
      <c r="BB240" s="857">
        <f>SUM(BB242:BB244)</f>
        <v>0</v>
      </c>
      <c r="BC240" s="857">
        <f>SUM(BC242:BC244)</f>
        <v>0</v>
      </c>
      <c r="BD240" s="857">
        <f>SUM(BD242:BD244)</f>
        <v>0</v>
      </c>
      <c r="BE240" s="857">
        <f>SUM(BE242:BE244)</f>
        <v>0</v>
      </c>
      <c r="BF240" s="857">
        <f>SUM(BF242:BF244)</f>
        <v>0</v>
      </c>
      <c r="BG240" s="857">
        <f>SUM(BG242:BG244)</f>
        <v>0</v>
      </c>
      <c r="BH240" s="857">
        <f>SUM(BH242:BH244)</f>
        <v>0</v>
      </c>
      <c r="BI240" s="857">
        <f>SUM(BI242:BI244)</f>
        <v>0</v>
      </c>
      <c r="BJ240" s="857">
        <f>SUM(BJ242:BJ244)</f>
        <v>0</v>
      </c>
      <c r="BK240" s="857">
        <f>SUM(BK242:BK244)</f>
        <v>0</v>
      </c>
      <c r="BL240" s="857">
        <f>SUM(BL242:BL244)</f>
        <v>0</v>
      </c>
      <c r="BM240" s="857">
        <f>SUM(BM242:BM244)</f>
        <v>0</v>
      </c>
      <c r="BN240" s="857">
        <f>SUM(BN242:BN244)</f>
        <v>0</v>
      </c>
      <c r="BO240" s="857">
        <f>SUM(BO242:BO244)</f>
        <v>0</v>
      </c>
      <c r="BP240" s="857">
        <f>SUM(BP242:BP244)</f>
        <v>0</v>
      </c>
      <c r="BQ240" s="857">
        <f>SUM(BQ242:BQ244)</f>
        <v>0</v>
      </c>
      <c r="BR240" s="857">
        <f>SUM(BR242:BR244)</f>
        <v>0</v>
      </c>
      <c r="BS240" s="857">
        <f>SUM(BS242:BS244)</f>
        <v>0</v>
      </c>
      <c r="BT240" s="857">
        <f>SUM(BT242:BT244)</f>
        <v>0</v>
      </c>
      <c r="BU240" s="857">
        <f>SUM(BU242:BU244)</f>
        <v>0</v>
      </c>
      <c r="BV240" s="857">
        <f>SUM(BV242:BV244)</f>
        <v>0</v>
      </c>
      <c r="BW240" s="857">
        <f>SUM(BW242:BW244)</f>
        <v>0</v>
      </c>
      <c r="BX240" s="857">
        <f>SUM(BX242:BX244)</f>
        <v>0</v>
      </c>
      <c r="BY240" s="857">
        <f>SUM(BY242:BY244)</f>
        <v>0</v>
      </c>
      <c r="BZ240" s="857">
        <f>SUM(BZ242:BZ244)</f>
        <v>0</v>
      </c>
      <c r="CA240" s="857">
        <f>SUM(CA242:CA244)</f>
        <v>0</v>
      </c>
      <c r="CB240" s="857">
        <f>SUM(CB242:CB244)</f>
        <v>0</v>
      </c>
      <c r="CC240" s="857">
        <f>SUM(CC242:CC244)</f>
        <v>0</v>
      </c>
      <c r="CD240" s="857">
        <f>SUM(CD242:CD244)</f>
        <v>0</v>
      </c>
      <c r="CE240" s="857">
        <f>SUM(CE242:CE244)</f>
        <v>0</v>
      </c>
      <c r="CF240" s="857">
        <f>SUM(CF242:CF244)</f>
        <v>0</v>
      </c>
      <c r="CG240" s="857">
        <f>SUM(CG242:CG244)</f>
        <v>0</v>
      </c>
      <c r="CH240" s="857">
        <f>SUM(CH242:CH244)</f>
        <v>0</v>
      </c>
      <c r="CI240" s="857">
        <f>SUM(CI242:CI244)</f>
        <v>0</v>
      </c>
      <c r="CJ240" s="857">
        <f>SUM(CJ242:CJ244)</f>
        <v>0</v>
      </c>
      <c r="CK240" s="857">
        <f>SUM(CK242:CK244)</f>
        <v>0</v>
      </c>
      <c r="CL240" s="857">
        <f>SUM(CL242:CL244)</f>
        <v>0</v>
      </c>
      <c r="CM240" s="857">
        <f>SUM(CM242:CM244)</f>
        <v>0</v>
      </c>
      <c r="CN240" s="857">
        <f>SUM(CN242:CN244)</f>
        <v>0</v>
      </c>
      <c r="CO240" s="857">
        <f>SUM(CO242:CO244)</f>
        <v>0</v>
      </c>
      <c r="CP240" s="857">
        <f>SUM(CP242:CP244)</f>
        <v>0</v>
      </c>
      <c r="CQ240" s="857">
        <f>SUM(CQ242:CQ244)</f>
        <v>0</v>
      </c>
      <c r="CR240" s="857">
        <f>SUM(CR242:CR244)</f>
        <v>0</v>
      </c>
      <c r="CS240" s="857">
        <f>SUM(CS242:CS244)</f>
        <v>0</v>
      </c>
      <c r="CT240" s="1730"/>
      <c r="CU240" s="1619"/>
      <c r="CV240" s="1619"/>
      <c r="CW240" s="1170" t="s">
        <v>855</v>
      </c>
      <c r="CX240" s="1175"/>
      <c r="CY240" s="1175"/>
      <c r="CZ240" s="1175"/>
      <c r="DA240" s="1176"/>
      <c r="DB240" s="1176"/>
    </row>
    <row s="1619" customFormat="1" customHeight="1" ht="16.5" hidden="1">
      <c r="A241" s="1440"/>
      <c r="B241" s="924"/>
      <c r="C241" s="1440"/>
      <c r="D241" s="1440"/>
      <c r="E241" s="794">
        <v>17.1</v>
      </c>
      <c r="F241" s="919" cm="1" t="str">
        <f t="array" ref="F241:F241">OFFSET(G241,-1,-1)</f>
        <v>1</v>
      </c>
      <c r="G241" s="962"/>
      <c r="H241" s="962"/>
      <c r="I241" s="962"/>
      <c r="J241" s="962"/>
      <c r="K241" s="962"/>
      <c r="L241" s="919" cm="1" t="str">
        <f t="array" ref="L241:L241">OFFSET(M241,-1,-1)</f>
        <v>false</v>
      </c>
      <c r="M241" s="962"/>
      <c r="N241" s="962"/>
      <c r="O241" s="962"/>
      <c r="P241" s="962"/>
      <c r="Q241" s="962"/>
      <c r="R241" s="919" t="s">
        <v>725</v>
      </c>
      <c r="S241" s="156" cm="1" t="str">
        <f t="array" ref="S241:S241">OFFSET(T241,-1,-1)</f>
        <v>true</v>
      </c>
      <c r="T241" s="919" t="b">
        <v>0</v>
      </c>
      <c r="U241" s="816">
        <f>AND(S241,IF(ISBLANK(T241),TRUE,T241))</f>
        <v>0</v>
      </c>
      <c r="V241" s="1440"/>
      <c r="W241" s="1440"/>
      <c r="X241" s="1440"/>
      <c r="Y241" s="1440"/>
      <c r="Z241" s="1440"/>
      <c r="AA241" s="817"/>
      <c r="AB241" s="1483"/>
      <c r="AC241" s="1619"/>
      <c r="AD241" s="157" t="str">
        <f>AD240&amp;".0"</f>
        <v>36.0</v>
      </c>
      <c r="AE241" s="1346" t="s">
        <v>736</v>
      </c>
      <c r="AF241" s="161"/>
      <c r="AG241" s="856" t="s">
        <v>805</v>
      </c>
      <c r="AH241" s="86">
        <f>AH$163*AH240</f>
        <v>0</v>
      </c>
      <c r="AI241" s="87">
        <f>AI$163*AI240</f>
        <v>0</v>
      </c>
      <c r="AJ241" s="87">
        <f>AJ$163*AJ240</f>
        <v>0</v>
      </c>
      <c r="AK241" s="87">
        <f>AK$163*AK240</f>
        <v>0</v>
      </c>
      <c r="AL241" s="859">
        <f>AM241+AN241</f>
        <v>0</v>
      </c>
      <c r="AM241" s="87">
        <f>AM$163*AM240</f>
        <v>0</v>
      </c>
      <c r="AN241" s="87">
        <f>AN$163*AN240</f>
        <v>0</v>
      </c>
      <c r="AO241" s="859">
        <f>AP241+AQ241</f>
        <v>0</v>
      </c>
      <c r="AP241" s="976">
        <f>AP$163*AP240</f>
        <v>0</v>
      </c>
      <c r="AQ241" s="976">
        <f>AQ$163*AQ240</f>
        <v>0</v>
      </c>
      <c r="AR241" s="859">
        <f>AS241+AT241</f>
        <v>0</v>
      </c>
      <c r="AS241" s="976">
        <f>AS$163*AS240</f>
        <v>0</v>
      </c>
      <c r="AT241" s="976">
        <f>AT$163*AT240</f>
        <v>0</v>
      </c>
      <c r="AU241" s="859">
        <f>AV241+AW241</f>
        <v>0</v>
      </c>
      <c r="AV241" s="976">
        <f>AV$163*AV240</f>
        <v>0</v>
      </c>
      <c r="AW241" s="976">
        <f>AW$163*AW240</f>
        <v>0</v>
      </c>
      <c r="AX241" s="859">
        <f>AY241+AZ241</f>
        <v>0</v>
      </c>
      <c r="AY241" s="976">
        <f>AY$163*AY240</f>
        <v>0</v>
      </c>
      <c r="AZ241" s="976">
        <f>AZ$163*AZ240</f>
        <v>0</v>
      </c>
      <c r="BA241" s="859">
        <f>BB241+BC241</f>
        <v>0</v>
      </c>
      <c r="BB241" s="87">
        <f>BB$163*BB240</f>
        <v>0</v>
      </c>
      <c r="BC241" s="87">
        <f>BC$163*BC240</f>
        <v>0</v>
      </c>
      <c r="BD241" s="859">
        <f>BE241+BF241</f>
        <v>0</v>
      </c>
      <c r="BE241" s="87">
        <f>BE$163*BE240</f>
        <v>0</v>
      </c>
      <c r="BF241" s="87">
        <f>BF$163*BF240</f>
        <v>0</v>
      </c>
      <c r="BG241" s="859">
        <f>BH241+BI241</f>
        <v>0</v>
      </c>
      <c r="BH241" s="87">
        <f>BH$163*BH240</f>
        <v>0</v>
      </c>
      <c r="BI241" s="87">
        <f>BI$163*BI240</f>
        <v>0</v>
      </c>
      <c r="BJ241" s="859">
        <f>BK241+BL241</f>
        <v>0</v>
      </c>
      <c r="BK241" s="87">
        <f>BK$163*BK240</f>
        <v>0</v>
      </c>
      <c r="BL241" s="87">
        <f>BL$163*BL240</f>
        <v>0</v>
      </c>
      <c r="BM241" s="859">
        <f>BN241+BO241</f>
        <v>0</v>
      </c>
      <c r="BN241" s="87">
        <f>BN$163*BN240</f>
        <v>0</v>
      </c>
      <c r="BO241" s="87">
        <f>BO$163*BO240</f>
        <v>0</v>
      </c>
      <c r="BP241" s="859">
        <f>BQ241+BR241</f>
        <v>0</v>
      </c>
      <c r="BQ241" s="976">
        <f>BQ$163*BQ240</f>
        <v>0</v>
      </c>
      <c r="BR241" s="976">
        <f>BR$163*BR240</f>
        <v>0</v>
      </c>
      <c r="BS241" s="859">
        <f>BT241+BU241</f>
        <v>0</v>
      </c>
      <c r="BT241" s="976">
        <f>BT$163*BT240</f>
        <v>0</v>
      </c>
      <c r="BU241" s="976">
        <f>BU$163*BU240</f>
        <v>0</v>
      </c>
      <c r="BV241" s="859">
        <f>BW241+BX241</f>
        <v>0</v>
      </c>
      <c r="BW241" s="976">
        <f>BW$163*BW240</f>
        <v>0</v>
      </c>
      <c r="BX241" s="976">
        <f>BX$163*BX240</f>
        <v>0</v>
      </c>
      <c r="BY241" s="859">
        <f>BZ241+CA241</f>
        <v>0</v>
      </c>
      <c r="BZ241" s="976">
        <f>BZ$163*BZ240</f>
        <v>0</v>
      </c>
      <c r="CA241" s="976">
        <f>CA$163*CA240</f>
        <v>0</v>
      </c>
      <c r="CB241" s="859">
        <f>CC241+CD241</f>
        <v>0</v>
      </c>
      <c r="CC241" s="976">
        <f>CC$163*CC240</f>
        <v>0</v>
      </c>
      <c r="CD241" s="976">
        <f>CD$163*CD240</f>
        <v>0</v>
      </c>
      <c r="CE241" s="859">
        <f>CF241+CG241</f>
        <v>0</v>
      </c>
      <c r="CF241" s="87">
        <f>CF$163*CF240</f>
        <v>0</v>
      </c>
      <c r="CG241" s="87">
        <f>CG$163*CG240</f>
        <v>0</v>
      </c>
      <c r="CH241" s="859">
        <f>CI241+CJ241</f>
        <v>0</v>
      </c>
      <c r="CI241" s="87">
        <f>CI$163*CI240</f>
        <v>0</v>
      </c>
      <c r="CJ241" s="87">
        <f>CJ$163*CJ240</f>
        <v>0</v>
      </c>
      <c r="CK241" s="859">
        <f>CL241+CM241</f>
        <v>0</v>
      </c>
      <c r="CL241" s="87">
        <f>CL$163*CL240</f>
        <v>0</v>
      </c>
      <c r="CM241" s="87">
        <f>CM$163*CM240</f>
        <v>0</v>
      </c>
      <c r="CN241" s="859">
        <f>CO241+CP241</f>
        <v>0</v>
      </c>
      <c r="CO241" s="87">
        <f>CO$163*CO240</f>
        <v>0</v>
      </c>
      <c r="CP241" s="87">
        <f>CP$163*CP240</f>
        <v>0</v>
      </c>
      <c r="CQ241" s="859">
        <f>CR241+CS241</f>
        <v>0</v>
      </c>
      <c r="CR241" s="87">
        <f>CR$163*CR240</f>
        <v>0</v>
      </c>
      <c r="CS241" s="87">
        <f>CS$163*CS240</f>
        <v>0</v>
      </c>
      <c r="CT241" s="73"/>
      <c r="CU241" s="1619"/>
      <c r="CV241" s="1619"/>
      <c r="CW241" s="1170" t="s">
        <v>856</v>
      </c>
      <c r="CX241" s="1175"/>
      <c r="CY241" s="1175"/>
      <c r="CZ241" s="1175"/>
      <c r="DA241" s="1176"/>
      <c r="DB241" s="1176"/>
    </row>
    <row s="1619" customFormat="1" customHeight="1" ht="16.5" hidden="1">
      <c r="E242" s="794">
        <v>17.1</v>
      </c>
      <c r="F242" s="919" cm="1" t="str">
        <f t="array" ref="F242:F242">OFFSET(G242,-1,-1)</f>
        <v>1</v>
      </c>
      <c r="L242" s="919" cm="1" t="str">
        <f t="array" ref="L242:L242">OFFSET(M242,-1,-1)</f>
        <v>false</v>
      </c>
      <c r="S242" s="156" cm="1" t="str">
        <f t="array" ref="S242:S242">OFFSET(T242,-1,-1)</f>
        <v>true</v>
      </c>
      <c r="T242" s="156">
        <f>AD242&lt;&gt;"36.0"</f>
        <v>0</v>
      </c>
      <c r="U242" s="816">
        <f>AND(S242,IF(ISBLANK(T242),TRUE,T242))</f>
        <v>0</v>
      </c>
      <c r="X242" s="156" t="s">
        <v>233</v>
      </c>
      <c r="AB242" s="1483"/>
      <c r="AD242" s="157" t="s">
        <v>857</v>
      </c>
      <c r="AE242" s="971"/>
      <c r="AF242" s="622"/>
      <c r="AG242" s="856" t="s">
        <v>805</v>
      </c>
      <c r="AH242" s="86"/>
      <c r="AI242" s="87"/>
      <c r="AJ242" s="87"/>
      <c r="AK242" s="87"/>
      <c r="AL242" s="859">
        <f>AM242+AN242</f>
        <v>0</v>
      </c>
      <c r="AM242" s="87">
        <f>AM237*AM178/1000</f>
        <v>0</v>
      </c>
      <c r="AN242" s="87">
        <f>AN237*AN178/1000</f>
        <v>0</v>
      </c>
      <c r="AO242" s="859">
        <f>AP242+AQ242</f>
        <v>0</v>
      </c>
      <c r="AP242" s="976">
        <f>AP237*AP178/1000</f>
        <v>0</v>
      </c>
      <c r="AQ242" s="976">
        <f>AQ237*AQ178/1000</f>
        <v>0</v>
      </c>
      <c r="AR242" s="859">
        <f>AS242+AT242</f>
        <v>0</v>
      </c>
      <c r="AS242" s="976">
        <f>AS237*AS178/1000</f>
        <v>0</v>
      </c>
      <c r="AT242" s="976">
        <f>AT237*AT178/1000</f>
        <v>0</v>
      </c>
      <c r="AU242" s="859">
        <f>AV242+AW242</f>
        <v>0</v>
      </c>
      <c r="AV242" s="976">
        <f>AV237*AV178/1000</f>
        <v>0</v>
      </c>
      <c r="AW242" s="976">
        <f>AW237*AW178/1000</f>
        <v>0</v>
      </c>
      <c r="AX242" s="859">
        <f>AY242+AZ242</f>
        <v>0</v>
      </c>
      <c r="AY242" s="976">
        <f>AY237*AY178/1000</f>
        <v>0</v>
      </c>
      <c r="AZ242" s="976">
        <f>AZ237*AZ178/1000</f>
        <v>0</v>
      </c>
      <c r="BA242" s="859">
        <f>BB242+BC242</f>
        <v>0</v>
      </c>
      <c r="BB242" s="87">
        <f>BB237*BB178/1000</f>
        <v>0</v>
      </c>
      <c r="BC242" s="87">
        <f>BC237*BC178/1000</f>
        <v>0</v>
      </c>
      <c r="BD242" s="859">
        <f>BE242+BF242</f>
        <v>0</v>
      </c>
      <c r="BE242" s="87">
        <f>BE237*BE178/1000</f>
        <v>0</v>
      </c>
      <c r="BF242" s="87">
        <f>BF237*BF178/1000</f>
        <v>0</v>
      </c>
      <c r="BG242" s="859">
        <f>BH242+BI242</f>
        <v>0</v>
      </c>
      <c r="BH242" s="87">
        <f>BH237*BH178/1000</f>
        <v>0</v>
      </c>
      <c r="BI242" s="87">
        <f>BI237*BI178/1000</f>
        <v>0</v>
      </c>
      <c r="BJ242" s="859">
        <f>BK242+BL242</f>
        <v>0</v>
      </c>
      <c r="BK242" s="87">
        <f>BK237*BK178/1000</f>
        <v>0</v>
      </c>
      <c r="BL242" s="87">
        <f>BL237*BL178/1000</f>
        <v>0</v>
      </c>
      <c r="BM242" s="859">
        <f>BN242+BO242</f>
        <v>0</v>
      </c>
      <c r="BN242" s="87">
        <f>BN237*BN178/1000</f>
        <v>0</v>
      </c>
      <c r="BO242" s="87">
        <f>BO237*BO178/1000</f>
        <v>0</v>
      </c>
      <c r="BP242" s="859">
        <f>BQ242+BR242</f>
        <v>0</v>
      </c>
      <c r="BQ242" s="976">
        <f>BQ237*BQ178/1000</f>
        <v>0</v>
      </c>
      <c r="BR242" s="976">
        <f>BR237*BR178/1000</f>
        <v>0</v>
      </c>
      <c r="BS242" s="859">
        <f>BT242+BU242</f>
        <v>0</v>
      </c>
      <c r="BT242" s="976">
        <f>BT237*BT178/1000</f>
        <v>0</v>
      </c>
      <c r="BU242" s="976">
        <f>BU237*BU178/1000</f>
        <v>0</v>
      </c>
      <c r="BV242" s="859">
        <f>BW242+BX242</f>
        <v>0</v>
      </c>
      <c r="BW242" s="976">
        <f>BW237*BW178/1000</f>
        <v>0</v>
      </c>
      <c r="BX242" s="976">
        <f>BX237*BX178/1000</f>
        <v>0</v>
      </c>
      <c r="BY242" s="859">
        <f>BZ242+CA242</f>
        <v>0</v>
      </c>
      <c r="BZ242" s="976">
        <f>BZ237*BZ178/1000</f>
        <v>0</v>
      </c>
      <c r="CA242" s="976">
        <f>CA237*CA178/1000</f>
        <v>0</v>
      </c>
      <c r="CB242" s="859">
        <f>CC242+CD242</f>
        <v>0</v>
      </c>
      <c r="CC242" s="976">
        <f>CC237*CC178/1000</f>
        <v>0</v>
      </c>
      <c r="CD242" s="976">
        <f>CD237*CD178/1000</f>
        <v>0</v>
      </c>
      <c r="CE242" s="859">
        <f>CF242+CG242</f>
        <v>0</v>
      </c>
      <c r="CF242" s="87">
        <f>CF237*CF178/1000</f>
        <v>0</v>
      </c>
      <c r="CG242" s="87">
        <f>CG237*CG178/1000</f>
        <v>0</v>
      </c>
      <c r="CH242" s="859">
        <f>CI242+CJ242</f>
        <v>0</v>
      </c>
      <c r="CI242" s="87">
        <f>CI237*CI178/1000</f>
        <v>0</v>
      </c>
      <c r="CJ242" s="87">
        <f>CJ237*CJ178/1000</f>
        <v>0</v>
      </c>
      <c r="CK242" s="859">
        <f>CL242+CM242</f>
        <v>0</v>
      </c>
      <c r="CL242" s="87">
        <f>CL237*CL178/1000</f>
        <v>0</v>
      </c>
      <c r="CM242" s="87">
        <f>CM237*CM178/1000</f>
        <v>0</v>
      </c>
      <c r="CN242" s="859">
        <f>CO242+CP242</f>
        <v>0</v>
      </c>
      <c r="CO242" s="87">
        <f>CO237*CO178/1000</f>
        <v>0</v>
      </c>
      <c r="CP242" s="87">
        <f>CP237*CP178/1000</f>
        <v>0</v>
      </c>
      <c r="CQ242" s="859">
        <f>CR242+CS242</f>
        <v>0</v>
      </c>
      <c r="CR242" s="87">
        <f>CR237*CR178/1000</f>
        <v>0</v>
      </c>
      <c r="CS242" s="87">
        <f>CS237*CS178/1000</f>
        <v>0</v>
      </c>
      <c r="CT242" s="73"/>
      <c r="CW242" s="1170" t="s">
        <v>856</v>
      </c>
      <c r="CX242" s="1175" t="s">
        <v>787</v>
      </c>
      <c r="CY242" s="1179" cm="1" t="str">
        <f t="array" ref="CY242:CY242">AE242</f>
        <v>0</v>
      </c>
      <c r="CZ242" s="1179" cm="1" t="str">
        <f t="array" ref="CZ242:CZ242">AF242</f>
        <v>0</v>
      </c>
      <c r="DA242" s="1176"/>
      <c r="DB242" s="1176"/>
    </row>
    <row s="1619" customFormat="1" customHeight="1" ht="16.5">
      <c r="A243" s="1619"/>
      <c r="B243" s="1619"/>
      <c r="C243" s="1619"/>
      <c r="D243" s="1619"/>
      <c r="E243" s="794">
        <v>17.1</v>
      </c>
      <c r="F243" s="919" cm="1" t="str">
        <f t="array" ref="F243:F243">OFFSET(G243,-1,-1)</f>
        <v>1</v>
      </c>
      <c r="G243" s="1619"/>
      <c r="H243" s="1619"/>
      <c r="I243" s="1619"/>
      <c r="J243" s="1619"/>
      <c r="K243" s="1619"/>
      <c r="L243" s="919" cm="1" t="str">
        <f t="array" ref="L243:L243">OFFSET(M243,-1,-1)</f>
        <v>false</v>
      </c>
      <c r="M243" s="1619"/>
      <c r="N243" s="1619"/>
      <c r="O243" s="1619"/>
      <c r="P243" s="1619"/>
      <c r="Q243" s="1619"/>
      <c r="R243" s="1619"/>
      <c r="S243" s="156" cm="1" t="str">
        <f t="array" ref="S243:S243">OFFSET(T243,-1,-1)</f>
        <v>true</v>
      </c>
      <c r="T243" s="156">
        <f>AD243&lt;&gt;"36.0"</f>
        <v>1</v>
      </c>
      <c r="U243" s="816">
        <f>AND(S243,IF(ISBLANK(T243),TRUE,T243))</f>
        <v>1</v>
      </c>
      <c r="V243" s="1619"/>
      <c r="W243" s="1619"/>
      <c r="X243" s="156" t="str">
        <f>'Топливо 4.4'!$AE$238&amp;'Топливо 4.4'!$AF$238</f>
        <v>Уголь бурыйБ</v>
      </c>
      <c r="Y243" s="1619"/>
      <c r="Z243" s="1619"/>
      <c r="AA243" s="1619"/>
      <c r="AB243" s="1483"/>
      <c r="AC243" s="1619"/>
      <c r="AD243" s="157" t="s">
        <v>916</v>
      </c>
      <c r="AE243" s="971" cm="1" t="str">
        <f t="array" ref="AE243:AE243">IF(ISBLANK('Топливо 4.4'!$AE$238),"",'Топливо 4.4'!$AE$238)</f>
        <v>Уголь бурый</v>
      </c>
      <c r="AF243" s="622" cm="1" t="str">
        <f t="array" ref="AF243:AF243">IF(ISBLANK('Топливо 4.4'!$AF$238),"",'Топливо 4.4'!$AF$238)</f>
        <v>Б</v>
      </c>
      <c r="AG243" s="856" t="s">
        <v>805</v>
      </c>
      <c r="AH243" s="1768"/>
      <c r="AI243" s="1766"/>
      <c r="AJ243" s="1766"/>
      <c r="AK243" s="1766"/>
      <c r="AL243" s="859">
        <f>AM243+AN243</f>
        <v>0</v>
      </c>
      <c r="AM243" s="1766">
        <f>AM238*AM179/1000</f>
        <v>0</v>
      </c>
      <c r="AN243" s="1766">
        <f>AN238*AN179/1000</f>
        <v>0</v>
      </c>
      <c r="AO243" s="859">
        <f>AP243+AQ243</f>
        <v>0</v>
      </c>
      <c r="AP243" s="976">
        <f>AP238*AP179/1000</f>
        <v>0</v>
      </c>
      <c r="AQ243" s="976">
        <f>AQ238*AQ179/1000</f>
        <v>0</v>
      </c>
      <c r="AR243" s="859">
        <f>AS243+AT243</f>
        <v>0</v>
      </c>
      <c r="AS243" s="976">
        <f>AS238*AS179/1000</f>
        <v>0</v>
      </c>
      <c r="AT243" s="976">
        <f>AT238*AT179/1000</f>
        <v>0</v>
      </c>
      <c r="AU243" s="859">
        <f>AV243+AW243</f>
        <v>0</v>
      </c>
      <c r="AV243" s="976">
        <f>AV238*AV179/1000</f>
        <v>0</v>
      </c>
      <c r="AW243" s="976">
        <f>AW238*AW179/1000</f>
        <v>0</v>
      </c>
      <c r="AX243" s="859">
        <f>AY243+AZ243</f>
        <v>0</v>
      </c>
      <c r="AY243" s="976">
        <f>AY238*AY179/1000</f>
        <v>0</v>
      </c>
      <c r="AZ243" s="976">
        <f>AZ238*AZ179/1000</f>
        <v>0</v>
      </c>
      <c r="BA243" s="859">
        <f>BB243+BC243</f>
        <v>0</v>
      </c>
      <c r="BB243" s="1766">
        <f>BB238*BB179/1000</f>
        <v>0</v>
      </c>
      <c r="BC243" s="1766">
        <f>BC238*BC179/1000</f>
        <v>0</v>
      </c>
      <c r="BD243" s="859">
        <f>BE243+BF243</f>
        <v>0</v>
      </c>
      <c r="BE243" s="1766">
        <f>BE238*BE179/1000</f>
        <v>0</v>
      </c>
      <c r="BF243" s="1766">
        <f>BF238*BF179/1000</f>
        <v>0</v>
      </c>
      <c r="BG243" s="859">
        <f>BH243+BI243</f>
        <v>0</v>
      </c>
      <c r="BH243" s="1766">
        <f>BH238*BH179/1000</f>
        <v>0</v>
      </c>
      <c r="BI243" s="1766">
        <f>BI238*BI179/1000</f>
        <v>0</v>
      </c>
      <c r="BJ243" s="859">
        <f>BK243+BL243</f>
        <v>0</v>
      </c>
      <c r="BK243" s="1766">
        <f>BK238*BK179/1000</f>
        <v>0</v>
      </c>
      <c r="BL243" s="1766">
        <f>BL238*BL179/1000</f>
        <v>0</v>
      </c>
      <c r="BM243" s="859">
        <f>BN243+BO243</f>
        <v>0</v>
      </c>
      <c r="BN243" s="1766">
        <f>BN238*BN179/1000</f>
        <v>0</v>
      </c>
      <c r="BO243" s="1766">
        <f>BO238*BO179/1000</f>
        <v>0</v>
      </c>
      <c r="BP243" s="859">
        <f>BQ243+BR243</f>
        <v>0</v>
      </c>
      <c r="BQ243" s="976">
        <f>BQ238*BQ179/1000</f>
        <v>0</v>
      </c>
      <c r="BR243" s="976">
        <f>BR238*BR179/1000</f>
        <v>0</v>
      </c>
      <c r="BS243" s="859">
        <f>BT243+BU243</f>
        <v>0</v>
      </c>
      <c r="BT243" s="976">
        <f>BT238*BT179/1000</f>
        <v>0</v>
      </c>
      <c r="BU243" s="976">
        <f>BU238*BU179/1000</f>
        <v>0</v>
      </c>
      <c r="BV243" s="859">
        <f>BW243+BX243</f>
        <v>0</v>
      </c>
      <c r="BW243" s="976">
        <f>BW238*BW179/1000</f>
        <v>0</v>
      </c>
      <c r="BX243" s="976">
        <f>BX238*BX179/1000</f>
        <v>0</v>
      </c>
      <c r="BY243" s="859">
        <f>BZ243+CA243</f>
        <v>0</v>
      </c>
      <c r="BZ243" s="976">
        <f>BZ238*BZ179/1000</f>
        <v>0</v>
      </c>
      <c r="CA243" s="976">
        <f>CA238*CA179/1000</f>
        <v>0</v>
      </c>
      <c r="CB243" s="859">
        <f>CC243+CD243</f>
        <v>0</v>
      </c>
      <c r="CC243" s="976">
        <f>CC238*CC179/1000</f>
        <v>0</v>
      </c>
      <c r="CD243" s="976">
        <f>CD238*CD179/1000</f>
        <v>0</v>
      </c>
      <c r="CE243" s="859">
        <f>CF243+CG243</f>
        <v>0</v>
      </c>
      <c r="CF243" s="1766">
        <f>CF238*CF179/1000</f>
        <v>0</v>
      </c>
      <c r="CG243" s="1766">
        <f>CG238*CG179/1000</f>
        <v>0</v>
      </c>
      <c r="CH243" s="859">
        <f>CI243+CJ243</f>
        <v>0</v>
      </c>
      <c r="CI243" s="1766">
        <f>CI238*CI179/1000</f>
        <v>0</v>
      </c>
      <c r="CJ243" s="1766">
        <f>CJ238*CJ179/1000</f>
        <v>0</v>
      </c>
      <c r="CK243" s="859">
        <f>CL243+CM243</f>
        <v>0</v>
      </c>
      <c r="CL243" s="1766">
        <f>CL238*CL179/1000</f>
        <v>0</v>
      </c>
      <c r="CM243" s="1766">
        <f>CM238*CM179/1000</f>
        <v>0</v>
      </c>
      <c r="CN243" s="859">
        <f>CO243+CP243</f>
        <v>0</v>
      </c>
      <c r="CO243" s="1766">
        <f>CO238*CO179/1000</f>
        <v>0</v>
      </c>
      <c r="CP243" s="1766">
        <f>CP238*CP179/1000</f>
        <v>0</v>
      </c>
      <c r="CQ243" s="859">
        <f>CR243+CS243</f>
        <v>0</v>
      </c>
      <c r="CR243" s="1766">
        <f>CR238*CR179/1000</f>
        <v>0</v>
      </c>
      <c r="CS243" s="1766">
        <f>CS238*CS179/1000</f>
        <v>0</v>
      </c>
      <c r="CT243" s="1730"/>
      <c r="CU243" s="1619"/>
      <c r="CV243" s="1619"/>
      <c r="CW243" s="1170" t="s">
        <v>856</v>
      </c>
      <c r="CX243" s="1175" t="s">
        <v>787</v>
      </c>
      <c r="CY243" s="1179" cm="1" t="str">
        <f t="array" ref="CY243:CY243">AE243</f>
        <v>Уголь бурый</v>
      </c>
      <c r="CZ243" s="1179" cm="1" t="str">
        <f t="array" ref="CZ243:CZ243">AF243</f>
        <v>Б</v>
      </c>
      <c r="DA243" s="1176"/>
      <c r="DB243" s="1176"/>
    </row>
    <row s="1619" customFormat="1" customHeight="1" ht="15" hidden="1">
      <c r="A244" s="1440"/>
      <c r="B244" s="924"/>
      <c r="C244" s="1440"/>
      <c r="D244" s="1440"/>
      <c r="E244" s="794">
        <v>0</v>
      </c>
      <c r="F244" s="919" cm="1" t="str">
        <f t="array" ref="F244:F244">OFFSET(G244,-1,-1)</f>
        <v>1</v>
      </c>
      <c r="G244" s="962"/>
      <c r="H244" s="962"/>
      <c r="I244" s="962"/>
      <c r="J244" s="962"/>
      <c r="K244" s="962"/>
      <c r="L244" s="919" cm="1" t="str">
        <f t="array" ref="L244:L244">OFFSET(M244,-1,-1)</f>
        <v>false</v>
      </c>
      <c r="M244" s="962"/>
      <c r="N244" s="962"/>
      <c r="O244" s="962"/>
      <c r="P244" s="962"/>
      <c r="Q244" s="962"/>
      <c r="R244" s="1440"/>
      <c r="S244" s="156" cm="1" t="str">
        <f t="array" ref="S244:S244">OFFSET(T244,-1,-1)</f>
        <v>true</v>
      </c>
      <c r="T244" s="1440"/>
      <c r="U244" s="816">
        <f>AND(S244,IF(ISBLANK(T244),TRUE,T244))</f>
        <v>1</v>
      </c>
      <c r="V244" s="1440"/>
      <c r="W244" s="1440"/>
      <c r="X244" s="970" t="str">
        <f>"{                  
         funcDyn: 'msg1',
         blok: 'blok_2',
         wsCross: 'Топливо 4.4',
         linkFormula: 'AE-AE#AF-AF',
         levelDyn: "&amp;Y139&amp;"
}"</f>
        <v>{                  
         funcDyn: 'msg1',
         blok: 'blok_2',
         wsCross: 'Топливо 4.4',
         linkFormula: 'AE-AE#AF-AF',
         levelDyn: 1
}</v>
      </c>
      <c r="Y244" s="1440"/>
      <c r="Z244" s="1440"/>
      <c r="AA244" s="817"/>
      <c r="AB244" s="1483"/>
      <c r="AC244" s="1619"/>
      <c r="AD244" s="973"/>
      <c r="AE244" s="972" t="s">
        <v>235</v>
      </c>
      <c r="AF244" s="871"/>
      <c r="AG244" s="856"/>
      <c r="AH244" s="858"/>
      <c r="AI244" s="860"/>
      <c r="AJ244" s="860"/>
      <c r="AK244" s="860"/>
      <c r="AL244" s="860"/>
      <c r="AM244" s="860"/>
      <c r="AN244" s="860"/>
      <c r="AO244" s="860"/>
      <c r="AP244" s="860"/>
      <c r="AQ244" s="860"/>
      <c r="AR244" s="860"/>
      <c r="AS244" s="860"/>
      <c r="AT244" s="860"/>
      <c r="AU244" s="860"/>
      <c r="AV244" s="860"/>
      <c r="AW244" s="860"/>
      <c r="AX244" s="860"/>
      <c r="AY244" s="860"/>
      <c r="AZ244" s="860"/>
      <c r="BA244" s="860"/>
      <c r="BB244" s="860"/>
      <c r="BC244" s="860"/>
      <c r="BD244" s="860"/>
      <c r="BE244" s="860"/>
      <c r="BF244" s="860"/>
      <c r="BG244" s="860"/>
      <c r="BH244" s="860"/>
      <c r="BI244" s="860"/>
      <c r="BJ244" s="860"/>
      <c r="BK244" s="860"/>
      <c r="BL244" s="860"/>
      <c r="BM244" s="860"/>
      <c r="BN244" s="860"/>
      <c r="BO244" s="860"/>
      <c r="BP244" s="860"/>
      <c r="BQ244" s="860"/>
      <c r="BR244" s="860"/>
      <c r="BS244" s="860"/>
      <c r="BT244" s="860"/>
      <c r="BU244" s="860"/>
      <c r="BV244" s="860"/>
      <c r="BW244" s="860"/>
      <c r="BX244" s="860"/>
      <c r="BY244" s="860"/>
      <c r="BZ244" s="860"/>
      <c r="CA244" s="860"/>
      <c r="CB244" s="860"/>
      <c r="CC244" s="860"/>
      <c r="CD244" s="860"/>
      <c r="CE244" s="860"/>
      <c r="CF244" s="860"/>
      <c r="CG244" s="860"/>
      <c r="CH244" s="860"/>
      <c r="CI244" s="860"/>
      <c r="CJ244" s="860"/>
      <c r="CK244" s="860"/>
      <c r="CL244" s="860"/>
      <c r="CM244" s="860"/>
      <c r="CN244" s="860"/>
      <c r="CO244" s="860"/>
      <c r="CP244" s="860"/>
      <c r="CQ244" s="860"/>
      <c r="CR244" s="860"/>
      <c r="CS244" s="860"/>
      <c r="CT244" s="91"/>
      <c r="CU244" s="1619"/>
      <c r="CV244" s="1619"/>
      <c r="CW244" s="1170" t="str">
        <f>IF(AND(ISNUMBER(VALUE(TRIM(SUBSTITUTE(AD244,".","")))),TRIM(SUBSTITUTE(AD244,".",""))&lt;&gt;""),"P"&amp;SUBSTITUTE(AD244,".",""),"")</f>
        <v/>
      </c>
      <c r="CX244" s="1175"/>
      <c r="CY244" s="1175"/>
      <c r="CZ244" s="1175"/>
      <c r="DA244" s="1176"/>
      <c r="DB244" s="1176"/>
    </row>
    <row s="1619" customFormat="1" customHeight="1" ht="29.25" hidden="1">
      <c r="A245" s="1440"/>
      <c r="B245" s="924"/>
      <c r="C245" s="1440"/>
      <c r="D245" s="1440"/>
      <c r="E245" s="794">
        <v>30</v>
      </c>
      <c r="F245" s="919" cm="1" t="str">
        <f t="array" ref="F245:F245">OFFSET(G245,-1,-1)</f>
        <v>1</v>
      </c>
      <c r="G245" s="962"/>
      <c r="H245" s="962"/>
      <c r="I245" s="962"/>
      <c r="J245" s="962"/>
      <c r="K245" s="962"/>
      <c r="L245" s="919" cm="1" t="str">
        <f t="array" ref="L245:L245">OFFSET(M245,-1,-1)</f>
        <v>false</v>
      </c>
      <c r="M245" s="962"/>
      <c r="N245" s="962"/>
      <c r="O245" s="962"/>
      <c r="P245" s="962"/>
      <c r="Q245" s="962"/>
      <c r="R245" s="919" t="s">
        <v>725</v>
      </c>
      <c r="S245" s="156" cm="1" t="str">
        <f t="array" ref="S245:S245">OFFSET(T245,-1,-1)</f>
        <v>true</v>
      </c>
      <c r="T245" s="156" cm="1" t="str">
        <f t="array" ref="T245:T245">L245</f>
        <v>false</v>
      </c>
      <c r="U245" s="816">
        <f>AND(S245,IF(ISBLANK(T245),TRUE,T245))</f>
        <v>0</v>
      </c>
      <c r="V245" s="1440"/>
      <c r="W245" s="1440"/>
      <c r="X245" s="1440"/>
      <c r="Y245" s="1440"/>
      <c r="Z245" s="1440"/>
      <c r="AA245" s="817"/>
      <c r="AB245" s="1483"/>
      <c r="AC245" s="1619"/>
      <c r="AD245" s="170" t="s">
        <v>858</v>
      </c>
      <c r="AE245" s="1499" t="s">
        <v>859</v>
      </c>
      <c r="AF245" s="160"/>
      <c r="AG245" s="856" t="s">
        <v>805</v>
      </c>
      <c r="AH245" s="857">
        <f>SUM(AH246:AH248)</f>
        <v>0</v>
      </c>
      <c r="AI245" s="857">
        <f>SUM(AI246:AI248)</f>
        <v>0</v>
      </c>
      <c r="AJ245" s="857">
        <f>SUM(AJ246:AJ248)</f>
        <v>0</v>
      </c>
      <c r="AK245" s="857">
        <f>SUM(AK246:AK248)</f>
        <v>0</v>
      </c>
      <c r="AL245" s="857">
        <f>SUM(AL246:AL248)</f>
        <v>0</v>
      </c>
      <c r="AM245" s="857">
        <f>SUM(AM246:AM248)</f>
        <v>0</v>
      </c>
      <c r="AN245" s="857">
        <f>SUM(AN246:AN248)</f>
        <v>0</v>
      </c>
      <c r="AO245" s="857">
        <f>SUM(AO246:AO248)</f>
        <v>0</v>
      </c>
      <c r="AP245" s="857">
        <f>SUM(AP246:AP248)</f>
        <v>0</v>
      </c>
      <c r="AQ245" s="857">
        <f>SUM(AQ246:AQ248)</f>
        <v>0</v>
      </c>
      <c r="AR245" s="857">
        <f>SUM(AR246:AR248)</f>
        <v>0</v>
      </c>
      <c r="AS245" s="857">
        <f>SUM(AS246:AS248)</f>
        <v>0</v>
      </c>
      <c r="AT245" s="857">
        <f>SUM(AT246:AT248)</f>
        <v>0</v>
      </c>
      <c r="AU245" s="857">
        <f>SUM(AU246:AU248)</f>
        <v>0</v>
      </c>
      <c r="AV245" s="857">
        <f>SUM(AV246:AV248)</f>
        <v>0</v>
      </c>
      <c r="AW245" s="857">
        <f>SUM(AW246:AW248)</f>
        <v>0</v>
      </c>
      <c r="AX245" s="857">
        <f>SUM(AX246:AX248)</f>
        <v>0</v>
      </c>
      <c r="AY245" s="857">
        <f>SUM(AY246:AY248)</f>
        <v>0</v>
      </c>
      <c r="AZ245" s="857">
        <f>SUM(AZ246:AZ248)</f>
        <v>0</v>
      </c>
      <c r="BA245" s="857">
        <f>SUM(BA246:BA248)</f>
        <v>0</v>
      </c>
      <c r="BB245" s="857">
        <f>SUM(BB246:BB248)</f>
        <v>0</v>
      </c>
      <c r="BC245" s="857">
        <f>SUM(BC246:BC248)</f>
        <v>0</v>
      </c>
      <c r="BD245" s="857">
        <f>SUM(BD246:BD248)</f>
        <v>0</v>
      </c>
      <c r="BE245" s="857">
        <f>SUM(BE246:BE248)</f>
        <v>0</v>
      </c>
      <c r="BF245" s="857">
        <f>SUM(BF246:BF248)</f>
        <v>0</v>
      </c>
      <c r="BG245" s="857">
        <f>SUM(BG246:BG248)</f>
        <v>0</v>
      </c>
      <c r="BH245" s="857">
        <f>SUM(BH246:BH248)</f>
        <v>0</v>
      </c>
      <c r="BI245" s="857">
        <f>SUM(BI246:BI248)</f>
        <v>0</v>
      </c>
      <c r="BJ245" s="857">
        <f>SUM(BJ246:BJ248)</f>
        <v>0</v>
      </c>
      <c r="BK245" s="857">
        <f>SUM(BK246:BK248)</f>
        <v>0</v>
      </c>
      <c r="BL245" s="857">
        <f>SUM(BL246:BL248)</f>
        <v>0</v>
      </c>
      <c r="BM245" s="857">
        <f>SUM(BM246:BM248)</f>
        <v>0</v>
      </c>
      <c r="BN245" s="857">
        <f>SUM(BN246:BN248)</f>
        <v>0</v>
      </c>
      <c r="BO245" s="857">
        <f>SUM(BO246:BO248)</f>
        <v>0</v>
      </c>
      <c r="BP245" s="857">
        <f>SUM(BP246:BP248)</f>
        <v>0</v>
      </c>
      <c r="BQ245" s="857">
        <f>SUM(BQ246:BQ248)</f>
        <v>0</v>
      </c>
      <c r="BR245" s="857">
        <f>SUM(BR246:BR248)</f>
        <v>0</v>
      </c>
      <c r="BS245" s="857">
        <f>SUM(BS246:BS248)</f>
        <v>0</v>
      </c>
      <c r="BT245" s="857">
        <f>SUM(BT246:BT248)</f>
        <v>0</v>
      </c>
      <c r="BU245" s="857">
        <f>SUM(BU246:BU248)</f>
        <v>0</v>
      </c>
      <c r="BV245" s="857">
        <f>SUM(BV246:BV248)</f>
        <v>0</v>
      </c>
      <c r="BW245" s="857">
        <f>SUM(BW246:BW248)</f>
        <v>0</v>
      </c>
      <c r="BX245" s="857">
        <f>SUM(BX246:BX248)</f>
        <v>0</v>
      </c>
      <c r="BY245" s="857">
        <f>SUM(BY246:BY248)</f>
        <v>0</v>
      </c>
      <c r="BZ245" s="857">
        <f>SUM(BZ246:BZ248)</f>
        <v>0</v>
      </c>
      <c r="CA245" s="857">
        <f>SUM(CA246:CA248)</f>
        <v>0</v>
      </c>
      <c r="CB245" s="857">
        <f>SUM(CB246:CB248)</f>
        <v>0</v>
      </c>
      <c r="CC245" s="857">
        <f>SUM(CC246:CC248)</f>
        <v>0</v>
      </c>
      <c r="CD245" s="857">
        <f>SUM(CD246:CD248)</f>
        <v>0</v>
      </c>
      <c r="CE245" s="857">
        <f>SUM(CE246:CE248)</f>
        <v>0</v>
      </c>
      <c r="CF245" s="857">
        <f>SUM(CF246:CF248)</f>
        <v>0</v>
      </c>
      <c r="CG245" s="857">
        <f>SUM(CG246:CG248)</f>
        <v>0</v>
      </c>
      <c r="CH245" s="857">
        <f>SUM(CH246:CH248)</f>
        <v>0</v>
      </c>
      <c r="CI245" s="857">
        <f>SUM(CI246:CI248)</f>
        <v>0</v>
      </c>
      <c r="CJ245" s="857">
        <f>SUM(CJ246:CJ248)</f>
        <v>0</v>
      </c>
      <c r="CK245" s="857">
        <f>SUM(CK246:CK248)</f>
        <v>0</v>
      </c>
      <c r="CL245" s="857">
        <f>SUM(CL246:CL248)</f>
        <v>0</v>
      </c>
      <c r="CM245" s="857">
        <f>SUM(CM246:CM248)</f>
        <v>0</v>
      </c>
      <c r="CN245" s="857">
        <f>SUM(CN246:CN248)</f>
        <v>0</v>
      </c>
      <c r="CO245" s="857">
        <f>SUM(CO246:CO248)</f>
        <v>0</v>
      </c>
      <c r="CP245" s="857">
        <f>SUM(CP246:CP248)</f>
        <v>0</v>
      </c>
      <c r="CQ245" s="857">
        <f>SUM(CQ246:CQ248)</f>
        <v>0</v>
      </c>
      <c r="CR245" s="857">
        <f>SUM(CR246:CR248)</f>
        <v>0</v>
      </c>
      <c r="CS245" s="857">
        <f>SUM(CS246:CS248)</f>
        <v>0</v>
      </c>
      <c r="CT245" s="73"/>
      <c r="CU245" s="1619"/>
      <c r="CV245" s="1619"/>
      <c r="CW245" s="1170" t="s">
        <v>860</v>
      </c>
      <c r="CX245" s="1175"/>
      <c r="CY245" s="1175"/>
      <c r="CZ245" s="1175"/>
      <c r="DA245" s="1176"/>
      <c r="DB245" s="1176"/>
    </row>
    <row s="1619" customFormat="1" customHeight="1" ht="16.5" hidden="1">
      <c r="E246" s="794">
        <v>17.1</v>
      </c>
      <c r="F246" s="919" cm="1" t="str">
        <f t="array" ref="F246:F246">OFFSET(G246,-1,-1)</f>
        <v>1</v>
      </c>
      <c r="L246" s="919" cm="1" t="str">
        <f t="array" ref="L246:L246">OFFSET(M246,-1,-1)</f>
        <v>false</v>
      </c>
      <c r="R246" s="919" t="s">
        <v>725</v>
      </c>
      <c r="S246" s="156" cm="1" t="str">
        <f t="array" ref="S246:S246">OFFSET(T246,-1,-1)</f>
        <v>true</v>
      </c>
      <c r="T246" s="156">
        <f>AND(L246,AD246&lt;&gt;"37.0")</f>
        <v>0</v>
      </c>
      <c r="U246" s="816">
        <f>AND(S246,IF(ISBLANK(T246),TRUE,T246))</f>
        <v>0</v>
      </c>
      <c r="X246" s="156" t="s">
        <v>233</v>
      </c>
      <c r="AB246" s="1483"/>
      <c r="AD246" s="157" t="s">
        <v>861</v>
      </c>
      <c r="AE246" s="971"/>
      <c r="AF246" s="622"/>
      <c r="AG246" s="856" t="s">
        <v>805</v>
      </c>
      <c r="AH246" s="86">
        <f>AH$163*AH242</f>
        <v>0</v>
      </c>
      <c r="AI246" s="87">
        <f>AI$163*AI242</f>
        <v>0</v>
      </c>
      <c r="AJ246" s="87">
        <f>AJ$163*AJ242</f>
        <v>0</v>
      </c>
      <c r="AK246" s="87">
        <f>AK$163*AK242</f>
        <v>0</v>
      </c>
      <c r="AL246" s="859">
        <f>AM246+AN246</f>
        <v>0</v>
      </c>
      <c r="AM246" s="87">
        <f>AM$163*AM242</f>
        <v>0</v>
      </c>
      <c r="AN246" s="87">
        <f>AN$163*AN242</f>
        <v>0</v>
      </c>
      <c r="AO246" s="859">
        <f>AP246+AQ246</f>
        <v>0</v>
      </c>
      <c r="AP246" s="976">
        <f>AP$163*AP242</f>
        <v>0</v>
      </c>
      <c r="AQ246" s="976">
        <f>AQ$163*AQ242</f>
        <v>0</v>
      </c>
      <c r="AR246" s="859">
        <f>AS246+AT246</f>
        <v>0</v>
      </c>
      <c r="AS246" s="976">
        <f>AS$163*AS242</f>
        <v>0</v>
      </c>
      <c r="AT246" s="976">
        <f>AT$163*AT242</f>
        <v>0</v>
      </c>
      <c r="AU246" s="859">
        <f>AV246+AW246</f>
        <v>0</v>
      </c>
      <c r="AV246" s="976">
        <f>AV$163*AV242</f>
        <v>0</v>
      </c>
      <c r="AW246" s="976">
        <f>AW$163*AW242</f>
        <v>0</v>
      </c>
      <c r="AX246" s="859">
        <f>AY246+AZ246</f>
        <v>0</v>
      </c>
      <c r="AY246" s="976">
        <f>AY$163*AY242</f>
        <v>0</v>
      </c>
      <c r="AZ246" s="976">
        <f>AZ$163*AZ242</f>
        <v>0</v>
      </c>
      <c r="BA246" s="859">
        <f>BB246+BC246</f>
        <v>0</v>
      </c>
      <c r="BB246" s="87">
        <f>BB$163*BB242</f>
        <v>0</v>
      </c>
      <c r="BC246" s="87">
        <f>BC$163*BC242</f>
        <v>0</v>
      </c>
      <c r="BD246" s="859">
        <f>BE246+BF246</f>
        <v>0</v>
      </c>
      <c r="BE246" s="87">
        <f>BE$163*BE242</f>
        <v>0</v>
      </c>
      <c r="BF246" s="87">
        <f>BF$163*BF242</f>
        <v>0</v>
      </c>
      <c r="BG246" s="859">
        <f>BH246+BI246</f>
        <v>0</v>
      </c>
      <c r="BH246" s="87">
        <f>BH$163*BH242</f>
        <v>0</v>
      </c>
      <c r="BI246" s="87">
        <f>BI$163*BI242</f>
        <v>0</v>
      </c>
      <c r="BJ246" s="859">
        <f>BK246+BL246</f>
        <v>0</v>
      </c>
      <c r="BK246" s="87">
        <f>BK$163*BK242</f>
        <v>0</v>
      </c>
      <c r="BL246" s="87">
        <f>BL$163*BL242</f>
        <v>0</v>
      </c>
      <c r="BM246" s="859">
        <f>BN246+BO246</f>
        <v>0</v>
      </c>
      <c r="BN246" s="87">
        <f>BN$163*BN242</f>
        <v>0</v>
      </c>
      <c r="BO246" s="87">
        <f>BO$163*BO242</f>
        <v>0</v>
      </c>
      <c r="BP246" s="859">
        <f>BQ246+BR246</f>
        <v>0</v>
      </c>
      <c r="BQ246" s="976">
        <f>BQ$163*BQ242</f>
        <v>0</v>
      </c>
      <c r="BR246" s="976">
        <f>BR$163*BR242</f>
        <v>0</v>
      </c>
      <c r="BS246" s="859">
        <f>BT246+BU246</f>
        <v>0</v>
      </c>
      <c r="BT246" s="976">
        <f>BT$163*BT242</f>
        <v>0</v>
      </c>
      <c r="BU246" s="976">
        <f>BU$163*BU242</f>
        <v>0</v>
      </c>
      <c r="BV246" s="859">
        <f>BW246+BX246</f>
        <v>0</v>
      </c>
      <c r="BW246" s="976">
        <f>BW$163*BW242</f>
        <v>0</v>
      </c>
      <c r="BX246" s="976">
        <f>BX$163*BX242</f>
        <v>0</v>
      </c>
      <c r="BY246" s="859">
        <f>BZ246+CA246</f>
        <v>0</v>
      </c>
      <c r="BZ246" s="976">
        <f>BZ$163*BZ242</f>
        <v>0</v>
      </c>
      <c r="CA246" s="976">
        <f>CA$163*CA242</f>
        <v>0</v>
      </c>
      <c r="CB246" s="859">
        <f>CC246+CD246</f>
        <v>0</v>
      </c>
      <c r="CC246" s="976">
        <f>CC$163*CC242</f>
        <v>0</v>
      </c>
      <c r="CD246" s="976">
        <f>CD$163*CD242</f>
        <v>0</v>
      </c>
      <c r="CE246" s="859">
        <f>CF246+CG246</f>
        <v>0</v>
      </c>
      <c r="CF246" s="87">
        <f>CF$163*CF242</f>
        <v>0</v>
      </c>
      <c r="CG246" s="87">
        <f>CG$163*CG242</f>
        <v>0</v>
      </c>
      <c r="CH246" s="859">
        <f>CI246+CJ246</f>
        <v>0</v>
      </c>
      <c r="CI246" s="87">
        <f>CI$163*CI242</f>
        <v>0</v>
      </c>
      <c r="CJ246" s="87">
        <f>CJ$163*CJ242</f>
        <v>0</v>
      </c>
      <c r="CK246" s="859">
        <f>CL246+CM246</f>
        <v>0</v>
      </c>
      <c r="CL246" s="87">
        <f>CL$163*CL242</f>
        <v>0</v>
      </c>
      <c r="CM246" s="87">
        <f>CM$163*CM242</f>
        <v>0</v>
      </c>
      <c r="CN246" s="859">
        <f>CO246+CP246</f>
        <v>0</v>
      </c>
      <c r="CO246" s="87">
        <f>CO$163*CO242</f>
        <v>0</v>
      </c>
      <c r="CP246" s="87">
        <f>CP$163*CP242</f>
        <v>0</v>
      </c>
      <c r="CQ246" s="859">
        <f>CR246+CS246</f>
        <v>0</v>
      </c>
      <c r="CR246" s="87">
        <f>CR$163*CR242</f>
        <v>0</v>
      </c>
      <c r="CS246" s="87">
        <f>CS$163*CS242</f>
        <v>0</v>
      </c>
      <c r="CT246" s="73"/>
      <c r="CW246" s="1170" t="s">
        <v>860</v>
      </c>
      <c r="CX246" s="1175" t="s">
        <v>787</v>
      </c>
      <c r="CY246" s="1179" cm="1" t="str">
        <f t="array" ref="CY246:CY246">AE246</f>
        <v>0</v>
      </c>
      <c r="CZ246" s="1179" cm="1" t="str">
        <f t="array" ref="CZ246:CZ246">AF246</f>
        <v>0</v>
      </c>
      <c r="DA246" s="1176"/>
      <c r="DB246" s="1176"/>
    </row>
    <row s="1619" customFormat="1" customHeight="1" ht="16.5" hidden="1">
      <c r="A247" s="1619"/>
      <c r="B247" s="1619"/>
      <c r="C247" s="1619"/>
      <c r="D247" s="1619"/>
      <c r="E247" s="794">
        <v>17.1</v>
      </c>
      <c r="F247" s="919" cm="1" t="str">
        <f t="array" ref="F247:F247">OFFSET(G247,-1,-1)</f>
        <v>1</v>
      </c>
      <c r="G247" s="1619"/>
      <c r="H247" s="1619"/>
      <c r="I247" s="1619"/>
      <c r="J247" s="1619"/>
      <c r="K247" s="1619"/>
      <c r="L247" s="919" cm="1" t="str">
        <f t="array" ref="L247:L247">OFFSET(M247,-1,-1)</f>
        <v>false</v>
      </c>
      <c r="M247" s="1619"/>
      <c r="N247" s="1619"/>
      <c r="O247" s="1619"/>
      <c r="P247" s="1619"/>
      <c r="Q247" s="1619"/>
      <c r="R247" s="919" t="s">
        <v>725</v>
      </c>
      <c r="S247" s="156" cm="1" t="str">
        <f t="array" ref="S247:S247">OFFSET(T247,-1,-1)</f>
        <v>true</v>
      </c>
      <c r="T247" s="156">
        <f>AND(L247,AD247&lt;&gt;"37.0")</f>
        <v>0</v>
      </c>
      <c r="U247" s="816">
        <f>AND(S247,IF(ISBLANK(T247),TRUE,T247))</f>
        <v>0</v>
      </c>
      <c r="V247" s="1619"/>
      <c r="W247" s="1619"/>
      <c r="X247" s="156" t="str">
        <f>'Топливо 4.4'!$AE$243&amp;'Топливо 4.4'!$AF$243</f>
        <v>Уголь бурыйБ</v>
      </c>
      <c r="Y247" s="1619"/>
      <c r="Z247" s="1619"/>
      <c r="AA247" s="1619"/>
      <c r="AB247" s="1483"/>
      <c r="AC247" s="1619"/>
      <c r="AD247" s="157" t="s">
        <v>917</v>
      </c>
      <c r="AE247" s="971" cm="1" t="str">
        <f t="array" ref="AE247:AE247">IF(ISBLANK('Топливо 4.4'!$AE$243),"",'Топливо 4.4'!$AE$243)</f>
        <v>Уголь бурый</v>
      </c>
      <c r="AF247" s="622" cm="1" t="str">
        <f t="array" ref="AF247:AF247">IF(ISBLANK('Топливо 4.4'!$AF$243),"",'Топливо 4.4'!$AF$243)</f>
        <v>Б</v>
      </c>
      <c r="AG247" s="856" t="s">
        <v>805</v>
      </c>
      <c r="AH247" s="86">
        <f>AH$163*AH243</f>
        <v>0</v>
      </c>
      <c r="AI247" s="87">
        <f>AI$163*AI243</f>
        <v>0</v>
      </c>
      <c r="AJ247" s="87">
        <f>AJ$163*AJ243</f>
        <v>0</v>
      </c>
      <c r="AK247" s="87">
        <f>AK$163*AK243</f>
        <v>0</v>
      </c>
      <c r="AL247" s="859">
        <f>AM247+AN247</f>
        <v>0</v>
      </c>
      <c r="AM247" s="87">
        <f>AM$163*AM243</f>
        <v>0</v>
      </c>
      <c r="AN247" s="87">
        <f>AN$163*AN243</f>
        <v>0</v>
      </c>
      <c r="AO247" s="859">
        <f>AP247+AQ247</f>
        <v>0</v>
      </c>
      <c r="AP247" s="976">
        <f>AP$163*AP243</f>
        <v>0</v>
      </c>
      <c r="AQ247" s="976">
        <f>AQ$163*AQ243</f>
        <v>0</v>
      </c>
      <c r="AR247" s="859">
        <f>AS247+AT247</f>
        <v>0</v>
      </c>
      <c r="AS247" s="976">
        <f>AS$163*AS243</f>
        <v>0</v>
      </c>
      <c r="AT247" s="976">
        <f>AT$163*AT243</f>
        <v>0</v>
      </c>
      <c r="AU247" s="859">
        <f>AV247+AW247</f>
        <v>0</v>
      </c>
      <c r="AV247" s="976">
        <f>AV$163*AV243</f>
        <v>0</v>
      </c>
      <c r="AW247" s="976">
        <f>AW$163*AW243</f>
        <v>0</v>
      </c>
      <c r="AX247" s="859">
        <f>AY247+AZ247</f>
        <v>0</v>
      </c>
      <c r="AY247" s="976">
        <f>AY$163*AY243</f>
        <v>0</v>
      </c>
      <c r="AZ247" s="976">
        <f>AZ$163*AZ243</f>
        <v>0</v>
      </c>
      <c r="BA247" s="859">
        <f>BB247+BC247</f>
        <v>0</v>
      </c>
      <c r="BB247" s="87">
        <f>BB$163*BB243</f>
        <v>0</v>
      </c>
      <c r="BC247" s="87">
        <f>BC$163*BC243</f>
        <v>0</v>
      </c>
      <c r="BD247" s="859">
        <f>BE247+BF247</f>
        <v>0</v>
      </c>
      <c r="BE247" s="87">
        <f>BE$163*BE243</f>
        <v>0</v>
      </c>
      <c r="BF247" s="87">
        <f>BF$163*BF243</f>
        <v>0</v>
      </c>
      <c r="BG247" s="859">
        <f>BH247+BI247</f>
        <v>0</v>
      </c>
      <c r="BH247" s="87">
        <f>BH$163*BH243</f>
        <v>0</v>
      </c>
      <c r="BI247" s="87">
        <f>BI$163*BI243</f>
        <v>0</v>
      </c>
      <c r="BJ247" s="859">
        <f>BK247+BL247</f>
        <v>0</v>
      </c>
      <c r="BK247" s="87">
        <f>BK$163*BK243</f>
        <v>0</v>
      </c>
      <c r="BL247" s="87">
        <f>BL$163*BL243</f>
        <v>0</v>
      </c>
      <c r="BM247" s="859">
        <f>BN247+BO247</f>
        <v>0</v>
      </c>
      <c r="BN247" s="87">
        <f>BN$163*BN243</f>
        <v>0</v>
      </c>
      <c r="BO247" s="87">
        <f>BO$163*BO243</f>
        <v>0</v>
      </c>
      <c r="BP247" s="859">
        <f>BQ247+BR247</f>
        <v>0</v>
      </c>
      <c r="BQ247" s="976">
        <f>BQ$163*BQ243</f>
        <v>0</v>
      </c>
      <c r="BR247" s="976">
        <f>BR$163*BR243</f>
        <v>0</v>
      </c>
      <c r="BS247" s="859">
        <f>BT247+BU247</f>
        <v>0</v>
      </c>
      <c r="BT247" s="976">
        <f>BT$163*BT243</f>
        <v>0</v>
      </c>
      <c r="BU247" s="976">
        <f>BU$163*BU243</f>
        <v>0</v>
      </c>
      <c r="BV247" s="859">
        <f>BW247+BX247</f>
        <v>0</v>
      </c>
      <c r="BW247" s="976">
        <f>BW$163*BW243</f>
        <v>0</v>
      </c>
      <c r="BX247" s="976">
        <f>BX$163*BX243</f>
        <v>0</v>
      </c>
      <c r="BY247" s="859">
        <f>BZ247+CA247</f>
        <v>0</v>
      </c>
      <c r="BZ247" s="976">
        <f>BZ$163*BZ243</f>
        <v>0</v>
      </c>
      <c r="CA247" s="976">
        <f>CA$163*CA243</f>
        <v>0</v>
      </c>
      <c r="CB247" s="859">
        <f>CC247+CD247</f>
        <v>0</v>
      </c>
      <c r="CC247" s="976">
        <f>CC$163*CC243</f>
        <v>0</v>
      </c>
      <c r="CD247" s="976">
        <f>CD$163*CD243</f>
        <v>0</v>
      </c>
      <c r="CE247" s="859">
        <f>CF247+CG247</f>
        <v>0</v>
      </c>
      <c r="CF247" s="87">
        <f>CF$163*CF243</f>
        <v>0</v>
      </c>
      <c r="CG247" s="87">
        <f>CG$163*CG243</f>
        <v>0</v>
      </c>
      <c r="CH247" s="859">
        <f>CI247+CJ247</f>
        <v>0</v>
      </c>
      <c r="CI247" s="87">
        <f>CI$163*CI243</f>
        <v>0</v>
      </c>
      <c r="CJ247" s="87">
        <f>CJ$163*CJ243</f>
        <v>0</v>
      </c>
      <c r="CK247" s="859">
        <f>CL247+CM247</f>
        <v>0</v>
      </c>
      <c r="CL247" s="87">
        <f>CL$163*CL243</f>
        <v>0</v>
      </c>
      <c r="CM247" s="87">
        <f>CM$163*CM243</f>
        <v>0</v>
      </c>
      <c r="CN247" s="859">
        <f>CO247+CP247</f>
        <v>0</v>
      </c>
      <c r="CO247" s="87">
        <f>CO$163*CO243</f>
        <v>0</v>
      </c>
      <c r="CP247" s="87">
        <f>CP$163*CP243</f>
        <v>0</v>
      </c>
      <c r="CQ247" s="859">
        <f>CR247+CS247</f>
        <v>0</v>
      </c>
      <c r="CR247" s="87">
        <f>CR$163*CR243</f>
        <v>0</v>
      </c>
      <c r="CS247" s="87">
        <f>CS$163*CS243</f>
        <v>0</v>
      </c>
      <c r="CT247" s="73"/>
      <c r="CU247" s="1619"/>
      <c r="CV247" s="1619"/>
      <c r="CW247" s="1170" t="s">
        <v>860</v>
      </c>
      <c r="CX247" s="1175" t="s">
        <v>787</v>
      </c>
      <c r="CY247" s="1179" cm="1" t="str">
        <f t="array" ref="CY247:CY247">AE247</f>
        <v>Уголь бурый</v>
      </c>
      <c r="CZ247" s="1179" cm="1" t="str">
        <f t="array" ref="CZ247:CZ247">AF247</f>
        <v>Б</v>
      </c>
      <c r="DA247" s="1176"/>
      <c r="DB247" s="1176"/>
    </row>
    <row s="1619" customFormat="1" customHeight="1" ht="15" hidden="1">
      <c r="A248" s="1440"/>
      <c r="B248" s="924"/>
      <c r="C248" s="1440"/>
      <c r="D248" s="1440"/>
      <c r="E248" s="794">
        <v>0</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970" t="str">
        <f>"{                  
         funcDyn: 'msg1',
         blok: 'blok_2',
         wsCross: 'Топливо 4.4',
         linkFormula: 'AE-AE#AF-AF',
         levelDyn: "&amp;Y139&amp;"
}"</f>
        <v>{                  
         funcDyn: 'msg1',
         blok: 'blok_2',
         wsCross: 'Топливо 4.4',
         linkFormula: 'AE-AE#AF-AF',
         levelDyn: 1
}</v>
      </c>
      <c r="Y248" s="1440"/>
      <c r="Z248" s="1440"/>
      <c r="AA248" s="817"/>
      <c r="AB248" s="1484"/>
      <c r="AC248" s="1619"/>
      <c r="AD248" s="973"/>
      <c r="AE248" s="972" t="s">
        <v>235</v>
      </c>
      <c r="AF248" s="871"/>
      <c r="AG248" s="856"/>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91"/>
      <c r="CU248" s="1619"/>
      <c r="CV248" s="1619"/>
      <c r="CW248" s="1170" t="str">
        <f>IF(AND(ISNUMBER(VALUE(TRIM(SUBSTITUTE(AD248,".","")))),TRIM(SUBSTITUTE(AD248,".",""))&lt;&gt;""),"P"&amp;SUBSTITUTE(AD248,".",""),"")</f>
        <v/>
      </c>
      <c r="CX248" s="1175"/>
      <c r="CY248" s="1175"/>
      <c r="CZ248" s="1175"/>
      <c r="DA248" s="1176"/>
      <c r="DB248" s="1176"/>
    </row>
    <row s="1619" customFormat="1" customHeight="1" ht="16.5">
      <c r="A249" s="1440"/>
      <c r="B249" s="924"/>
      <c r="C249" s="1440"/>
      <c r="D249" s="1440"/>
      <c r="E249" s="794">
        <v>17.1</v>
      </c>
      <c r="F249" s="919" cm="1" t="str">
        <f t="array" ref="F249:F249">OFFSET(G249,-1,-1)</f>
        <v>1</v>
      </c>
      <c r="G249" s="962"/>
      <c r="H249" s="962"/>
      <c r="I249" s="962"/>
      <c r="J249" s="962"/>
      <c r="K249" s="962"/>
      <c r="L249" s="919" cm="1" t="str">
        <f t="array" ref="L249:L249">OFFSET(M249,-1,-1)</f>
        <v>false</v>
      </c>
      <c r="M249" s="962"/>
      <c r="N249" s="962"/>
      <c r="O249" s="962"/>
      <c r="P249" s="962"/>
      <c r="Q249" s="962"/>
      <c r="R249" s="1440"/>
      <c r="S249" s="156" cm="1" t="str">
        <f t="array" ref="S249:S249">OFFSET(T249,-1,-1)</f>
        <v>true</v>
      </c>
      <c r="T249" s="1440"/>
      <c r="U249" s="816">
        <f>AND(S249,IF(ISBLANK(T249),TRUE,T249))</f>
        <v>1</v>
      </c>
      <c r="V249" s="1440"/>
      <c r="W249" s="1440"/>
      <c r="X249" s="1440"/>
      <c r="Y249" s="1440"/>
      <c r="Z249" s="1440"/>
      <c r="AA249" s="817"/>
      <c r="AB249" s="1482" t="s">
        <v>862</v>
      </c>
      <c r="AC249" s="1619"/>
      <c r="AD249" s="170" t="s">
        <v>863</v>
      </c>
      <c r="AE249" s="1494" t="s">
        <v>864</v>
      </c>
      <c r="AF249" s="320"/>
      <c r="AG249" s="856" t="s">
        <v>805</v>
      </c>
      <c r="AH249" s="857">
        <f>SUM(AH251:AH253)</f>
        <v>0</v>
      </c>
      <c r="AI249" s="857">
        <f>SUM(AI251:AI253)</f>
        <v>0</v>
      </c>
      <c r="AJ249" s="857">
        <f>SUM(AJ251:AJ253)</f>
        <v>0</v>
      </c>
      <c r="AK249" s="857">
        <f>SUM(AK251:AK253)</f>
        <v>0</v>
      </c>
      <c r="AL249" s="857">
        <f>SUM(AL251:AL253)</f>
        <v>0</v>
      </c>
      <c r="AM249" s="857">
        <f>SUM(AM251:AM253)</f>
        <v>0</v>
      </c>
      <c r="AN249" s="857">
        <f>SUM(AN251:AN253)</f>
        <v>0</v>
      </c>
      <c r="AO249" s="857">
        <f>SUM(AO251:AO253)</f>
        <v>0</v>
      </c>
      <c r="AP249" s="857">
        <f>SUM(AP251:AP253)</f>
        <v>0</v>
      </c>
      <c r="AQ249" s="857">
        <f>SUM(AQ251:AQ253)</f>
        <v>0</v>
      </c>
      <c r="AR249" s="857">
        <f>SUM(AR251:AR253)</f>
        <v>0</v>
      </c>
      <c r="AS249" s="857">
        <f>SUM(AS251:AS253)</f>
        <v>0</v>
      </c>
      <c r="AT249" s="857">
        <f>SUM(AT251:AT253)</f>
        <v>0</v>
      </c>
      <c r="AU249" s="857">
        <f>SUM(AU251:AU253)</f>
        <v>0</v>
      </c>
      <c r="AV249" s="857">
        <f>SUM(AV251:AV253)</f>
        <v>0</v>
      </c>
      <c r="AW249" s="857">
        <f>SUM(AW251:AW253)</f>
        <v>0</v>
      </c>
      <c r="AX249" s="857">
        <f>SUM(AX251:AX253)</f>
        <v>0</v>
      </c>
      <c r="AY249" s="857">
        <f>SUM(AY251:AY253)</f>
        <v>0</v>
      </c>
      <c r="AZ249" s="857">
        <f>SUM(AZ251:AZ253)</f>
        <v>0</v>
      </c>
      <c r="BA249" s="857">
        <f>SUM(BA251:BA253)</f>
        <v>0</v>
      </c>
      <c r="BB249" s="857">
        <f>SUM(BB251:BB253)</f>
        <v>0</v>
      </c>
      <c r="BC249" s="857">
        <f>SUM(BC251:BC253)</f>
        <v>0</v>
      </c>
      <c r="BD249" s="857">
        <f>SUM(BD251:BD253)</f>
        <v>0</v>
      </c>
      <c r="BE249" s="857">
        <f>SUM(BE251:BE253)</f>
        <v>0</v>
      </c>
      <c r="BF249" s="857">
        <f>SUM(BF251:BF253)</f>
        <v>0</v>
      </c>
      <c r="BG249" s="857">
        <f>SUM(BG251:BG253)</f>
        <v>0</v>
      </c>
      <c r="BH249" s="857">
        <f>SUM(BH251:BH253)</f>
        <v>0</v>
      </c>
      <c r="BI249" s="857">
        <f>SUM(BI251:BI253)</f>
        <v>0</v>
      </c>
      <c r="BJ249" s="857">
        <f>SUM(BJ251:BJ253)</f>
        <v>0</v>
      </c>
      <c r="BK249" s="857">
        <f>SUM(BK251:BK253)</f>
        <v>0</v>
      </c>
      <c r="BL249" s="857">
        <f>SUM(BL251:BL253)</f>
        <v>0</v>
      </c>
      <c r="BM249" s="857">
        <f>SUM(BM251:BM253)</f>
        <v>0</v>
      </c>
      <c r="BN249" s="857">
        <f>SUM(BN251:BN253)</f>
        <v>0</v>
      </c>
      <c r="BO249" s="857">
        <f>SUM(BO251:BO253)</f>
        <v>0</v>
      </c>
      <c r="BP249" s="857">
        <f>SUM(BP251:BP253)</f>
        <v>0</v>
      </c>
      <c r="BQ249" s="857">
        <f>SUM(BQ251:BQ253)</f>
        <v>0</v>
      </c>
      <c r="BR249" s="857">
        <f>SUM(BR251:BR253)</f>
        <v>0</v>
      </c>
      <c r="BS249" s="857">
        <f>SUM(BS251:BS253)</f>
        <v>0</v>
      </c>
      <c r="BT249" s="857">
        <f>SUM(BT251:BT253)</f>
        <v>0</v>
      </c>
      <c r="BU249" s="857">
        <f>SUM(BU251:BU253)</f>
        <v>0</v>
      </c>
      <c r="BV249" s="857">
        <f>SUM(BV251:BV253)</f>
        <v>0</v>
      </c>
      <c r="BW249" s="857">
        <f>SUM(BW251:BW253)</f>
        <v>0</v>
      </c>
      <c r="BX249" s="857">
        <f>SUM(BX251:BX253)</f>
        <v>0</v>
      </c>
      <c r="BY249" s="857">
        <f>SUM(BY251:BY253)</f>
        <v>0</v>
      </c>
      <c r="BZ249" s="857">
        <f>SUM(BZ251:BZ253)</f>
        <v>0</v>
      </c>
      <c r="CA249" s="857">
        <f>SUM(CA251:CA253)</f>
        <v>0</v>
      </c>
      <c r="CB249" s="857">
        <f>SUM(CB251:CB253)</f>
        <v>0</v>
      </c>
      <c r="CC249" s="857">
        <f>SUM(CC251:CC253)</f>
        <v>0</v>
      </c>
      <c r="CD249" s="857">
        <f>SUM(CD251:CD253)</f>
        <v>0</v>
      </c>
      <c r="CE249" s="857">
        <f>SUM(CE251:CE253)</f>
        <v>0</v>
      </c>
      <c r="CF249" s="857">
        <f>SUM(CF251:CF253)</f>
        <v>0</v>
      </c>
      <c r="CG249" s="857">
        <f>SUM(CG251:CG253)</f>
        <v>0</v>
      </c>
      <c r="CH249" s="857">
        <f>SUM(CH251:CH253)</f>
        <v>0</v>
      </c>
      <c r="CI249" s="857">
        <f>SUM(CI251:CI253)</f>
        <v>0</v>
      </c>
      <c r="CJ249" s="857">
        <f>SUM(CJ251:CJ253)</f>
        <v>0</v>
      </c>
      <c r="CK249" s="857">
        <f>SUM(CK251:CK253)</f>
        <v>0</v>
      </c>
      <c r="CL249" s="857">
        <f>SUM(CL251:CL253)</f>
        <v>0</v>
      </c>
      <c r="CM249" s="857">
        <f>SUM(CM251:CM253)</f>
        <v>0</v>
      </c>
      <c r="CN249" s="857">
        <f>SUM(CN251:CN253)</f>
        <v>0</v>
      </c>
      <c r="CO249" s="857">
        <f>SUM(CO251:CO253)</f>
        <v>0</v>
      </c>
      <c r="CP249" s="857">
        <f>SUM(CP251:CP253)</f>
        <v>0</v>
      </c>
      <c r="CQ249" s="857">
        <f>SUM(CQ251:CQ253)</f>
        <v>0</v>
      </c>
      <c r="CR249" s="857">
        <f>SUM(CR251:CR253)</f>
        <v>0</v>
      </c>
      <c r="CS249" s="857">
        <f>SUM(CS251:CS253)</f>
        <v>0</v>
      </c>
      <c r="CT249" s="1730"/>
      <c r="CU249" s="1619"/>
      <c r="CV249" s="1619"/>
      <c r="CW249" s="1170" t="s">
        <v>865</v>
      </c>
      <c r="CX249" s="1175"/>
      <c r="CY249" s="1175"/>
      <c r="CZ249" s="1175"/>
      <c r="DA249" s="1176"/>
      <c r="DB249" s="1176"/>
    </row>
    <row s="1619" customFormat="1" customHeight="1" ht="16.5" hidden="1">
      <c r="A250" s="1440"/>
      <c r="B250" s="924"/>
      <c r="C250" s="1440"/>
      <c r="D250" s="1440"/>
      <c r="E250" s="794">
        <v>17.1</v>
      </c>
      <c r="F250" s="919" cm="1" t="str">
        <f t="array" ref="F250:F250">OFFSET(G250,-1,-1)</f>
        <v>1</v>
      </c>
      <c r="G250" s="962"/>
      <c r="H250" s="962"/>
      <c r="I250" s="962"/>
      <c r="J250" s="962"/>
      <c r="K250" s="962"/>
      <c r="L250" s="919" cm="1" t="str">
        <f t="array" ref="L250:L250">OFFSET(M250,-1,-1)</f>
        <v>false</v>
      </c>
      <c r="M250" s="962"/>
      <c r="N250" s="962"/>
      <c r="O250" s="962"/>
      <c r="P250" s="962"/>
      <c r="Q250" s="962"/>
      <c r="R250" s="919" t="s">
        <v>725</v>
      </c>
      <c r="S250" s="156" cm="1" t="str">
        <f t="array" ref="S250:S250">OFFSET(T250,-1,-1)</f>
        <v>true</v>
      </c>
      <c r="T250" s="919" t="b">
        <v>0</v>
      </c>
      <c r="U250" s="816">
        <f>AND(S250,IF(ISBLANK(T250),TRUE,T250))</f>
        <v>0</v>
      </c>
      <c r="V250" s="1440"/>
      <c r="W250" s="1440"/>
      <c r="X250" s="1440"/>
      <c r="Y250" s="1440"/>
      <c r="Z250" s="1440"/>
      <c r="AA250" s="817"/>
      <c r="AB250" s="1483"/>
      <c r="AC250" s="1619"/>
      <c r="AD250" s="157" t="str">
        <f>AD249&amp;".0"</f>
        <v>38.0</v>
      </c>
      <c r="AE250" s="1346" t="s">
        <v>736</v>
      </c>
      <c r="AF250" s="161"/>
      <c r="AG250" s="856" t="s">
        <v>805</v>
      </c>
      <c r="AH250" s="86">
        <f>AH$163*AH249</f>
        <v>0</v>
      </c>
      <c r="AI250" s="87">
        <f>AI$163*AI249</f>
        <v>0</v>
      </c>
      <c r="AJ250" s="87">
        <f>AJ$163*AJ249</f>
        <v>0</v>
      </c>
      <c r="AK250" s="87">
        <f>AK$163*AK249</f>
        <v>0</v>
      </c>
      <c r="AL250" s="859">
        <f>AM250+AN250</f>
        <v>0</v>
      </c>
      <c r="AM250" s="87">
        <f>AM$163*AM249</f>
        <v>0</v>
      </c>
      <c r="AN250" s="87">
        <f>AN$163*AN249</f>
        <v>0</v>
      </c>
      <c r="AO250" s="859">
        <f>AP250+AQ250</f>
        <v>0</v>
      </c>
      <c r="AP250" s="976">
        <f>AP$163*AP249</f>
        <v>0</v>
      </c>
      <c r="AQ250" s="976">
        <f>AQ$163*AQ249</f>
        <v>0</v>
      </c>
      <c r="AR250" s="859">
        <f>AS250+AT250</f>
        <v>0</v>
      </c>
      <c r="AS250" s="976">
        <f>AS$163*AS249</f>
        <v>0</v>
      </c>
      <c r="AT250" s="976">
        <f>AT$163*AT249</f>
        <v>0</v>
      </c>
      <c r="AU250" s="859">
        <f>AV250+AW250</f>
        <v>0</v>
      </c>
      <c r="AV250" s="976">
        <f>AV$163*AV249</f>
        <v>0</v>
      </c>
      <c r="AW250" s="976">
        <f>AW$163*AW249</f>
        <v>0</v>
      </c>
      <c r="AX250" s="859">
        <f>AY250+AZ250</f>
        <v>0</v>
      </c>
      <c r="AY250" s="976">
        <f>AY$163*AY249</f>
        <v>0</v>
      </c>
      <c r="AZ250" s="976">
        <f>AZ$163*AZ249</f>
        <v>0</v>
      </c>
      <c r="BA250" s="859">
        <f>BB250+BC250</f>
        <v>0</v>
      </c>
      <c r="BB250" s="87">
        <f>BB$163*BB249</f>
        <v>0</v>
      </c>
      <c r="BC250" s="87">
        <f>BC$163*BC249</f>
        <v>0</v>
      </c>
      <c r="BD250" s="859">
        <f>BE250+BF250</f>
        <v>0</v>
      </c>
      <c r="BE250" s="87">
        <f>BE$163*BE249</f>
        <v>0</v>
      </c>
      <c r="BF250" s="87">
        <f>BF$163*BF249</f>
        <v>0</v>
      </c>
      <c r="BG250" s="859">
        <f>BH250+BI250</f>
        <v>0</v>
      </c>
      <c r="BH250" s="87">
        <f>BH$163*BH249</f>
        <v>0</v>
      </c>
      <c r="BI250" s="87">
        <f>BI$163*BI249</f>
        <v>0</v>
      </c>
      <c r="BJ250" s="859">
        <f>BK250+BL250</f>
        <v>0</v>
      </c>
      <c r="BK250" s="87">
        <f>BK$163*BK249</f>
        <v>0</v>
      </c>
      <c r="BL250" s="87">
        <f>BL$163*BL249</f>
        <v>0</v>
      </c>
      <c r="BM250" s="859">
        <f>BN250+BO250</f>
        <v>0</v>
      </c>
      <c r="BN250" s="87">
        <f>BN$163*BN249</f>
        <v>0</v>
      </c>
      <c r="BO250" s="87">
        <f>BO$163*BO249</f>
        <v>0</v>
      </c>
      <c r="BP250" s="859">
        <f>BQ250+BR250</f>
        <v>0</v>
      </c>
      <c r="BQ250" s="976">
        <f>BQ$163*BQ249</f>
        <v>0</v>
      </c>
      <c r="BR250" s="976">
        <f>BR$163*BR249</f>
        <v>0</v>
      </c>
      <c r="BS250" s="859">
        <f>BT250+BU250</f>
        <v>0</v>
      </c>
      <c r="BT250" s="976">
        <f>BT$163*BT249</f>
        <v>0</v>
      </c>
      <c r="BU250" s="976">
        <f>BU$163*BU249</f>
        <v>0</v>
      </c>
      <c r="BV250" s="859">
        <f>BW250+BX250</f>
        <v>0</v>
      </c>
      <c r="BW250" s="976">
        <f>BW$163*BW249</f>
        <v>0</v>
      </c>
      <c r="BX250" s="976">
        <f>BX$163*BX249</f>
        <v>0</v>
      </c>
      <c r="BY250" s="859">
        <f>BZ250+CA250</f>
        <v>0</v>
      </c>
      <c r="BZ250" s="976">
        <f>BZ$163*BZ249</f>
        <v>0</v>
      </c>
      <c r="CA250" s="976">
        <f>CA$163*CA249</f>
        <v>0</v>
      </c>
      <c r="CB250" s="859">
        <f>CC250+CD250</f>
        <v>0</v>
      </c>
      <c r="CC250" s="976">
        <f>CC$163*CC249</f>
        <v>0</v>
      </c>
      <c r="CD250" s="976">
        <f>CD$163*CD249</f>
        <v>0</v>
      </c>
      <c r="CE250" s="859">
        <f>CF250+CG250</f>
        <v>0</v>
      </c>
      <c r="CF250" s="87">
        <f>CF$163*CF249</f>
        <v>0</v>
      </c>
      <c r="CG250" s="87">
        <f>CG$163*CG249</f>
        <v>0</v>
      </c>
      <c r="CH250" s="859">
        <f>CI250+CJ250</f>
        <v>0</v>
      </c>
      <c r="CI250" s="87">
        <f>CI$163*CI249</f>
        <v>0</v>
      </c>
      <c r="CJ250" s="87">
        <f>CJ$163*CJ249</f>
        <v>0</v>
      </c>
      <c r="CK250" s="859">
        <f>CL250+CM250</f>
        <v>0</v>
      </c>
      <c r="CL250" s="87">
        <f>CL$163*CL249</f>
        <v>0</v>
      </c>
      <c r="CM250" s="87">
        <f>CM$163*CM249</f>
        <v>0</v>
      </c>
      <c r="CN250" s="859">
        <f>CO250+CP250</f>
        <v>0</v>
      </c>
      <c r="CO250" s="87">
        <f>CO$163*CO249</f>
        <v>0</v>
      </c>
      <c r="CP250" s="87">
        <f>CP$163*CP249</f>
        <v>0</v>
      </c>
      <c r="CQ250" s="859">
        <f>CR250+CS250</f>
        <v>0</v>
      </c>
      <c r="CR250" s="87">
        <f>CR$163*CR249</f>
        <v>0</v>
      </c>
      <c r="CS250" s="87">
        <f>CS$163*CS249</f>
        <v>0</v>
      </c>
      <c r="CT250" s="73"/>
      <c r="CU250" s="1619"/>
      <c r="CV250" s="1619"/>
      <c r="CW250" s="1170" t="s">
        <v>866</v>
      </c>
      <c r="CX250" s="1175"/>
      <c r="CY250" s="1175"/>
      <c r="CZ250" s="1175"/>
      <c r="DA250" s="1176"/>
      <c r="DB250" s="1176"/>
    </row>
    <row s="1619" customFormat="1" customHeight="1" ht="16.5" hidden="1">
      <c r="E251" s="794">
        <v>17.1</v>
      </c>
      <c r="F251" s="919" cm="1" t="str">
        <f t="array" ref="F251:F251">OFFSET(G251,-1,-1)</f>
        <v>1</v>
      </c>
      <c r="L251" s="919" cm="1" t="str">
        <f t="array" ref="L251:L251">OFFSET(M251,-1,-1)</f>
        <v>false</v>
      </c>
      <c r="S251" s="156" cm="1" t="str">
        <f t="array" ref="S251:S251">OFFSET(T251,-1,-1)</f>
        <v>true</v>
      </c>
      <c r="T251" s="156">
        <f>AD251&lt;&gt;"38.0"</f>
        <v>0</v>
      </c>
      <c r="U251" s="816">
        <f>AND(S251,IF(ISBLANK(T251),TRUE,T251))</f>
        <v>0</v>
      </c>
      <c r="X251" s="156" t="s">
        <v>233</v>
      </c>
      <c r="AB251" s="1483"/>
      <c r="AD251" s="157" t="s">
        <v>867</v>
      </c>
      <c r="AE251" s="971"/>
      <c r="AF251" s="622"/>
      <c r="AG251" s="856" t="s">
        <v>805</v>
      </c>
      <c r="AH251" s="86"/>
      <c r="AI251" s="87"/>
      <c r="AJ251" s="87"/>
      <c r="AK251" s="87"/>
      <c r="AL251" s="859">
        <f>AM251+AN251</f>
        <v>0</v>
      </c>
      <c r="AM251" s="87"/>
      <c r="AN251" s="87"/>
      <c r="AO251" s="859">
        <f>AP251+AQ251</f>
        <v>0</v>
      </c>
      <c r="AP251" s="976"/>
      <c r="AQ251" s="976"/>
      <c r="AR251" s="859">
        <f>AS251+AT251</f>
        <v>0</v>
      </c>
      <c r="AS251" s="976"/>
      <c r="AT251" s="976"/>
      <c r="AU251" s="859">
        <f>AV251+AW251</f>
        <v>0</v>
      </c>
      <c r="AV251" s="976"/>
      <c r="AW251" s="976"/>
      <c r="AX251" s="859">
        <f>AY251+AZ251</f>
        <v>0</v>
      </c>
      <c r="AY251" s="976"/>
      <c r="AZ251" s="976"/>
      <c r="BA251" s="859">
        <f>BB251+BC251</f>
        <v>0</v>
      </c>
      <c r="BB251" s="87"/>
      <c r="BC251" s="87"/>
      <c r="BD251" s="859">
        <f>BE251+BF251</f>
        <v>0</v>
      </c>
      <c r="BE251" s="87"/>
      <c r="BF251" s="87"/>
      <c r="BG251" s="859">
        <f>BH251+BI251</f>
        <v>0</v>
      </c>
      <c r="BH251" s="87"/>
      <c r="BI251" s="87"/>
      <c r="BJ251" s="859">
        <f>BK251+BL251</f>
        <v>0</v>
      </c>
      <c r="BK251" s="87"/>
      <c r="BL251" s="87"/>
      <c r="BM251" s="859">
        <f>BN251+BO251</f>
        <v>0</v>
      </c>
      <c r="BN251" s="87"/>
      <c r="BO251" s="87"/>
      <c r="BP251" s="859">
        <f>BQ251+BR251</f>
        <v>0</v>
      </c>
      <c r="BQ251" s="976"/>
      <c r="BR251" s="976"/>
      <c r="BS251" s="859">
        <f>BT251+BU251</f>
        <v>0</v>
      </c>
      <c r="BT251" s="976"/>
      <c r="BU251" s="976"/>
      <c r="BV251" s="859">
        <f>BW251+BX251</f>
        <v>0</v>
      </c>
      <c r="BW251" s="976"/>
      <c r="BX251" s="976"/>
      <c r="BY251" s="859">
        <f>BZ251+CA251</f>
        <v>0</v>
      </c>
      <c r="BZ251" s="976"/>
      <c r="CA251" s="976"/>
      <c r="CB251" s="859">
        <f>CC251+CD251</f>
        <v>0</v>
      </c>
      <c r="CC251" s="976"/>
      <c r="CD251" s="976"/>
      <c r="CE251" s="859">
        <f>CF251+CG251</f>
        <v>0</v>
      </c>
      <c r="CF251" s="87"/>
      <c r="CG251" s="87"/>
      <c r="CH251" s="859">
        <f>CI251+CJ251</f>
        <v>0</v>
      </c>
      <c r="CI251" s="87"/>
      <c r="CJ251" s="87"/>
      <c r="CK251" s="859">
        <f>CL251+CM251</f>
        <v>0</v>
      </c>
      <c r="CL251" s="87"/>
      <c r="CM251" s="87"/>
      <c r="CN251" s="859">
        <f>CO251+CP251</f>
        <v>0</v>
      </c>
      <c r="CO251" s="87"/>
      <c r="CP251" s="87"/>
      <c r="CQ251" s="859">
        <f>CR251+CS251</f>
        <v>0</v>
      </c>
      <c r="CR251" s="87"/>
      <c r="CS251" s="87"/>
      <c r="CT251" s="73"/>
      <c r="CW251" s="1170" t="s">
        <v>866</v>
      </c>
      <c r="CX251" s="1175" t="s">
        <v>787</v>
      </c>
      <c r="CY251" s="1179" cm="1" t="str">
        <f t="array" ref="CY251:CY251">AE251</f>
        <v>0</v>
      </c>
      <c r="CZ251" s="1179" cm="1" t="str">
        <f t="array" ref="CZ251:CZ251">AF251</f>
        <v>0</v>
      </c>
      <c r="DA251" s="1176"/>
      <c r="DB251" s="1176"/>
    </row>
    <row s="1619" customFormat="1" customHeight="1" ht="16.5">
      <c r="A252" s="1619"/>
      <c r="B252" s="1619"/>
      <c r="C252" s="1619"/>
      <c r="D252" s="1619"/>
      <c r="E252" s="794">
        <v>17.1</v>
      </c>
      <c r="F252" s="919" cm="1" t="str">
        <f t="array" ref="F252:F252">OFFSET(G252,-1,-1)</f>
        <v>1</v>
      </c>
      <c r="G252" s="1619"/>
      <c r="H252" s="1619"/>
      <c r="I252" s="1619"/>
      <c r="J252" s="1619"/>
      <c r="K252" s="1619"/>
      <c r="L252" s="919" cm="1" t="str">
        <f t="array" ref="L252:L252">OFFSET(M252,-1,-1)</f>
        <v>false</v>
      </c>
      <c r="M252" s="1619"/>
      <c r="N252" s="1619"/>
      <c r="O252" s="1619"/>
      <c r="P252" s="1619"/>
      <c r="Q252" s="1619"/>
      <c r="R252" s="1619"/>
      <c r="S252" s="156" cm="1" t="str">
        <f t="array" ref="S252:S252">OFFSET(T252,-1,-1)</f>
        <v>true</v>
      </c>
      <c r="T252" s="156">
        <f>AD252&lt;&gt;"38.0"</f>
        <v>1</v>
      </c>
      <c r="U252" s="816">
        <f>AND(S252,IF(ISBLANK(T252),TRUE,T252))</f>
        <v>1</v>
      </c>
      <c r="V252" s="1619"/>
      <c r="W252" s="1619"/>
      <c r="X252" s="156" t="str">
        <f>'Топливо 4.4'!$AE$247&amp;'Топливо 4.4'!$AF$247</f>
        <v>Уголь бурыйБ</v>
      </c>
      <c r="Y252" s="1619"/>
      <c r="Z252" s="1619"/>
      <c r="AA252" s="1619"/>
      <c r="AB252" s="1483"/>
      <c r="AC252" s="1619"/>
      <c r="AD252" s="157" t="s">
        <v>918</v>
      </c>
      <c r="AE252" s="971" cm="1" t="str">
        <f t="array" ref="AE252:AE252">IF(ISBLANK('Топливо 4.4'!$AE$247),"",'Топливо 4.4'!$AE$247)</f>
        <v>Уголь бурый</v>
      </c>
      <c r="AF252" s="622" cm="1" t="str">
        <f t="array" ref="AF252:AF252">IF(ISBLANK('Топливо 4.4'!$AF$247),"",'Топливо 4.4'!$AF$247)</f>
        <v>Б</v>
      </c>
      <c r="AG252" s="856" t="s">
        <v>805</v>
      </c>
      <c r="AH252" s="1768"/>
      <c r="AI252" s="1766"/>
      <c r="AJ252" s="1766"/>
      <c r="AK252" s="1766"/>
      <c r="AL252" s="859">
        <f>AM252+AN252</f>
        <v>0</v>
      </c>
      <c r="AM252" s="1766"/>
      <c r="AN252" s="1766"/>
      <c r="AO252" s="859">
        <f>AP252+AQ252</f>
        <v>0</v>
      </c>
      <c r="AP252" s="976"/>
      <c r="AQ252" s="976"/>
      <c r="AR252" s="859">
        <f>AS252+AT252</f>
        <v>0</v>
      </c>
      <c r="AS252" s="976"/>
      <c r="AT252" s="976"/>
      <c r="AU252" s="859">
        <f>AV252+AW252</f>
        <v>0</v>
      </c>
      <c r="AV252" s="976"/>
      <c r="AW252" s="976"/>
      <c r="AX252" s="859">
        <f>AY252+AZ252</f>
        <v>0</v>
      </c>
      <c r="AY252" s="976"/>
      <c r="AZ252" s="976"/>
      <c r="BA252" s="859">
        <f>BB252+BC252</f>
        <v>0</v>
      </c>
      <c r="BB252" s="1766"/>
      <c r="BC252" s="1766"/>
      <c r="BD252" s="859">
        <f>BE252+BF252</f>
        <v>0</v>
      </c>
      <c r="BE252" s="1766"/>
      <c r="BF252" s="1766"/>
      <c r="BG252" s="859">
        <f>BH252+BI252</f>
        <v>0</v>
      </c>
      <c r="BH252" s="1766"/>
      <c r="BI252" s="1766"/>
      <c r="BJ252" s="859">
        <f>BK252+BL252</f>
        <v>0</v>
      </c>
      <c r="BK252" s="1766"/>
      <c r="BL252" s="1766"/>
      <c r="BM252" s="859">
        <f>BN252+BO252</f>
        <v>0</v>
      </c>
      <c r="BN252" s="1766"/>
      <c r="BO252" s="1766"/>
      <c r="BP252" s="859">
        <f>BQ252+BR252</f>
        <v>0</v>
      </c>
      <c r="BQ252" s="976"/>
      <c r="BR252" s="976"/>
      <c r="BS252" s="859">
        <f>BT252+BU252</f>
        <v>0</v>
      </c>
      <c r="BT252" s="976"/>
      <c r="BU252" s="976"/>
      <c r="BV252" s="859">
        <f>BW252+BX252</f>
        <v>0</v>
      </c>
      <c r="BW252" s="976"/>
      <c r="BX252" s="976"/>
      <c r="BY252" s="859">
        <f>BZ252+CA252</f>
        <v>0</v>
      </c>
      <c r="BZ252" s="976"/>
      <c r="CA252" s="976"/>
      <c r="CB252" s="859">
        <f>CC252+CD252</f>
        <v>0</v>
      </c>
      <c r="CC252" s="976"/>
      <c r="CD252" s="976"/>
      <c r="CE252" s="859">
        <f>CF252+CG252</f>
        <v>0</v>
      </c>
      <c r="CF252" s="1766"/>
      <c r="CG252" s="1766"/>
      <c r="CH252" s="859">
        <f>CI252+CJ252</f>
        <v>0</v>
      </c>
      <c r="CI252" s="1766"/>
      <c r="CJ252" s="1766"/>
      <c r="CK252" s="859">
        <f>CL252+CM252</f>
        <v>0</v>
      </c>
      <c r="CL252" s="1766"/>
      <c r="CM252" s="1766"/>
      <c r="CN252" s="859">
        <f>CO252+CP252</f>
        <v>0</v>
      </c>
      <c r="CO252" s="1766"/>
      <c r="CP252" s="1766"/>
      <c r="CQ252" s="859">
        <f>CR252+CS252</f>
        <v>0</v>
      </c>
      <c r="CR252" s="1766"/>
      <c r="CS252" s="1766"/>
      <c r="CT252" s="1730"/>
      <c r="CU252" s="1619"/>
      <c r="CV252" s="1619"/>
      <c r="CW252" s="1170" t="s">
        <v>866</v>
      </c>
      <c r="CX252" s="1175" t="s">
        <v>787</v>
      </c>
      <c r="CY252" s="1179" cm="1" t="str">
        <f t="array" ref="CY252:CY252">AE252</f>
        <v>Уголь бурый</v>
      </c>
      <c r="CZ252" s="1179" cm="1" t="str">
        <f t="array" ref="CZ252:CZ252">AF252</f>
        <v>Б</v>
      </c>
      <c r="DA252" s="1176"/>
      <c r="DB252" s="1176"/>
    </row>
    <row s="1619" customFormat="1" customHeight="1" ht="15" hidden="1">
      <c r="A253" s="1440"/>
      <c r="B253" s="924"/>
      <c r="C253" s="1440"/>
      <c r="D253" s="1440"/>
      <c r="E253" s="794">
        <v>0</v>
      </c>
      <c r="F253" s="919" cm="1" t="str">
        <f t="array" ref="F253:F253">OFFSET(G253,-1,-1)</f>
        <v>1</v>
      </c>
      <c r="G253" s="962"/>
      <c r="H253" s="962"/>
      <c r="I253" s="962"/>
      <c r="J253" s="962"/>
      <c r="K253" s="962"/>
      <c r="L253" s="919" cm="1" t="str">
        <f t="array" ref="L253:L253">OFFSET(M253,-1,-1)</f>
        <v>false</v>
      </c>
      <c r="M253" s="962"/>
      <c r="N253" s="962"/>
      <c r="O253" s="962"/>
      <c r="P253" s="962"/>
      <c r="Q253" s="962"/>
      <c r="R253" s="1440"/>
      <c r="S253" s="156" cm="1" t="str">
        <f t="array" ref="S253:S253">OFFSET(T253,-1,-1)</f>
        <v>true</v>
      </c>
      <c r="T253" s="1440"/>
      <c r="U253" s="816">
        <f>AND(S253,IF(ISBLANK(T253),TRUE,T253))</f>
        <v>1</v>
      </c>
      <c r="V253" s="1440"/>
      <c r="W253" s="1440"/>
      <c r="X253" s="970" t="str">
        <f>"{                  
         funcDyn: 'msg1',
         blok: 'blok_2',
         wsCross: 'Топливо 4.4',
         linkFormula: 'AE-AE#AF-AF',
         levelDyn: "&amp;Y139&amp;"
}"</f>
        <v>{                  
         funcDyn: 'msg1',
         blok: 'blok_2',
         wsCross: 'Топливо 4.4',
         linkFormula: 'AE-AE#AF-AF',
         levelDyn: 1
}</v>
      </c>
      <c r="Y253" s="1440"/>
      <c r="Z253" s="1440"/>
      <c r="AA253" s="817"/>
      <c r="AB253" s="1483"/>
      <c r="AC253" s="1619"/>
      <c r="AD253" s="973"/>
      <c r="AE253" s="972" t="s">
        <v>235</v>
      </c>
      <c r="AF253" s="871"/>
      <c r="AG253" s="856"/>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91"/>
      <c r="CU253" s="1619"/>
      <c r="CV253" s="1619"/>
      <c r="CW253" s="1170" t="str">
        <f>IF(AND(ISNUMBER(VALUE(TRIM(SUBSTITUTE(AD253,".","")))),TRIM(SUBSTITUTE(AD253,".",""))&lt;&gt;""),"P"&amp;SUBSTITUTE(AD253,".",""),"")</f>
        <v/>
      </c>
      <c r="CX253" s="1175"/>
      <c r="CY253" s="1175"/>
      <c r="CZ253" s="1175"/>
      <c r="DA253" s="1176"/>
      <c r="DB253" s="1176"/>
    </row>
    <row s="1619" customFormat="1" customHeight="1" ht="29.25" hidden="1">
      <c r="A254" s="1440"/>
      <c r="B254" s="924"/>
      <c r="C254" s="1440"/>
      <c r="D254" s="1440"/>
      <c r="E254" s="794">
        <v>30</v>
      </c>
      <c r="F254" s="919" cm="1" t="str">
        <f t="array" ref="F254:F254">OFFSET(G254,-1,-1)</f>
        <v>1</v>
      </c>
      <c r="G254" s="962"/>
      <c r="H254" s="962"/>
      <c r="I254" s="962"/>
      <c r="J254" s="962"/>
      <c r="K254" s="962"/>
      <c r="L254" s="919" cm="1" t="str">
        <f t="array" ref="L254:L254">OFFSET(M254,-1,-1)</f>
        <v>false</v>
      </c>
      <c r="M254" s="962"/>
      <c r="N254" s="962"/>
      <c r="O254" s="962"/>
      <c r="P254" s="962"/>
      <c r="Q254" s="962"/>
      <c r="R254" s="919" t="s">
        <v>725</v>
      </c>
      <c r="S254" s="156" cm="1" t="str">
        <f t="array" ref="S254:S254">OFFSET(T254,-1,-1)</f>
        <v>true</v>
      </c>
      <c r="T254" s="156" cm="1" t="str">
        <f t="array" ref="T254:T254">L254</f>
        <v>false</v>
      </c>
      <c r="U254" s="816">
        <f>AND(S254,IF(ISBLANK(T254),TRUE,T254))</f>
        <v>0</v>
      </c>
      <c r="V254" s="1440"/>
      <c r="W254" s="1440"/>
      <c r="X254" s="1440"/>
      <c r="Y254" s="1440"/>
      <c r="Z254" s="1440"/>
      <c r="AA254" s="817"/>
      <c r="AB254" s="1483"/>
      <c r="AC254" s="1619"/>
      <c r="AD254" s="170" t="s">
        <v>868</v>
      </c>
      <c r="AE254" s="1499" t="s">
        <v>869</v>
      </c>
      <c r="AF254" s="160"/>
      <c r="AG254" s="856" t="s">
        <v>805</v>
      </c>
      <c r="AH254" s="857">
        <f>SUM(AH255:AH257)</f>
        <v>0</v>
      </c>
      <c r="AI254" s="857">
        <f>SUM(AI255:AI257)</f>
        <v>0</v>
      </c>
      <c r="AJ254" s="857">
        <f>SUM(AJ255:AJ257)</f>
        <v>0</v>
      </c>
      <c r="AK254" s="857">
        <f>SUM(AK255:AK257)</f>
        <v>0</v>
      </c>
      <c r="AL254" s="857">
        <f>SUM(AL255:AL257)</f>
        <v>0</v>
      </c>
      <c r="AM254" s="857">
        <f>SUM(AM255:AM257)</f>
        <v>0</v>
      </c>
      <c r="AN254" s="857">
        <f>SUM(AN255:AN257)</f>
        <v>0</v>
      </c>
      <c r="AO254" s="857">
        <f>SUM(AO255:AO257)</f>
        <v>0</v>
      </c>
      <c r="AP254" s="857">
        <f>SUM(AP255:AP257)</f>
        <v>0</v>
      </c>
      <c r="AQ254" s="857">
        <f>SUM(AQ255:AQ257)</f>
        <v>0</v>
      </c>
      <c r="AR254" s="857">
        <f>SUM(AR255:AR257)</f>
        <v>0</v>
      </c>
      <c r="AS254" s="857">
        <f>SUM(AS255:AS257)</f>
        <v>0</v>
      </c>
      <c r="AT254" s="857">
        <f>SUM(AT255:AT257)</f>
        <v>0</v>
      </c>
      <c r="AU254" s="857">
        <f>SUM(AU255:AU257)</f>
        <v>0</v>
      </c>
      <c r="AV254" s="857">
        <f>SUM(AV255:AV257)</f>
        <v>0</v>
      </c>
      <c r="AW254" s="857">
        <f>SUM(AW255:AW257)</f>
        <v>0</v>
      </c>
      <c r="AX254" s="857">
        <f>SUM(AX255:AX257)</f>
        <v>0</v>
      </c>
      <c r="AY254" s="857">
        <f>SUM(AY255:AY257)</f>
        <v>0</v>
      </c>
      <c r="AZ254" s="857">
        <f>SUM(AZ255:AZ257)</f>
        <v>0</v>
      </c>
      <c r="BA254" s="857">
        <f>SUM(BA255:BA257)</f>
        <v>0</v>
      </c>
      <c r="BB254" s="857">
        <f>SUM(BB255:BB257)</f>
        <v>0</v>
      </c>
      <c r="BC254" s="857">
        <f>SUM(BC255:BC257)</f>
        <v>0</v>
      </c>
      <c r="BD254" s="857">
        <f>SUM(BD255:BD257)</f>
        <v>0</v>
      </c>
      <c r="BE254" s="857">
        <f>SUM(BE255:BE257)</f>
        <v>0</v>
      </c>
      <c r="BF254" s="857">
        <f>SUM(BF255:BF257)</f>
        <v>0</v>
      </c>
      <c r="BG254" s="857">
        <f>SUM(BG255:BG257)</f>
        <v>0</v>
      </c>
      <c r="BH254" s="857">
        <f>SUM(BH255:BH257)</f>
        <v>0</v>
      </c>
      <c r="BI254" s="857">
        <f>SUM(BI255:BI257)</f>
        <v>0</v>
      </c>
      <c r="BJ254" s="857">
        <f>SUM(BJ255:BJ257)</f>
        <v>0</v>
      </c>
      <c r="BK254" s="857">
        <f>SUM(BK255:BK257)</f>
        <v>0</v>
      </c>
      <c r="BL254" s="857">
        <f>SUM(BL255:BL257)</f>
        <v>0</v>
      </c>
      <c r="BM254" s="857">
        <f>SUM(BM255:BM257)</f>
        <v>0</v>
      </c>
      <c r="BN254" s="857">
        <f>SUM(BN255:BN257)</f>
        <v>0</v>
      </c>
      <c r="BO254" s="857">
        <f>SUM(BO255:BO257)</f>
        <v>0</v>
      </c>
      <c r="BP254" s="857">
        <f>SUM(BP255:BP257)</f>
        <v>0</v>
      </c>
      <c r="BQ254" s="857">
        <f>SUM(BQ255:BQ257)</f>
        <v>0</v>
      </c>
      <c r="BR254" s="857">
        <f>SUM(BR255:BR257)</f>
        <v>0</v>
      </c>
      <c r="BS254" s="857">
        <f>SUM(BS255:BS257)</f>
        <v>0</v>
      </c>
      <c r="BT254" s="857">
        <f>SUM(BT255:BT257)</f>
        <v>0</v>
      </c>
      <c r="BU254" s="857">
        <f>SUM(BU255:BU257)</f>
        <v>0</v>
      </c>
      <c r="BV254" s="857">
        <f>SUM(BV255:BV257)</f>
        <v>0</v>
      </c>
      <c r="BW254" s="857">
        <f>SUM(BW255:BW257)</f>
        <v>0</v>
      </c>
      <c r="BX254" s="857">
        <f>SUM(BX255:BX257)</f>
        <v>0</v>
      </c>
      <c r="BY254" s="857">
        <f>SUM(BY255:BY257)</f>
        <v>0</v>
      </c>
      <c r="BZ254" s="857">
        <f>SUM(BZ255:BZ257)</f>
        <v>0</v>
      </c>
      <c r="CA254" s="857">
        <f>SUM(CA255:CA257)</f>
        <v>0</v>
      </c>
      <c r="CB254" s="857">
        <f>SUM(CB255:CB257)</f>
        <v>0</v>
      </c>
      <c r="CC254" s="857">
        <f>SUM(CC255:CC257)</f>
        <v>0</v>
      </c>
      <c r="CD254" s="857">
        <f>SUM(CD255:CD257)</f>
        <v>0</v>
      </c>
      <c r="CE254" s="857">
        <f>SUM(CE255:CE257)</f>
        <v>0</v>
      </c>
      <c r="CF254" s="857">
        <f>SUM(CF255:CF257)</f>
        <v>0</v>
      </c>
      <c r="CG254" s="857">
        <f>SUM(CG255:CG257)</f>
        <v>0</v>
      </c>
      <c r="CH254" s="857">
        <f>SUM(CH255:CH257)</f>
        <v>0</v>
      </c>
      <c r="CI254" s="857">
        <f>SUM(CI255:CI257)</f>
        <v>0</v>
      </c>
      <c r="CJ254" s="857">
        <f>SUM(CJ255:CJ257)</f>
        <v>0</v>
      </c>
      <c r="CK254" s="857">
        <f>SUM(CK255:CK257)</f>
        <v>0</v>
      </c>
      <c r="CL254" s="857">
        <f>SUM(CL255:CL257)</f>
        <v>0</v>
      </c>
      <c r="CM254" s="857">
        <f>SUM(CM255:CM257)</f>
        <v>0</v>
      </c>
      <c r="CN254" s="857">
        <f>SUM(CN255:CN257)</f>
        <v>0</v>
      </c>
      <c r="CO254" s="857">
        <f>SUM(CO255:CO257)</f>
        <v>0</v>
      </c>
      <c r="CP254" s="857">
        <f>SUM(CP255:CP257)</f>
        <v>0</v>
      </c>
      <c r="CQ254" s="857">
        <f>SUM(CQ255:CQ257)</f>
        <v>0</v>
      </c>
      <c r="CR254" s="857">
        <f>SUM(CR255:CR257)</f>
        <v>0</v>
      </c>
      <c r="CS254" s="857">
        <f>SUM(CS255:CS257)</f>
        <v>0</v>
      </c>
      <c r="CT254" s="73"/>
      <c r="CU254" s="1619"/>
      <c r="CV254" s="1619"/>
      <c r="CW254" s="1170" t="s">
        <v>870</v>
      </c>
      <c r="CX254" s="1175"/>
      <c r="CY254" s="1175"/>
      <c r="CZ254" s="1175"/>
      <c r="DA254" s="1176"/>
      <c r="DB254" s="1176"/>
    </row>
    <row s="1619" customFormat="1" customHeight="1" ht="16.5" hidden="1">
      <c r="E255" s="794">
        <v>17.1</v>
      </c>
      <c r="F255" s="919" cm="1" t="str">
        <f t="array" ref="F255:F255">OFFSET(G255,-1,-1)</f>
        <v>1</v>
      </c>
      <c r="L255" s="919" cm="1" t="str">
        <f t="array" ref="L255:L255">OFFSET(M255,-1,-1)</f>
        <v>false</v>
      </c>
      <c r="R255" s="919" t="s">
        <v>725</v>
      </c>
      <c r="S255" s="156" cm="1" t="str">
        <f t="array" ref="S255:S255">OFFSET(T255,-1,-1)</f>
        <v>true</v>
      </c>
      <c r="T255" s="156">
        <f>AND(L255,AD255&lt;&gt;"39.0")</f>
        <v>0</v>
      </c>
      <c r="U255" s="816">
        <f>AND(S255,IF(ISBLANK(T255),TRUE,T255))</f>
        <v>0</v>
      </c>
      <c r="X255" s="156" t="s">
        <v>233</v>
      </c>
      <c r="AB255" s="1483"/>
      <c r="AD255" s="157" t="s">
        <v>871</v>
      </c>
      <c r="AE255" s="971"/>
      <c r="AF255" s="622"/>
      <c r="AG255" s="856" t="s">
        <v>805</v>
      </c>
      <c r="AH255" s="86">
        <f>AH$163*AH251</f>
        <v>0</v>
      </c>
      <c r="AI255" s="87">
        <f>AI$163*AI251</f>
        <v>0</v>
      </c>
      <c r="AJ255" s="87">
        <f>AJ$163*AJ251</f>
        <v>0</v>
      </c>
      <c r="AK255" s="87">
        <f>AK$163*AK251</f>
        <v>0</v>
      </c>
      <c r="AL255" s="859">
        <f>AM255+AN255</f>
        <v>0</v>
      </c>
      <c r="AM255" s="87">
        <f>AM$163*AM251</f>
        <v>0</v>
      </c>
      <c r="AN255" s="87">
        <f>AN$163*AN251</f>
        <v>0</v>
      </c>
      <c r="AO255" s="859">
        <f>AP255+AQ255</f>
        <v>0</v>
      </c>
      <c r="AP255" s="976">
        <f>AP$163*AP251</f>
        <v>0</v>
      </c>
      <c r="AQ255" s="976">
        <f>AQ$163*AQ251</f>
        <v>0</v>
      </c>
      <c r="AR255" s="859">
        <f>AS255+AT255</f>
        <v>0</v>
      </c>
      <c r="AS255" s="976">
        <f>AS$163*AS251</f>
        <v>0</v>
      </c>
      <c r="AT255" s="976">
        <f>AT$163*AT251</f>
        <v>0</v>
      </c>
      <c r="AU255" s="859">
        <f>AV255+AW255</f>
        <v>0</v>
      </c>
      <c r="AV255" s="976">
        <f>AV$163*AV251</f>
        <v>0</v>
      </c>
      <c r="AW255" s="976">
        <f>AW$163*AW251</f>
        <v>0</v>
      </c>
      <c r="AX255" s="859">
        <f>AY255+AZ255</f>
        <v>0</v>
      </c>
      <c r="AY255" s="976">
        <f>AY$163*AY251</f>
        <v>0</v>
      </c>
      <c r="AZ255" s="976">
        <f>AZ$163*AZ251</f>
        <v>0</v>
      </c>
      <c r="BA255" s="859">
        <f>BB255+BC255</f>
        <v>0</v>
      </c>
      <c r="BB255" s="87">
        <f>BB$163*BB251</f>
        <v>0</v>
      </c>
      <c r="BC255" s="87">
        <f>BC$163*BC251</f>
        <v>0</v>
      </c>
      <c r="BD255" s="859">
        <f>BE255+BF255</f>
        <v>0</v>
      </c>
      <c r="BE255" s="87">
        <f>BE$163*BE251</f>
        <v>0</v>
      </c>
      <c r="BF255" s="87">
        <f>BF$163*BF251</f>
        <v>0</v>
      </c>
      <c r="BG255" s="859">
        <f>BH255+BI255</f>
        <v>0</v>
      </c>
      <c r="BH255" s="87">
        <f>BH$163*BH251</f>
        <v>0</v>
      </c>
      <c r="BI255" s="87">
        <f>BI$163*BI251</f>
        <v>0</v>
      </c>
      <c r="BJ255" s="859">
        <f>BK255+BL255</f>
        <v>0</v>
      </c>
      <c r="BK255" s="87">
        <f>BK$163*BK251</f>
        <v>0</v>
      </c>
      <c r="BL255" s="87">
        <f>BL$163*BL251</f>
        <v>0</v>
      </c>
      <c r="BM255" s="859">
        <f>BN255+BO255</f>
        <v>0</v>
      </c>
      <c r="BN255" s="87">
        <f>BN$163*BN251</f>
        <v>0</v>
      </c>
      <c r="BO255" s="87">
        <f>BO$163*BO251</f>
        <v>0</v>
      </c>
      <c r="BP255" s="859">
        <f>BQ255+BR255</f>
        <v>0</v>
      </c>
      <c r="BQ255" s="976">
        <f>BQ$163*BQ251</f>
        <v>0</v>
      </c>
      <c r="BR255" s="976">
        <f>BR$163*BR251</f>
        <v>0</v>
      </c>
      <c r="BS255" s="859">
        <f>BT255+BU255</f>
        <v>0</v>
      </c>
      <c r="BT255" s="976">
        <f>BT$163*BT251</f>
        <v>0</v>
      </c>
      <c r="BU255" s="976">
        <f>BU$163*BU251</f>
        <v>0</v>
      </c>
      <c r="BV255" s="859">
        <f>BW255+BX255</f>
        <v>0</v>
      </c>
      <c r="BW255" s="976">
        <f>BW$163*BW251</f>
        <v>0</v>
      </c>
      <c r="BX255" s="976">
        <f>BX$163*BX251</f>
        <v>0</v>
      </c>
      <c r="BY255" s="859">
        <f>BZ255+CA255</f>
        <v>0</v>
      </c>
      <c r="BZ255" s="976">
        <f>BZ$163*BZ251</f>
        <v>0</v>
      </c>
      <c r="CA255" s="976">
        <f>CA$163*CA251</f>
        <v>0</v>
      </c>
      <c r="CB255" s="859">
        <f>CC255+CD255</f>
        <v>0</v>
      </c>
      <c r="CC255" s="976">
        <f>CC$163*CC251</f>
        <v>0</v>
      </c>
      <c r="CD255" s="976">
        <f>CD$163*CD251</f>
        <v>0</v>
      </c>
      <c r="CE255" s="859">
        <f>CF255+CG255</f>
        <v>0</v>
      </c>
      <c r="CF255" s="87">
        <f>CF$163*CF251</f>
        <v>0</v>
      </c>
      <c r="CG255" s="87">
        <f>CG$163*CG251</f>
        <v>0</v>
      </c>
      <c r="CH255" s="859">
        <f>CI255+CJ255</f>
        <v>0</v>
      </c>
      <c r="CI255" s="87">
        <f>CI$163*CI251</f>
        <v>0</v>
      </c>
      <c r="CJ255" s="87">
        <f>CJ$163*CJ251</f>
        <v>0</v>
      </c>
      <c r="CK255" s="859">
        <f>CL255+CM255</f>
        <v>0</v>
      </c>
      <c r="CL255" s="87">
        <f>CL$163*CL251</f>
        <v>0</v>
      </c>
      <c r="CM255" s="87">
        <f>CM$163*CM251</f>
        <v>0</v>
      </c>
      <c r="CN255" s="859">
        <f>CO255+CP255</f>
        <v>0</v>
      </c>
      <c r="CO255" s="87">
        <f>CO$163*CO251</f>
        <v>0</v>
      </c>
      <c r="CP255" s="87">
        <f>CP$163*CP251</f>
        <v>0</v>
      </c>
      <c r="CQ255" s="859">
        <f>CR255+CS255</f>
        <v>0</v>
      </c>
      <c r="CR255" s="87">
        <f>CR$163*CR251</f>
        <v>0</v>
      </c>
      <c r="CS255" s="87">
        <f>CS$163*CS251</f>
        <v>0</v>
      </c>
      <c r="CT255" s="73"/>
      <c r="CW255" s="1170" t="s">
        <v>870</v>
      </c>
      <c r="CX255" s="1175" t="s">
        <v>787</v>
      </c>
      <c r="CY255" s="1179" cm="1" t="str">
        <f t="array" ref="CY255:CY255">AE255</f>
        <v>0</v>
      </c>
      <c r="CZ255" s="1179" cm="1" t="str">
        <f t="array" ref="CZ255:CZ255">AF255</f>
        <v>0</v>
      </c>
      <c r="DA255" s="1176"/>
      <c r="DB255" s="1176"/>
    </row>
    <row s="1619" customFormat="1" customHeight="1" ht="16.5" hidden="1">
      <c r="A256" s="1619"/>
      <c r="B256" s="1619"/>
      <c r="C256" s="1619"/>
      <c r="D256" s="1619"/>
      <c r="E256" s="794">
        <v>17.1</v>
      </c>
      <c r="F256" s="919" cm="1" t="str">
        <f t="array" ref="F256:F256">OFFSET(G256,-1,-1)</f>
        <v>1</v>
      </c>
      <c r="G256" s="1619"/>
      <c r="H256" s="1619"/>
      <c r="I256" s="1619"/>
      <c r="J256" s="1619"/>
      <c r="K256" s="1619"/>
      <c r="L256" s="919" cm="1" t="str">
        <f t="array" ref="L256:L256">OFFSET(M256,-1,-1)</f>
        <v>false</v>
      </c>
      <c r="M256" s="1619"/>
      <c r="N256" s="1619"/>
      <c r="O256" s="1619"/>
      <c r="P256" s="1619"/>
      <c r="Q256" s="1619"/>
      <c r="R256" s="919" t="s">
        <v>725</v>
      </c>
      <c r="S256" s="156" cm="1" t="str">
        <f t="array" ref="S256:S256">OFFSET(T256,-1,-1)</f>
        <v>true</v>
      </c>
      <c r="T256" s="156">
        <f>AND(L256,AD256&lt;&gt;"39.0")</f>
        <v>0</v>
      </c>
      <c r="U256" s="816">
        <f>AND(S256,IF(ISBLANK(T256),TRUE,T256))</f>
        <v>0</v>
      </c>
      <c r="V256" s="1619"/>
      <c r="W256" s="1619"/>
      <c r="X256" s="156" t="str">
        <f>'Топливо 4.4'!$AE$252&amp;'Топливо 4.4'!$AF$252</f>
        <v>Уголь бурыйБ</v>
      </c>
      <c r="Y256" s="1619"/>
      <c r="Z256" s="1619"/>
      <c r="AA256" s="1619"/>
      <c r="AB256" s="1483"/>
      <c r="AC256" s="1619"/>
      <c r="AD256" s="157" t="s">
        <v>919</v>
      </c>
      <c r="AE256" s="971" cm="1" t="str">
        <f t="array" ref="AE256:AE256">IF(ISBLANK('Топливо 4.4'!$AE$252),"",'Топливо 4.4'!$AE$252)</f>
        <v>Уголь бурый</v>
      </c>
      <c r="AF256" s="622" cm="1" t="str">
        <f t="array" ref="AF256:AF256">IF(ISBLANK('Топливо 4.4'!$AF$252),"",'Топливо 4.4'!$AF$252)</f>
        <v>Б</v>
      </c>
      <c r="AG256" s="856" t="s">
        <v>805</v>
      </c>
      <c r="AH256" s="86">
        <f>AH$163*AH252</f>
        <v>0</v>
      </c>
      <c r="AI256" s="87">
        <f>AI$163*AI252</f>
        <v>0</v>
      </c>
      <c r="AJ256" s="87">
        <f>AJ$163*AJ252</f>
        <v>0</v>
      </c>
      <c r="AK256" s="87">
        <f>AK$163*AK252</f>
        <v>0</v>
      </c>
      <c r="AL256" s="859">
        <f>AM256+AN256</f>
        <v>0</v>
      </c>
      <c r="AM256" s="87">
        <f>AM$163*AM252</f>
        <v>0</v>
      </c>
      <c r="AN256" s="87">
        <f>AN$163*AN252</f>
        <v>0</v>
      </c>
      <c r="AO256" s="859">
        <f>AP256+AQ256</f>
        <v>0</v>
      </c>
      <c r="AP256" s="976">
        <f>AP$163*AP252</f>
        <v>0</v>
      </c>
      <c r="AQ256" s="976">
        <f>AQ$163*AQ252</f>
        <v>0</v>
      </c>
      <c r="AR256" s="859">
        <f>AS256+AT256</f>
        <v>0</v>
      </c>
      <c r="AS256" s="976">
        <f>AS$163*AS252</f>
        <v>0</v>
      </c>
      <c r="AT256" s="976">
        <f>AT$163*AT252</f>
        <v>0</v>
      </c>
      <c r="AU256" s="859">
        <f>AV256+AW256</f>
        <v>0</v>
      </c>
      <c r="AV256" s="976">
        <f>AV$163*AV252</f>
        <v>0</v>
      </c>
      <c r="AW256" s="976">
        <f>AW$163*AW252</f>
        <v>0</v>
      </c>
      <c r="AX256" s="859">
        <f>AY256+AZ256</f>
        <v>0</v>
      </c>
      <c r="AY256" s="976">
        <f>AY$163*AY252</f>
        <v>0</v>
      </c>
      <c r="AZ256" s="976">
        <f>AZ$163*AZ252</f>
        <v>0</v>
      </c>
      <c r="BA256" s="859">
        <f>BB256+BC256</f>
        <v>0</v>
      </c>
      <c r="BB256" s="87">
        <f>BB$163*BB252</f>
        <v>0</v>
      </c>
      <c r="BC256" s="87">
        <f>BC$163*BC252</f>
        <v>0</v>
      </c>
      <c r="BD256" s="859">
        <f>BE256+BF256</f>
        <v>0</v>
      </c>
      <c r="BE256" s="87">
        <f>BE$163*BE252</f>
        <v>0</v>
      </c>
      <c r="BF256" s="87">
        <f>BF$163*BF252</f>
        <v>0</v>
      </c>
      <c r="BG256" s="859">
        <f>BH256+BI256</f>
        <v>0</v>
      </c>
      <c r="BH256" s="87">
        <f>BH$163*BH252</f>
        <v>0</v>
      </c>
      <c r="BI256" s="87">
        <f>BI$163*BI252</f>
        <v>0</v>
      </c>
      <c r="BJ256" s="859">
        <f>BK256+BL256</f>
        <v>0</v>
      </c>
      <c r="BK256" s="87">
        <f>BK$163*BK252</f>
        <v>0</v>
      </c>
      <c r="BL256" s="87">
        <f>BL$163*BL252</f>
        <v>0</v>
      </c>
      <c r="BM256" s="859">
        <f>BN256+BO256</f>
        <v>0</v>
      </c>
      <c r="BN256" s="87">
        <f>BN$163*BN252</f>
        <v>0</v>
      </c>
      <c r="BO256" s="87">
        <f>BO$163*BO252</f>
        <v>0</v>
      </c>
      <c r="BP256" s="859">
        <f>BQ256+BR256</f>
        <v>0</v>
      </c>
      <c r="BQ256" s="976">
        <f>BQ$163*BQ252</f>
        <v>0</v>
      </c>
      <c r="BR256" s="976">
        <f>BR$163*BR252</f>
        <v>0</v>
      </c>
      <c r="BS256" s="859">
        <f>BT256+BU256</f>
        <v>0</v>
      </c>
      <c r="BT256" s="976">
        <f>BT$163*BT252</f>
        <v>0</v>
      </c>
      <c r="BU256" s="976">
        <f>BU$163*BU252</f>
        <v>0</v>
      </c>
      <c r="BV256" s="859">
        <f>BW256+BX256</f>
        <v>0</v>
      </c>
      <c r="BW256" s="976">
        <f>BW$163*BW252</f>
        <v>0</v>
      </c>
      <c r="BX256" s="976">
        <f>BX$163*BX252</f>
        <v>0</v>
      </c>
      <c r="BY256" s="859">
        <f>BZ256+CA256</f>
        <v>0</v>
      </c>
      <c r="BZ256" s="976">
        <f>BZ$163*BZ252</f>
        <v>0</v>
      </c>
      <c r="CA256" s="976">
        <f>CA$163*CA252</f>
        <v>0</v>
      </c>
      <c r="CB256" s="859">
        <f>CC256+CD256</f>
        <v>0</v>
      </c>
      <c r="CC256" s="976">
        <f>CC$163*CC252</f>
        <v>0</v>
      </c>
      <c r="CD256" s="976">
        <f>CD$163*CD252</f>
        <v>0</v>
      </c>
      <c r="CE256" s="859">
        <f>CF256+CG256</f>
        <v>0</v>
      </c>
      <c r="CF256" s="87">
        <f>CF$163*CF252</f>
        <v>0</v>
      </c>
      <c r="CG256" s="87">
        <f>CG$163*CG252</f>
        <v>0</v>
      </c>
      <c r="CH256" s="859">
        <f>CI256+CJ256</f>
        <v>0</v>
      </c>
      <c r="CI256" s="87">
        <f>CI$163*CI252</f>
        <v>0</v>
      </c>
      <c r="CJ256" s="87">
        <f>CJ$163*CJ252</f>
        <v>0</v>
      </c>
      <c r="CK256" s="859">
        <f>CL256+CM256</f>
        <v>0</v>
      </c>
      <c r="CL256" s="87">
        <f>CL$163*CL252</f>
        <v>0</v>
      </c>
      <c r="CM256" s="87">
        <f>CM$163*CM252</f>
        <v>0</v>
      </c>
      <c r="CN256" s="859">
        <f>CO256+CP256</f>
        <v>0</v>
      </c>
      <c r="CO256" s="87">
        <f>CO$163*CO252</f>
        <v>0</v>
      </c>
      <c r="CP256" s="87">
        <f>CP$163*CP252</f>
        <v>0</v>
      </c>
      <c r="CQ256" s="859">
        <f>CR256+CS256</f>
        <v>0</v>
      </c>
      <c r="CR256" s="87">
        <f>CR$163*CR252</f>
        <v>0</v>
      </c>
      <c r="CS256" s="87">
        <f>CS$163*CS252</f>
        <v>0</v>
      </c>
      <c r="CT256" s="73"/>
      <c r="CU256" s="1619"/>
      <c r="CV256" s="1619"/>
      <c r="CW256" s="1170" t="s">
        <v>870</v>
      </c>
      <c r="CX256" s="1175" t="s">
        <v>787</v>
      </c>
      <c r="CY256" s="1179" cm="1" t="str">
        <f t="array" ref="CY256:CY256">AE256</f>
        <v>Уголь бурый</v>
      </c>
      <c r="CZ256" s="1179" cm="1" t="str">
        <f t="array" ref="CZ256:CZ256">AF256</f>
        <v>Б</v>
      </c>
      <c r="DA256" s="1176"/>
      <c r="DB256" s="1176"/>
    </row>
    <row s="1619" customFormat="1" customHeight="1" ht="15" hidden="1">
      <c r="A257" s="1440"/>
      <c r="B257" s="924"/>
      <c r="C257" s="1440"/>
      <c r="D257" s="1440"/>
      <c r="E257" s="794">
        <v>0</v>
      </c>
      <c r="F257" s="919" cm="1" t="str">
        <f t="array" ref="F257:F257">OFFSET(G257,-1,-1)</f>
        <v>1</v>
      </c>
      <c r="G257" s="962"/>
      <c r="H257" s="962"/>
      <c r="I257" s="962"/>
      <c r="J257" s="962"/>
      <c r="K257" s="962"/>
      <c r="L257" s="919" cm="1" t="str">
        <f t="array" ref="L257:L257">OFFSET(M257,-1,-1)</f>
        <v>false</v>
      </c>
      <c r="M257" s="962"/>
      <c r="N257" s="962"/>
      <c r="O257" s="962"/>
      <c r="P257" s="962"/>
      <c r="Q257" s="962"/>
      <c r="R257" s="1440"/>
      <c r="S257" s="156" cm="1" t="str">
        <f t="array" ref="S257:S257">OFFSET(T257,-1,-1)</f>
        <v>true</v>
      </c>
      <c r="T257" s="1440"/>
      <c r="U257" s="816">
        <f>AND(S257,IF(ISBLANK(T257),TRUE,T257))</f>
        <v>1</v>
      </c>
      <c r="V257" s="1440"/>
      <c r="W257" s="1440"/>
      <c r="X257" s="970" t="str">
        <f>"{                  
         funcDyn: 'msg1',
         blok: 'blok_2',
         wsCross: 'Топливо 4.4',
         linkFormula: 'AE-AE#AF-AF',
         levelDyn: "&amp;Y139&amp;"
}"</f>
        <v>{                  
         funcDyn: 'msg1',
         blok: 'blok_2',
         wsCross: 'Топливо 4.4',
         linkFormula: 'AE-AE#AF-AF',
         levelDyn: 1
}</v>
      </c>
      <c r="Y257" s="1440"/>
      <c r="Z257" s="1440"/>
      <c r="AA257" s="817"/>
      <c r="AB257" s="1484"/>
      <c r="AC257" s="1619"/>
      <c r="AD257" s="973"/>
      <c r="AE257" s="972" t="s">
        <v>235</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1"/>
      <c r="CU257" s="1619"/>
      <c r="CV257" s="1619"/>
      <c r="CW257" s="1170" t="str">
        <f>IF(AND(ISNUMBER(VALUE(TRIM(SUBSTITUTE(AD257,".","")))),TRIM(SUBSTITUTE(AD257,".",""))&lt;&gt;""),"P"&amp;SUBSTITUTE(AD257,".",""),"")</f>
        <v/>
      </c>
      <c r="CX257" s="1175"/>
      <c r="CY257" s="1175"/>
      <c r="CZ257" s="1175"/>
      <c r="DA257" s="1176"/>
      <c r="DB257" s="1176"/>
    </row>
    <row s="1619" customFormat="1" customHeight="1" ht="16.5">
      <c r="A258" s="1440"/>
      <c r="B258" s="924"/>
      <c r="C258" s="1440"/>
      <c r="D258" s="1440"/>
      <c r="E258" s="794">
        <v>17.1</v>
      </c>
      <c r="F258" s="919" cm="1" t="str">
        <f t="array" ref="F258:F258">OFFSET(G258,-1,-1)</f>
        <v>1</v>
      </c>
      <c r="G258" s="962"/>
      <c r="H258" s="962"/>
      <c r="I258" s="962"/>
      <c r="J258" s="962"/>
      <c r="K258" s="962"/>
      <c r="L258" s="919" cm="1" t="str">
        <f t="array" ref="L258:L258">OFFSET(M258,-1,-1)</f>
        <v>false</v>
      </c>
      <c r="M258" s="962"/>
      <c r="N258" s="962"/>
      <c r="O258" s="962"/>
      <c r="P258" s="962"/>
      <c r="Q258" s="962"/>
      <c r="R258" s="1440"/>
      <c r="S258" s="156" cm="1" t="str">
        <f t="array" ref="S258:S258">OFFSET(T258,-1,-1)</f>
        <v>true</v>
      </c>
      <c r="T258" s="1440"/>
      <c r="U258" s="816">
        <f>AND(S258,IF(ISBLANK(T258),TRUE,T258))</f>
        <v>1</v>
      </c>
      <c r="V258" s="1440"/>
      <c r="W258" s="1440"/>
      <c r="X258" s="1440"/>
      <c r="Y258" s="1440"/>
      <c r="Z258" s="1440"/>
      <c r="AA258" s="817"/>
      <c r="AB258" s="1523" t="s">
        <v>872</v>
      </c>
      <c r="AC258" s="1619"/>
      <c r="AD258" s="170" t="s">
        <v>873</v>
      </c>
      <c r="AE258" s="1499" t="s">
        <v>874</v>
      </c>
      <c r="AF258" s="160"/>
      <c r="AG258" s="856" t="s">
        <v>805</v>
      </c>
      <c r="AH258" s="857">
        <f>SUM(AH262:AH264)</f>
        <v>0</v>
      </c>
      <c r="AI258" s="857">
        <f>SUM(AI262:AI264)</f>
        <v>0</v>
      </c>
      <c r="AJ258" s="857">
        <f>SUM(AJ262:AJ264)</f>
        <v>0</v>
      </c>
      <c r="AK258" s="857">
        <f>SUM(AK262:AK264)</f>
        <v>0</v>
      </c>
      <c r="AL258" s="857">
        <f>SUM(AL262:AL264)</f>
        <v>4485.9999935</v>
      </c>
      <c r="AM258" s="857">
        <f>SUM(AM262:AM264)</f>
        <v>3353.0394112</v>
      </c>
      <c r="AN258" s="857">
        <f>SUM(AN262:AN264)</f>
        <v>1132.9605823</v>
      </c>
      <c r="AO258" s="857">
        <f>SUM(AO262:AO264)</f>
        <v>4735.998484</v>
      </c>
      <c r="AP258" s="857">
        <f>SUM(AP262:AP264)</f>
        <v>3539.8995968</v>
      </c>
      <c r="AQ258" s="857">
        <f>SUM(AQ262:AQ264)</f>
        <v>1196.0988872</v>
      </c>
      <c r="AR258" s="857">
        <f>SUM(AR262:AR264)</f>
        <v>4914.9996015</v>
      </c>
      <c r="AS258" s="857">
        <f>SUM(AS262:AS264)</f>
        <v>3673.6931328</v>
      </c>
      <c r="AT258" s="857">
        <f>SUM(AT262:AT264)</f>
        <v>1241.3064687</v>
      </c>
      <c r="AU258" s="857">
        <f>SUM(AU262:AU264)</f>
        <v>5100.9992955</v>
      </c>
      <c r="AV258" s="857">
        <f>SUM(AV262:AV264)</f>
        <v>3812.7177216</v>
      </c>
      <c r="AW258" s="857">
        <f>SUM(AW262:AW264)</f>
        <v>1288.2815739</v>
      </c>
      <c r="AX258" s="857">
        <f>SUM(AX262:AX264)</f>
        <v>5295.0043105</v>
      </c>
      <c r="AY258" s="857">
        <f>SUM(AY262:AY264)</f>
        <v>3957.7258496</v>
      </c>
      <c r="AZ258" s="857">
        <f>SUM(AZ262:AZ264)</f>
        <v>1337.2784609</v>
      </c>
      <c r="BA258" s="857">
        <f>SUM(BA262:BA264)</f>
        <v>0</v>
      </c>
      <c r="BB258" s="857">
        <f>SUM(BB262:BB264)</f>
        <v>0</v>
      </c>
      <c r="BC258" s="857">
        <f>SUM(BC262:BC264)</f>
        <v>0</v>
      </c>
      <c r="BD258" s="857">
        <f>SUM(BD262:BD264)</f>
        <v>0</v>
      </c>
      <c r="BE258" s="857">
        <f>SUM(BE262:BE264)</f>
        <v>0</v>
      </c>
      <c r="BF258" s="857">
        <f>SUM(BF262:BF264)</f>
        <v>0</v>
      </c>
      <c r="BG258" s="857">
        <f>SUM(BG262:BG264)</f>
        <v>0</v>
      </c>
      <c r="BH258" s="857">
        <f>SUM(BH262:BH264)</f>
        <v>0</v>
      </c>
      <c r="BI258" s="857">
        <f>SUM(BI262:BI264)</f>
        <v>0</v>
      </c>
      <c r="BJ258" s="857">
        <f>SUM(BJ262:BJ264)</f>
        <v>0</v>
      </c>
      <c r="BK258" s="857">
        <f>SUM(BK262:BK264)</f>
        <v>0</v>
      </c>
      <c r="BL258" s="857">
        <f>SUM(BL262:BL264)</f>
        <v>0</v>
      </c>
      <c r="BM258" s="857">
        <f>SUM(BM262:BM264)</f>
        <v>0</v>
      </c>
      <c r="BN258" s="857">
        <f>SUM(BN262:BN264)</f>
        <v>0</v>
      </c>
      <c r="BO258" s="857">
        <f>SUM(BO262:BO264)</f>
        <v>0</v>
      </c>
      <c r="BP258" s="857">
        <f>SUM(BP262:BP264)</f>
        <v>3879.0440814893</v>
      </c>
      <c r="BQ258" s="857">
        <f>SUM(BQ262:BQ264)</f>
        <v>2899.37309448543</v>
      </c>
      <c r="BR258" s="857">
        <f>SUM(BR262:BR264)</f>
        <v>979.670987003866</v>
      </c>
      <c r="BS258" s="857">
        <f>SUM(BS262:BS264)</f>
        <v>4049.72384966631</v>
      </c>
      <c r="BT258" s="857">
        <f>SUM(BT262:BT264)</f>
        <v>3026.94687741482</v>
      </c>
      <c r="BU258" s="857">
        <f>SUM(BU262:BU264)</f>
        <v>1022.77697225149</v>
      </c>
      <c r="BV258" s="857">
        <f>SUM(BV262:BV264)</f>
        <v>4159.06399719003</v>
      </c>
      <c r="BW258" s="857">
        <f>SUM(BW262:BW264)</f>
        <v>3108.6726519143</v>
      </c>
      <c r="BX258" s="857">
        <f>SUM(BX262:BX264)</f>
        <v>1050.39134527573</v>
      </c>
      <c r="BY258" s="857">
        <f>SUM(BY262:BY264)</f>
        <v>4271.35876361082</v>
      </c>
      <c r="BZ258" s="857">
        <f>SUM(BZ262:BZ264)</f>
        <v>3192.60684229013</v>
      </c>
      <c r="CA258" s="857">
        <f>SUM(CA262:CA264)</f>
        <v>1078.75192132069</v>
      </c>
      <c r="CB258" s="857">
        <f>SUM(CB262:CB264)</f>
        <v>4386.68514225501</v>
      </c>
      <c r="CC258" s="857">
        <f>SUM(CC262:CC264)</f>
        <v>3278.80699683878</v>
      </c>
      <c r="CD258" s="857">
        <f>SUM(CD262:CD264)</f>
        <v>1107.87814541623</v>
      </c>
      <c r="CE258" s="857">
        <f>SUM(CE262:CE264)</f>
        <v>0</v>
      </c>
      <c r="CF258" s="857">
        <f>SUM(CF262:CF264)</f>
        <v>0</v>
      </c>
      <c r="CG258" s="857">
        <f>SUM(CG262:CG264)</f>
        <v>0</v>
      </c>
      <c r="CH258" s="857">
        <f>SUM(CH262:CH264)</f>
        <v>0</v>
      </c>
      <c r="CI258" s="857">
        <f>SUM(CI262:CI264)</f>
        <v>0</v>
      </c>
      <c r="CJ258" s="857">
        <f>SUM(CJ262:CJ264)</f>
        <v>0</v>
      </c>
      <c r="CK258" s="857">
        <f>SUM(CK262:CK264)</f>
        <v>0</v>
      </c>
      <c r="CL258" s="857">
        <f>SUM(CL262:CL264)</f>
        <v>0</v>
      </c>
      <c r="CM258" s="857">
        <f>SUM(CM262:CM264)</f>
        <v>0</v>
      </c>
      <c r="CN258" s="857">
        <f>SUM(CN262:CN264)</f>
        <v>0</v>
      </c>
      <c r="CO258" s="857">
        <f>SUM(CO262:CO264)</f>
        <v>0</v>
      </c>
      <c r="CP258" s="857">
        <f>SUM(CP262:CP264)</f>
        <v>0</v>
      </c>
      <c r="CQ258" s="857">
        <f>SUM(CQ262:CQ264)</f>
        <v>0</v>
      </c>
      <c r="CR258" s="857">
        <f>SUM(CR262:CR264)</f>
        <v>0</v>
      </c>
      <c r="CS258" s="857">
        <f>SUM(CS262:CS264)</f>
        <v>0</v>
      </c>
      <c r="CT258" s="1730"/>
      <c r="CU258" s="1619"/>
      <c r="CV258" s="1619"/>
      <c r="CW258" s="1170" t="s">
        <v>875</v>
      </c>
      <c r="CX258" s="1175"/>
      <c r="CY258" s="1175"/>
      <c r="CZ258" s="1175"/>
      <c r="DA258" s="1176"/>
      <c r="DB258" s="1176"/>
    </row>
    <row s="1619" customFormat="1" customHeight="1" ht="16.5" hidden="1">
      <c r="A259" s="1440"/>
      <c r="B259" s="924"/>
      <c r="C259" s="1440"/>
      <c r="D259" s="1440"/>
      <c r="E259" s="794">
        <v>17.1</v>
      </c>
      <c r="F259" s="919" cm="1" t="str">
        <f t="array" ref="F259:F259">OFFSET(G259,-1,-1)</f>
        <v>1</v>
      </c>
      <c r="G259" s="736" t="str">
        <f>IF(J139="вода+пар","топливо","")</f>
        <v/>
      </c>
      <c r="H259" s="962"/>
      <c r="I259" s="962"/>
      <c r="J259" s="962"/>
      <c r="K259" s="962"/>
      <c r="L259" s="919" cm="1" t="str">
        <f t="array" ref="L259:L259">OFFSET(M259,-1,-1)</f>
        <v>false</v>
      </c>
      <c r="M259" s="962"/>
      <c r="N259" s="962"/>
      <c r="O259" s="962"/>
      <c r="P259" s="962"/>
      <c r="Q259" s="962"/>
      <c r="R259" s="919" t="s">
        <v>725</v>
      </c>
      <c r="S259" s="156" cm="1" t="str">
        <f t="array" ref="S259:S259">OFFSET(T259,-1,-1)</f>
        <v>true</v>
      </c>
      <c r="T259" s="156" cm="1" t="str">
        <f t="array" ref="T259:T259">L259</f>
        <v>false</v>
      </c>
      <c r="U259" s="816">
        <f>AND(S259,IF(ISBLANK(T259),TRUE,T259))</f>
        <v>0</v>
      </c>
      <c r="V259" s="1440"/>
      <c r="W259" s="1440"/>
      <c r="X259" s="1440"/>
      <c r="Y259" s="1440"/>
      <c r="Z259" s="1440"/>
      <c r="AA259" s="817"/>
      <c r="AB259" s="1524"/>
      <c r="AC259" s="1619"/>
      <c r="AD259" s="157" t="str">
        <f>AD258&amp;".0"</f>
        <v>40.0</v>
      </c>
      <c r="AE259" s="1501" t="s">
        <v>736</v>
      </c>
      <c r="AF259" s="1502"/>
      <c r="AG259" s="856" t="s">
        <v>805</v>
      </c>
      <c r="AH259" s="86">
        <f>AH$163*AH258</f>
        <v>0</v>
      </c>
      <c r="AI259" s="87">
        <f>AI$163*AI258</f>
        <v>0</v>
      </c>
      <c r="AJ259" s="87">
        <f>AJ$163*AJ258</f>
        <v>0</v>
      </c>
      <c r="AK259" s="87">
        <f>AK$163*AK258</f>
        <v>0</v>
      </c>
      <c r="AL259" s="859">
        <f>AM259+AN259</f>
        <v>4485.9999935</v>
      </c>
      <c r="AM259" s="87">
        <f>AM$163*AM258</f>
        <v>3353.0394112</v>
      </c>
      <c r="AN259" s="87">
        <f>AN$163*AN258</f>
        <v>1132.9605823</v>
      </c>
      <c r="AO259" s="859">
        <f>AP259+AQ259</f>
        <v>4735.998484</v>
      </c>
      <c r="AP259" s="976">
        <f>AP$163*AP258</f>
        <v>3539.8995968</v>
      </c>
      <c r="AQ259" s="976">
        <f>AQ$163*AQ258</f>
        <v>1196.0988872</v>
      </c>
      <c r="AR259" s="859">
        <f>AS259+AT259</f>
        <v>4914.9996015</v>
      </c>
      <c r="AS259" s="976">
        <f>AS$163*AS258</f>
        <v>3673.6931328</v>
      </c>
      <c r="AT259" s="976">
        <f>AT$163*AT258</f>
        <v>1241.3064687</v>
      </c>
      <c r="AU259" s="859">
        <f>AV259+AW259</f>
        <v>5100.9992955</v>
      </c>
      <c r="AV259" s="976">
        <f>AV$163*AV258</f>
        <v>3812.7177216</v>
      </c>
      <c r="AW259" s="976">
        <f>AW$163*AW258</f>
        <v>1288.2815739</v>
      </c>
      <c r="AX259" s="859">
        <f>AY259+AZ259</f>
        <v>5295.0043105</v>
      </c>
      <c r="AY259" s="976">
        <f>AY$163*AY258</f>
        <v>3957.7258496</v>
      </c>
      <c r="AZ259" s="976">
        <f>AZ$163*AZ258</f>
        <v>1337.2784609</v>
      </c>
      <c r="BA259" s="859">
        <f>BB259+BC259</f>
        <v>0</v>
      </c>
      <c r="BB259" s="87">
        <f>BB$163*BB258</f>
        <v>0</v>
      </c>
      <c r="BC259" s="87">
        <f>BC$163*BC258</f>
        <v>0</v>
      </c>
      <c r="BD259" s="859">
        <f>BE259+BF259</f>
        <v>0</v>
      </c>
      <c r="BE259" s="87">
        <f>BE$163*BE258</f>
        <v>0</v>
      </c>
      <c r="BF259" s="87">
        <f>BF$163*BF258</f>
        <v>0</v>
      </c>
      <c r="BG259" s="859">
        <f>BH259+BI259</f>
        <v>0</v>
      </c>
      <c r="BH259" s="87">
        <f>BH$163*BH258</f>
        <v>0</v>
      </c>
      <c r="BI259" s="87">
        <f>BI$163*BI258</f>
        <v>0</v>
      </c>
      <c r="BJ259" s="859">
        <f>BK259+BL259</f>
        <v>0</v>
      </c>
      <c r="BK259" s="87">
        <f>BK$163*BK258</f>
        <v>0</v>
      </c>
      <c r="BL259" s="87">
        <f>BL$163*BL258</f>
        <v>0</v>
      </c>
      <c r="BM259" s="859">
        <f>BN259+BO259</f>
        <v>0</v>
      </c>
      <c r="BN259" s="87">
        <f>BN$163*BN258</f>
        <v>0</v>
      </c>
      <c r="BO259" s="87">
        <f>BO$163*BO258</f>
        <v>0</v>
      </c>
      <c r="BP259" s="859">
        <f>BQ259+BR259</f>
        <v>3879.0440814893</v>
      </c>
      <c r="BQ259" s="976">
        <f>BQ$163*BQ258</f>
        <v>2899.37309448543</v>
      </c>
      <c r="BR259" s="976">
        <f>BR$163*BR258</f>
        <v>979.670987003866</v>
      </c>
      <c r="BS259" s="859">
        <f>BT259+BU259</f>
        <v>4049.72384966631</v>
      </c>
      <c r="BT259" s="976">
        <f>BT$163*BT258</f>
        <v>3026.94687741482</v>
      </c>
      <c r="BU259" s="976">
        <f>BU$163*BU258</f>
        <v>1022.77697225149</v>
      </c>
      <c r="BV259" s="859">
        <f>BW259+BX259</f>
        <v>4159.06399719003</v>
      </c>
      <c r="BW259" s="976">
        <f>BW$163*BW258</f>
        <v>3108.6726519143</v>
      </c>
      <c r="BX259" s="976">
        <f>BX$163*BX258</f>
        <v>1050.39134527573</v>
      </c>
      <c r="BY259" s="859">
        <f>BZ259+CA259</f>
        <v>4271.35876361082</v>
      </c>
      <c r="BZ259" s="976">
        <f>BZ$163*BZ258</f>
        <v>3192.60684229013</v>
      </c>
      <c r="CA259" s="976">
        <f>CA$163*CA258</f>
        <v>1078.75192132069</v>
      </c>
      <c r="CB259" s="859">
        <f>CC259+CD259</f>
        <v>4386.68514225501</v>
      </c>
      <c r="CC259" s="976">
        <f>CC$163*CC258</f>
        <v>3278.80699683878</v>
      </c>
      <c r="CD259" s="976">
        <f>CD$163*CD258</f>
        <v>1107.87814541623</v>
      </c>
      <c r="CE259" s="859">
        <f>CF259+CG259</f>
        <v>0</v>
      </c>
      <c r="CF259" s="87">
        <f>CF$163*CF258</f>
        <v>0</v>
      </c>
      <c r="CG259" s="87">
        <f>CG$163*CG258</f>
        <v>0</v>
      </c>
      <c r="CH259" s="859">
        <f>CI259+CJ259</f>
        <v>0</v>
      </c>
      <c r="CI259" s="87">
        <f>CI$163*CI258</f>
        <v>0</v>
      </c>
      <c r="CJ259" s="87">
        <f>CJ$163*CJ258</f>
        <v>0</v>
      </c>
      <c r="CK259" s="859">
        <f>CL259+CM259</f>
        <v>0</v>
      </c>
      <c r="CL259" s="87">
        <f>CL$163*CL258</f>
        <v>0</v>
      </c>
      <c r="CM259" s="87">
        <f>CM$163*CM258</f>
        <v>0</v>
      </c>
      <c r="CN259" s="859">
        <f>CO259+CP259</f>
        <v>0</v>
      </c>
      <c r="CO259" s="87">
        <f>CO$163*CO258</f>
        <v>0</v>
      </c>
      <c r="CP259" s="87">
        <f>CP$163*CP258</f>
        <v>0</v>
      </c>
      <c r="CQ259" s="859">
        <f>CR259+CS259</f>
        <v>0</v>
      </c>
      <c r="CR259" s="87">
        <f>CR$163*CR258</f>
        <v>0</v>
      </c>
      <c r="CS259" s="87">
        <f>CS$163*CS258</f>
        <v>0</v>
      </c>
      <c r="CT259" s="73"/>
      <c r="CU259" s="1619"/>
      <c r="CV259" s="1619"/>
      <c r="CW259" s="1170" t="s">
        <v>876</v>
      </c>
      <c r="CX259" s="1175"/>
      <c r="CY259" s="1175"/>
      <c r="CZ259" s="1175"/>
      <c r="DA259" s="1176"/>
      <c r="DB259" s="1176"/>
    </row>
    <row s="1619" customFormat="1" customHeight="1" ht="16.5">
      <c r="A260" s="1440"/>
      <c r="B260" s="924"/>
      <c r="C260" s="1440"/>
      <c r="D260" s="1440"/>
      <c r="E260" s="794">
        <v>17.1</v>
      </c>
      <c r="F260" s="919" cm="1" t="str">
        <f t="array" ref="F260:F260">OFFSET(G260,-1,-1)</f>
        <v>1</v>
      </c>
      <c r="G260" s="736" t="str">
        <f>IF(J139="вода","топливо","")</f>
        <v>топливо</v>
      </c>
      <c r="H260" s="962"/>
      <c r="I260" s="962"/>
      <c r="J260" s="962"/>
      <c r="K260" s="962"/>
      <c r="L260" s="919" cm="1" t="str">
        <f t="array" ref="L260:L260">OFFSET(M260,-1,-1)</f>
        <v>false</v>
      </c>
      <c r="M260" s="962"/>
      <c r="N260" s="962"/>
      <c r="O260" s="962"/>
      <c r="P260" s="962"/>
      <c r="Q260" s="962"/>
      <c r="R260" s="1440"/>
      <c r="S260" s="156" cm="1" t="str">
        <f t="array" ref="S260:S260">OFFSET(T260,-1,-1)</f>
        <v>true</v>
      </c>
      <c r="T260" s="1440"/>
      <c r="U260" s="816">
        <f>AND(S260,IF(ISBLANK(T260),TRUE,T260))</f>
        <v>1</v>
      </c>
      <c r="V260" s="1440"/>
      <c r="W260" s="1440"/>
      <c r="X260" s="1440"/>
      <c r="Y260" s="1440"/>
      <c r="Z260" s="1440"/>
      <c r="AA260" s="817"/>
      <c r="AB260" s="1524"/>
      <c r="AC260" s="1619"/>
      <c r="AD260" s="974" t="s">
        <v>877</v>
      </c>
      <c r="AE260" s="1503" t="s">
        <v>595</v>
      </c>
      <c r="AF260" s="1504"/>
      <c r="AG260" s="1010" t="s">
        <v>805</v>
      </c>
      <c r="AH260" s="861">
        <f>AH259-AH261</f>
        <v>0</v>
      </c>
      <c r="AI260" s="861">
        <f>AI259-AI261</f>
        <v>0</v>
      </c>
      <c r="AJ260" s="861">
        <f>AJ259-AJ261</f>
        <v>0</v>
      </c>
      <c r="AK260" s="861">
        <f>AK259-AK261</f>
        <v>0</v>
      </c>
      <c r="AL260" s="861">
        <f>AL259-AL261</f>
        <v>4485.9999935</v>
      </c>
      <c r="AM260" s="861">
        <f>AM259-AM261</f>
        <v>3353.0394112</v>
      </c>
      <c r="AN260" s="861">
        <f>AN259-AN261</f>
        <v>1132.9605823</v>
      </c>
      <c r="AO260" s="861">
        <f>AO259-AO261</f>
        <v>4735.998484</v>
      </c>
      <c r="AP260" s="861">
        <f>AP259-AP261</f>
        <v>3539.8995968</v>
      </c>
      <c r="AQ260" s="861">
        <f>AQ259-AQ261</f>
        <v>1196.0988872</v>
      </c>
      <c r="AR260" s="861">
        <f>AR259-AR261</f>
        <v>4914.9996015</v>
      </c>
      <c r="AS260" s="861">
        <f>AS259-AS261</f>
        <v>3673.6931328</v>
      </c>
      <c r="AT260" s="861">
        <f>AT259-AT261</f>
        <v>1241.3064687</v>
      </c>
      <c r="AU260" s="861">
        <f>AU259-AU261</f>
        <v>5100.9992955</v>
      </c>
      <c r="AV260" s="861">
        <f>AV259-AV261</f>
        <v>3812.7177216</v>
      </c>
      <c r="AW260" s="861">
        <f>AW259-AW261</f>
        <v>1288.2815739</v>
      </c>
      <c r="AX260" s="861">
        <f>AX259-AX261</f>
        <v>5295.0043105</v>
      </c>
      <c r="AY260" s="861">
        <f>AY259-AY261</f>
        <v>3957.7258496</v>
      </c>
      <c r="AZ260" s="861">
        <f>AZ259-AZ261</f>
        <v>1337.2784609</v>
      </c>
      <c r="BA260" s="861">
        <f>BA259-BA261</f>
        <v>0</v>
      </c>
      <c r="BB260" s="861">
        <f>BB259-BB261</f>
        <v>0</v>
      </c>
      <c r="BC260" s="861">
        <f>BC259-BC261</f>
        <v>0</v>
      </c>
      <c r="BD260" s="861">
        <f>BD259-BD261</f>
        <v>0</v>
      </c>
      <c r="BE260" s="861">
        <f>BE259-BE261</f>
        <v>0</v>
      </c>
      <c r="BF260" s="861">
        <f>BF259-BF261</f>
        <v>0</v>
      </c>
      <c r="BG260" s="861">
        <f>BG259-BG261</f>
        <v>0</v>
      </c>
      <c r="BH260" s="861">
        <f>BH259-BH261</f>
        <v>0</v>
      </c>
      <c r="BI260" s="861">
        <f>BI259-BI261</f>
        <v>0</v>
      </c>
      <c r="BJ260" s="861">
        <f>BJ259-BJ261</f>
        <v>0</v>
      </c>
      <c r="BK260" s="861">
        <f>BK259-BK261</f>
        <v>0</v>
      </c>
      <c r="BL260" s="861">
        <f>BL259-BL261</f>
        <v>0</v>
      </c>
      <c r="BM260" s="861">
        <f>BM259-BM261</f>
        <v>0</v>
      </c>
      <c r="BN260" s="861">
        <f>BN259-BN261</f>
        <v>0</v>
      </c>
      <c r="BO260" s="861">
        <f>BO259-BO261</f>
        <v>0</v>
      </c>
      <c r="BP260" s="861">
        <f>BP259-BP261</f>
        <v>3879.0440814893</v>
      </c>
      <c r="BQ260" s="861">
        <f>BQ259-BQ261</f>
        <v>2899.37309448543</v>
      </c>
      <c r="BR260" s="861">
        <f>BR259-BR261</f>
        <v>979.670987003866</v>
      </c>
      <c r="BS260" s="861">
        <f>BS259-BS261</f>
        <v>4049.72384966631</v>
      </c>
      <c r="BT260" s="861">
        <f>BT259-BT261</f>
        <v>3026.94687741482</v>
      </c>
      <c r="BU260" s="861">
        <f>BU259-BU261</f>
        <v>1022.77697225149</v>
      </c>
      <c r="BV260" s="861">
        <f>BV259-BV261</f>
        <v>4159.06399719003</v>
      </c>
      <c r="BW260" s="861">
        <f>BW259-BW261</f>
        <v>3108.6726519143</v>
      </c>
      <c r="BX260" s="861">
        <f>BX259-BX261</f>
        <v>1050.39134527573</v>
      </c>
      <c r="BY260" s="861">
        <f>BY259-BY261</f>
        <v>4271.35876361082</v>
      </c>
      <c r="BZ260" s="861">
        <f>BZ259-BZ261</f>
        <v>3192.60684229013</v>
      </c>
      <c r="CA260" s="861">
        <f>CA259-CA261</f>
        <v>1078.75192132069</v>
      </c>
      <c r="CB260" s="861">
        <f>CB259-CB261</f>
        <v>4386.68514225501</v>
      </c>
      <c r="CC260" s="861">
        <f>CC259-CC261</f>
        <v>3278.80699683878</v>
      </c>
      <c r="CD260" s="861">
        <f>CD259-CD261</f>
        <v>1107.87814541623</v>
      </c>
      <c r="CE260" s="861">
        <f>CE259-CE261</f>
        <v>0</v>
      </c>
      <c r="CF260" s="861">
        <f>CF259-CF261</f>
        <v>0</v>
      </c>
      <c r="CG260" s="861">
        <f>CG259-CG261</f>
        <v>0</v>
      </c>
      <c r="CH260" s="861">
        <f>CH259-CH261</f>
        <v>0</v>
      </c>
      <c r="CI260" s="861">
        <f>CI259-CI261</f>
        <v>0</v>
      </c>
      <c r="CJ260" s="861">
        <f>CJ259-CJ261</f>
        <v>0</v>
      </c>
      <c r="CK260" s="861">
        <f>CK259-CK261</f>
        <v>0</v>
      </c>
      <c r="CL260" s="861">
        <f>CL259-CL261</f>
        <v>0</v>
      </c>
      <c r="CM260" s="861">
        <f>CM259-CM261</f>
        <v>0</v>
      </c>
      <c r="CN260" s="861">
        <f>CN259-CN261</f>
        <v>0</v>
      </c>
      <c r="CO260" s="861">
        <f>CO259-CO261</f>
        <v>0</v>
      </c>
      <c r="CP260" s="861">
        <f>CP259-CP261</f>
        <v>0</v>
      </c>
      <c r="CQ260" s="861">
        <f>CQ259-CQ261</f>
        <v>0</v>
      </c>
      <c r="CR260" s="861">
        <f>CR259-CR261</f>
        <v>0</v>
      </c>
      <c r="CS260" s="861">
        <f>CS259-CS261</f>
        <v>0</v>
      </c>
      <c r="CT260" s="1730"/>
      <c r="CU260" s="1619"/>
      <c r="CV260" s="1619"/>
      <c r="CW260" s="1170" t="s">
        <v>878</v>
      </c>
      <c r="CX260" s="1175"/>
      <c r="CY260" s="1175"/>
      <c r="CZ260" s="1175"/>
      <c r="DA260" s="1176"/>
      <c r="DB260" s="1176"/>
    </row>
    <row s="1619" customFormat="1" customHeight="1" ht="16.5">
      <c r="A261" s="1440"/>
      <c r="B261" s="924"/>
      <c r="C261" s="1440"/>
      <c r="D261" s="1440"/>
      <c r="E261" s="794">
        <v>17.1</v>
      </c>
      <c r="F261" s="919" cm="1" t="str">
        <f t="array" ref="F261:F261">OFFSET(G261,-1,-1)</f>
        <v>1</v>
      </c>
      <c r="G261" s="736" t="str">
        <f>IF(J139="пар","топливо","")</f>
        <v/>
      </c>
      <c r="H261" s="962"/>
      <c r="I261" s="962"/>
      <c r="J261" s="962"/>
      <c r="K261" s="962"/>
      <c r="L261" s="919" cm="1" t="str">
        <f t="array" ref="L261:L261">OFFSET(M261,-1,-1)</f>
        <v>false</v>
      </c>
      <c r="M261" s="962"/>
      <c r="N261" s="962"/>
      <c r="O261" s="962"/>
      <c r="P261" s="962"/>
      <c r="Q261" s="962"/>
      <c r="R261" s="1440"/>
      <c r="S261" s="156" cm="1" t="str">
        <f t="array" ref="S261:S261">OFFSET(T261,-1,-1)</f>
        <v>true</v>
      </c>
      <c r="T261" s="1440"/>
      <c r="U261" s="816">
        <f>AND(S261,IF(ISBLANK(T261),TRUE,T261))</f>
        <v>1</v>
      </c>
      <c r="V261" s="1440"/>
      <c r="W261" s="1440"/>
      <c r="X261" s="1440"/>
      <c r="Y261" s="1440"/>
      <c r="Z261" s="1440"/>
      <c r="AA261" s="817"/>
      <c r="AB261" s="1524"/>
      <c r="AC261" s="1619"/>
      <c r="AD261" s="974" t="s">
        <v>879</v>
      </c>
      <c r="AE261" s="1503" t="s">
        <v>597</v>
      </c>
      <c r="AF261" s="1504"/>
      <c r="AG261" s="1010" t="s">
        <v>805</v>
      </c>
      <c r="AH261" s="1779"/>
      <c r="AI261" s="1779"/>
      <c r="AJ261" s="1779"/>
      <c r="AK261" s="1779"/>
      <c r="AL261" s="1779"/>
      <c r="AM261" s="1779"/>
      <c r="AN261" s="1779"/>
      <c r="AO261" s="982"/>
      <c r="AP261" s="982"/>
      <c r="AQ261" s="982"/>
      <c r="AR261" s="982"/>
      <c r="AS261" s="982"/>
      <c r="AT261" s="982"/>
      <c r="AU261" s="982"/>
      <c r="AV261" s="982"/>
      <c r="AW261" s="982"/>
      <c r="AX261" s="982"/>
      <c r="AY261" s="982"/>
      <c r="AZ261" s="982"/>
      <c r="BA261" s="1779"/>
      <c r="BB261" s="1779"/>
      <c r="BC261" s="1779"/>
      <c r="BD261" s="1779"/>
      <c r="BE261" s="1779"/>
      <c r="BF261" s="1779"/>
      <c r="BG261" s="1779"/>
      <c r="BH261" s="1779"/>
      <c r="BI261" s="1779"/>
      <c r="BJ261" s="1779"/>
      <c r="BK261" s="1779"/>
      <c r="BL261" s="1779"/>
      <c r="BM261" s="1779"/>
      <c r="BN261" s="1779"/>
      <c r="BO261" s="1779"/>
      <c r="BP261" s="982"/>
      <c r="BQ261" s="982"/>
      <c r="BR261" s="982"/>
      <c r="BS261" s="982"/>
      <c r="BT261" s="982"/>
      <c r="BU261" s="982"/>
      <c r="BV261" s="982"/>
      <c r="BW261" s="982"/>
      <c r="BX261" s="982"/>
      <c r="BY261" s="982"/>
      <c r="BZ261" s="982"/>
      <c r="CA261" s="982"/>
      <c r="CB261" s="982"/>
      <c r="CC261" s="982"/>
      <c r="CD261" s="982"/>
      <c r="CE261" s="1779"/>
      <c r="CF261" s="1779"/>
      <c r="CG261" s="1779"/>
      <c r="CH261" s="1779"/>
      <c r="CI261" s="1779"/>
      <c r="CJ261" s="1779"/>
      <c r="CK261" s="1779"/>
      <c r="CL261" s="1779"/>
      <c r="CM261" s="1779"/>
      <c r="CN261" s="1779"/>
      <c r="CO261" s="1779"/>
      <c r="CP261" s="1779"/>
      <c r="CQ261" s="1779"/>
      <c r="CR261" s="1779"/>
      <c r="CS261" s="1779"/>
      <c r="CT261" s="1730"/>
      <c r="CU261" s="1619"/>
      <c r="CV261" s="1619"/>
      <c r="CW261" s="1170" t="s">
        <v>880</v>
      </c>
      <c r="CX261" s="1175"/>
      <c r="CY261" s="1175"/>
      <c r="CZ261" s="1175"/>
      <c r="DA261" s="1176"/>
      <c r="DB261" s="1176"/>
    </row>
    <row s="1619" customFormat="1" customHeight="1" ht="16.5" hidden="1">
      <c r="E262" s="794">
        <v>17.1</v>
      </c>
      <c r="F262" s="919" cm="1" t="str">
        <f t="array" ref="F262:F262">OFFSET(G262,-1,-1)</f>
        <v>1</v>
      </c>
      <c r="L262" s="919" cm="1" t="str">
        <f t="array" ref="L262:L262">OFFSET(M262,-1,-1)</f>
        <v>false</v>
      </c>
      <c r="S262" s="156" cm="1" t="str">
        <f t="array" ref="S262:S262">OFFSET(T262,-1,-1)</f>
        <v>true</v>
      </c>
      <c r="T262" s="156">
        <f>AD262&lt;&gt;"40.0"</f>
        <v>0</v>
      </c>
      <c r="U262" s="816">
        <f>AND(S262,IF(ISBLANK(T262),TRUE,T262))</f>
        <v>0</v>
      </c>
      <c r="X262" s="156" t="s">
        <v>233</v>
      </c>
      <c r="AB262" s="1524"/>
      <c r="AD262" s="157" t="s">
        <v>881</v>
      </c>
      <c r="AE262" s="971"/>
      <c r="AF262" s="622"/>
      <c r="AG262" s="856" t="s">
        <v>805</v>
      </c>
      <c r="AH262" s="857">
        <f>AH191+AH208+AH225+AH242+AH251</f>
        <v>0</v>
      </c>
      <c r="AI262" s="857">
        <f>AI191+AI208+AI225+AI242+AI251</f>
        <v>0</v>
      </c>
      <c r="AJ262" s="857">
        <f>AJ191+AJ208+AJ225+AJ242+AJ251</f>
        <v>0</v>
      </c>
      <c r="AK262" s="857">
        <f>AK191+AK208+AK225+AK242+AK251</f>
        <v>0</v>
      </c>
      <c r="AL262" s="857">
        <f>AL191+AL208+AL225+AL242+AL251</f>
        <v>0</v>
      </c>
      <c r="AM262" s="857">
        <f>AM191+AM208+AM225+AM242+AM251</f>
        <v>0</v>
      </c>
      <c r="AN262" s="857">
        <f>AN191+AN208+AN225+AN242+AN251</f>
        <v>0</v>
      </c>
      <c r="AO262" s="857">
        <f>AO191+AO208+AO225+AO242+AO251</f>
        <v>0</v>
      </c>
      <c r="AP262" s="857">
        <f>AP191+AP208+AP225+AP242+AP251</f>
        <v>0</v>
      </c>
      <c r="AQ262" s="857">
        <f>AQ191+AQ208+AQ225+AQ242+AQ251</f>
        <v>0</v>
      </c>
      <c r="AR262" s="857">
        <f>AR191+AR208+AR225+AR242+AR251</f>
        <v>0</v>
      </c>
      <c r="AS262" s="857">
        <f>AS191+AS208+AS225+AS242+AS251</f>
        <v>0</v>
      </c>
      <c r="AT262" s="857">
        <f>AT191+AT208+AT225+AT242+AT251</f>
        <v>0</v>
      </c>
      <c r="AU262" s="857">
        <f>AU191+AU208+AU225+AU242+AU251</f>
        <v>0</v>
      </c>
      <c r="AV262" s="857">
        <f>AV191+AV208+AV225+AV242+AV251</f>
        <v>0</v>
      </c>
      <c r="AW262" s="857">
        <f>AW191+AW208+AW225+AW242+AW251</f>
        <v>0</v>
      </c>
      <c r="AX262" s="857">
        <f>AX191+AX208+AX225+AX242+AX251</f>
        <v>0</v>
      </c>
      <c r="AY262" s="857">
        <f>AY191+AY208+AY225+AY242+AY251</f>
        <v>0</v>
      </c>
      <c r="AZ262" s="857">
        <f>AZ191+AZ208+AZ225+AZ242+AZ251</f>
        <v>0</v>
      </c>
      <c r="BA262" s="857">
        <f>BA191+BA208+BA225+BA242+BA251</f>
        <v>0</v>
      </c>
      <c r="BB262" s="857">
        <f>BB191+BB208+BB225+BB242+BB251</f>
        <v>0</v>
      </c>
      <c r="BC262" s="857">
        <f>BC191+BC208+BC225+BC242+BC251</f>
        <v>0</v>
      </c>
      <c r="BD262" s="857">
        <f>BD191+BD208+BD225+BD242+BD251</f>
        <v>0</v>
      </c>
      <c r="BE262" s="857">
        <f>BE191+BE208+BE225+BE242+BE251</f>
        <v>0</v>
      </c>
      <c r="BF262" s="857">
        <f>BF191+BF208+BF225+BF242+BF251</f>
        <v>0</v>
      </c>
      <c r="BG262" s="857">
        <f>BG191+BG208+BG225+BG242+BG251</f>
        <v>0</v>
      </c>
      <c r="BH262" s="857">
        <f>BH191+BH208+BH225+BH242+BH251</f>
        <v>0</v>
      </c>
      <c r="BI262" s="857">
        <f>BI191+BI208+BI225+BI242+BI251</f>
        <v>0</v>
      </c>
      <c r="BJ262" s="857">
        <f>BJ191+BJ208+BJ225+BJ242+BJ251</f>
        <v>0</v>
      </c>
      <c r="BK262" s="857">
        <f>BK191+BK208+BK225+BK242+BK251</f>
        <v>0</v>
      </c>
      <c r="BL262" s="857">
        <f>BL191+BL208+BL225+BL242+BL251</f>
        <v>0</v>
      </c>
      <c r="BM262" s="857">
        <f>BM191+BM208+BM225+BM242+BM251</f>
        <v>0</v>
      </c>
      <c r="BN262" s="857">
        <f>BN191+BN208+BN225+BN242+BN251</f>
        <v>0</v>
      </c>
      <c r="BO262" s="857">
        <f>BO191+BO208+BO225+BO242+BO251</f>
        <v>0</v>
      </c>
      <c r="BP262" s="857">
        <f>BP191+BP208+BP225+BP242+BP251</f>
        <v>0</v>
      </c>
      <c r="BQ262" s="857">
        <f>BQ191+BQ208+BQ225+BQ242+BQ251</f>
        <v>0</v>
      </c>
      <c r="BR262" s="857">
        <f>BR191+BR208+BR225+BR242+BR251</f>
        <v>0</v>
      </c>
      <c r="BS262" s="857">
        <f>BS191+BS208+BS225+BS242+BS251</f>
        <v>0</v>
      </c>
      <c r="BT262" s="857">
        <f>BT191+BT208+BT225+BT242+BT251</f>
        <v>0</v>
      </c>
      <c r="BU262" s="857">
        <f>BU191+BU208+BU225+BU242+BU251</f>
        <v>0</v>
      </c>
      <c r="BV262" s="857">
        <f>BV191+BV208+BV225+BV242+BV251</f>
        <v>0</v>
      </c>
      <c r="BW262" s="857">
        <f>BW191+BW208+BW225+BW242+BW251</f>
        <v>0</v>
      </c>
      <c r="BX262" s="857">
        <f>BX191+BX208+BX225+BX242+BX251</f>
        <v>0</v>
      </c>
      <c r="BY262" s="857">
        <f>BY191+BY208+BY225+BY242+BY251</f>
        <v>0</v>
      </c>
      <c r="BZ262" s="857">
        <f>BZ191+BZ208+BZ225+BZ242+BZ251</f>
        <v>0</v>
      </c>
      <c r="CA262" s="857">
        <f>CA191+CA208+CA225+CA242+CA251</f>
        <v>0</v>
      </c>
      <c r="CB262" s="857">
        <f>CB191+CB208+CB225+CB242+CB251</f>
        <v>0</v>
      </c>
      <c r="CC262" s="857">
        <f>CC191+CC208+CC225+CC242+CC251</f>
        <v>0</v>
      </c>
      <c r="CD262" s="857">
        <f>CD191+CD208+CD225+CD242+CD251</f>
        <v>0</v>
      </c>
      <c r="CE262" s="857">
        <f>CE191+CE208+CE225+CE242+CE251</f>
        <v>0</v>
      </c>
      <c r="CF262" s="857">
        <f>CF191+CF208+CF225+CF242+CF251</f>
        <v>0</v>
      </c>
      <c r="CG262" s="857">
        <f>CG191+CG208+CG225+CG242+CG251</f>
        <v>0</v>
      </c>
      <c r="CH262" s="857">
        <f>CH191+CH208+CH225+CH242+CH251</f>
        <v>0</v>
      </c>
      <c r="CI262" s="857">
        <f>CI191+CI208+CI225+CI242+CI251</f>
        <v>0</v>
      </c>
      <c r="CJ262" s="857">
        <f>CJ191+CJ208+CJ225+CJ242+CJ251</f>
        <v>0</v>
      </c>
      <c r="CK262" s="857">
        <f>CK191+CK208+CK225+CK242+CK251</f>
        <v>0</v>
      </c>
      <c r="CL262" s="857">
        <f>CL191+CL208+CL225+CL242+CL251</f>
        <v>0</v>
      </c>
      <c r="CM262" s="857">
        <f>CM191+CM208+CM225+CM242+CM251</f>
        <v>0</v>
      </c>
      <c r="CN262" s="857">
        <f>CN191+CN208+CN225+CN242+CN251</f>
        <v>0</v>
      </c>
      <c r="CO262" s="857">
        <f>CO191+CO208+CO225+CO242+CO251</f>
        <v>0</v>
      </c>
      <c r="CP262" s="857">
        <f>CP191+CP208+CP225+CP242+CP251</f>
        <v>0</v>
      </c>
      <c r="CQ262" s="857">
        <f>CQ191+CQ208+CQ225+CQ242+CQ251</f>
        <v>0</v>
      </c>
      <c r="CR262" s="857">
        <f>CR191+CR208+CR225+CR242+CR251</f>
        <v>0</v>
      </c>
      <c r="CS262" s="857">
        <f>CS191+CS208+CS225+CS242+CS251</f>
        <v>0</v>
      </c>
      <c r="CT262" s="73"/>
      <c r="CW262" s="1170" t="s">
        <v>882</v>
      </c>
      <c r="CX262" s="1175" t="s">
        <v>787</v>
      </c>
      <c r="CY262" s="1179" cm="1" t="str">
        <f t="array" ref="CY262:CY262">AE262</f>
        <v>0</v>
      </c>
      <c r="CZ262" s="1179" cm="1" t="str">
        <f t="array" ref="CZ262:CZ262">AF262</f>
        <v>0</v>
      </c>
      <c r="DA262" s="1176"/>
      <c r="DB262" s="1176"/>
    </row>
    <row s="1619" customFormat="1" customHeight="1" ht="16.5">
      <c r="A263" s="1619"/>
      <c r="B263" s="1619"/>
      <c r="C263" s="1619"/>
      <c r="D263" s="1619"/>
      <c r="E263" s="794">
        <v>17.1</v>
      </c>
      <c r="F263" s="919" cm="1" t="str">
        <f t="array" ref="F263:F263">OFFSET(G263,-1,-1)</f>
        <v>1</v>
      </c>
      <c r="G263" s="1619"/>
      <c r="H263" s="1619"/>
      <c r="I263" s="1619"/>
      <c r="J263" s="1619"/>
      <c r="K263" s="1619"/>
      <c r="L263" s="919" cm="1" t="str">
        <f t="array" ref="L263:L263">OFFSET(M263,-1,-1)</f>
        <v>false</v>
      </c>
      <c r="M263" s="1619"/>
      <c r="N263" s="1619"/>
      <c r="O263" s="1619"/>
      <c r="P263" s="1619"/>
      <c r="Q263" s="1619"/>
      <c r="R263" s="1619"/>
      <c r="S263" s="156" cm="1" t="str">
        <f t="array" ref="S263:S263">OFFSET(T263,-1,-1)</f>
        <v>true</v>
      </c>
      <c r="T263" s="156">
        <f>AD263&lt;&gt;"40.0"</f>
        <v>1</v>
      </c>
      <c r="U263" s="816">
        <f>AND(S263,IF(ISBLANK(T263),TRUE,T263))</f>
        <v>1</v>
      </c>
      <c r="V263" s="1619"/>
      <c r="W263" s="1619"/>
      <c r="X263" s="156" t="str">
        <f>'Топливо 4.4'!$AE$256&amp;'Топливо 4.4'!$AF$256</f>
        <v>Уголь бурыйБ</v>
      </c>
      <c r="Y263" s="1619"/>
      <c r="Z263" s="1619"/>
      <c r="AA263" s="1619"/>
      <c r="AB263" s="1524"/>
      <c r="AC263" s="1619"/>
      <c r="AD263" s="157" t="s">
        <v>920</v>
      </c>
      <c r="AE263" s="971" cm="1" t="str">
        <f t="array" ref="AE263:AE263">IF(ISBLANK('Топливо 4.4'!$AE$256),"",'Топливо 4.4'!$AE$256)</f>
        <v>Уголь бурый</v>
      </c>
      <c r="AF263" s="622" cm="1" t="str">
        <f t="array" ref="AF263:AF263">IF(ISBLANK('Топливо 4.4'!$AF$256),"",'Топливо 4.4'!$AF$256)</f>
        <v>Б</v>
      </c>
      <c r="AG263" s="856" t="s">
        <v>805</v>
      </c>
      <c r="AH263" s="857">
        <f>AH192+AH209+AH226+AH243+AH252</f>
        <v>0</v>
      </c>
      <c r="AI263" s="857">
        <f>AI192+AI209+AI226+AI243+AI252</f>
        <v>0</v>
      </c>
      <c r="AJ263" s="857">
        <f>AJ192+AJ209+AJ226+AJ243+AJ252</f>
        <v>0</v>
      </c>
      <c r="AK263" s="857">
        <f>AK192+AK209+AK226+AK243+AK252</f>
        <v>0</v>
      </c>
      <c r="AL263" s="857">
        <f>AL192+AL209+AL226+AL243+AL252</f>
        <v>4485.9999935</v>
      </c>
      <c r="AM263" s="857">
        <f>AM192+AM209+AM226+AM243+AM252</f>
        <v>3353.0394112</v>
      </c>
      <c r="AN263" s="857">
        <f>AN192+AN209+AN226+AN243+AN252</f>
        <v>1132.9605823</v>
      </c>
      <c r="AO263" s="857">
        <f>AO192+AO209+AO226+AO243+AO252</f>
        <v>4735.998484</v>
      </c>
      <c r="AP263" s="857">
        <f>AP192+AP209+AP226+AP243+AP252</f>
        <v>3539.8995968</v>
      </c>
      <c r="AQ263" s="857">
        <f>AQ192+AQ209+AQ226+AQ243+AQ252</f>
        <v>1196.0988872</v>
      </c>
      <c r="AR263" s="857">
        <f>AR192+AR209+AR226+AR243+AR252</f>
        <v>4914.9996015</v>
      </c>
      <c r="AS263" s="857">
        <f>AS192+AS209+AS226+AS243+AS252</f>
        <v>3673.6931328</v>
      </c>
      <c r="AT263" s="857">
        <f>AT192+AT209+AT226+AT243+AT252</f>
        <v>1241.3064687</v>
      </c>
      <c r="AU263" s="857">
        <f>AU192+AU209+AU226+AU243+AU252</f>
        <v>5100.9992955</v>
      </c>
      <c r="AV263" s="857">
        <f>AV192+AV209+AV226+AV243+AV252</f>
        <v>3812.7177216</v>
      </c>
      <c r="AW263" s="857">
        <f>AW192+AW209+AW226+AW243+AW252</f>
        <v>1288.2815739</v>
      </c>
      <c r="AX263" s="857">
        <f>AX192+AX209+AX226+AX243+AX252</f>
        <v>5295.0043105</v>
      </c>
      <c r="AY263" s="857">
        <f>AY192+AY209+AY226+AY243+AY252</f>
        <v>3957.7258496</v>
      </c>
      <c r="AZ263" s="857">
        <f>AZ192+AZ209+AZ226+AZ243+AZ252</f>
        <v>1337.2784609</v>
      </c>
      <c r="BA263" s="857">
        <f>BA192+BA209+BA226+BA243+BA252</f>
        <v>0</v>
      </c>
      <c r="BB263" s="857">
        <f>BB192+BB209+BB226+BB243+BB252</f>
        <v>0</v>
      </c>
      <c r="BC263" s="857">
        <f>BC192+BC209+BC226+BC243+BC252</f>
        <v>0</v>
      </c>
      <c r="BD263" s="857">
        <f>BD192+BD209+BD226+BD243+BD252</f>
        <v>0</v>
      </c>
      <c r="BE263" s="857">
        <f>BE192+BE209+BE226+BE243+BE252</f>
        <v>0</v>
      </c>
      <c r="BF263" s="857">
        <f>BF192+BF209+BF226+BF243+BF252</f>
        <v>0</v>
      </c>
      <c r="BG263" s="857">
        <f>BG192+BG209+BG226+BG243+BG252</f>
        <v>0</v>
      </c>
      <c r="BH263" s="857">
        <f>BH192+BH209+BH226+BH243+BH252</f>
        <v>0</v>
      </c>
      <c r="BI263" s="857">
        <f>BI192+BI209+BI226+BI243+BI252</f>
        <v>0</v>
      </c>
      <c r="BJ263" s="857">
        <f>BJ192+BJ209+BJ226+BJ243+BJ252</f>
        <v>0</v>
      </c>
      <c r="BK263" s="857">
        <f>BK192+BK209+BK226+BK243+BK252</f>
        <v>0</v>
      </c>
      <c r="BL263" s="857">
        <f>BL192+BL209+BL226+BL243+BL252</f>
        <v>0</v>
      </c>
      <c r="BM263" s="857">
        <f>BM192+BM209+BM226+BM243+BM252</f>
        <v>0</v>
      </c>
      <c r="BN263" s="857">
        <f>BN192+BN209+BN226+BN243+BN252</f>
        <v>0</v>
      </c>
      <c r="BO263" s="857">
        <f>BO192+BO209+BO226+BO243+BO252</f>
        <v>0</v>
      </c>
      <c r="BP263" s="857">
        <f>BP192+BP209+BP226+BP243+BP252</f>
        <v>3879.0440814893</v>
      </c>
      <c r="BQ263" s="857">
        <f>BQ192+BQ209+BQ226+BQ243+BQ252</f>
        <v>2899.37309448543</v>
      </c>
      <c r="BR263" s="857">
        <f>BR192+BR209+BR226+BR243+BR252</f>
        <v>979.670987003866</v>
      </c>
      <c r="BS263" s="857">
        <f>BS192+BS209+BS226+BS243+BS252</f>
        <v>4049.72384966631</v>
      </c>
      <c r="BT263" s="857">
        <f>BT192+BT209+BT226+BT243+BT252</f>
        <v>3026.94687741482</v>
      </c>
      <c r="BU263" s="857">
        <f>BU192+BU209+BU226+BU243+BU252</f>
        <v>1022.77697225149</v>
      </c>
      <c r="BV263" s="857">
        <f>BV192+BV209+BV226+BV243+BV252</f>
        <v>4159.06399719003</v>
      </c>
      <c r="BW263" s="857">
        <f>BW192+BW209+BW226+BW243+BW252</f>
        <v>3108.6726519143</v>
      </c>
      <c r="BX263" s="857">
        <f>BX192+BX209+BX226+BX243+BX252</f>
        <v>1050.39134527573</v>
      </c>
      <c r="BY263" s="857">
        <f>BY192+BY209+BY226+BY243+BY252</f>
        <v>4271.35876361082</v>
      </c>
      <c r="BZ263" s="857">
        <f>BZ192+BZ209+BZ226+BZ243+BZ252</f>
        <v>3192.60684229013</v>
      </c>
      <c r="CA263" s="857">
        <f>CA192+CA209+CA226+CA243+CA252</f>
        <v>1078.75192132069</v>
      </c>
      <c r="CB263" s="857">
        <f>CB192+CB209+CB226+CB243+CB252</f>
        <v>4386.68514225501</v>
      </c>
      <c r="CC263" s="857">
        <f>CC192+CC209+CC226+CC243+CC252</f>
        <v>3278.80699683878</v>
      </c>
      <c r="CD263" s="857">
        <f>CD192+CD209+CD226+CD243+CD252</f>
        <v>1107.87814541623</v>
      </c>
      <c r="CE263" s="857">
        <f>CE192+CE209+CE226+CE243+CE252</f>
        <v>0</v>
      </c>
      <c r="CF263" s="857">
        <f>CF192+CF209+CF226+CF243+CF252</f>
        <v>0</v>
      </c>
      <c r="CG263" s="857">
        <f>CG192+CG209+CG226+CG243+CG252</f>
        <v>0</v>
      </c>
      <c r="CH263" s="857">
        <f>CH192+CH209+CH226+CH243+CH252</f>
        <v>0</v>
      </c>
      <c r="CI263" s="857">
        <f>CI192+CI209+CI226+CI243+CI252</f>
        <v>0</v>
      </c>
      <c r="CJ263" s="857">
        <f>CJ192+CJ209+CJ226+CJ243+CJ252</f>
        <v>0</v>
      </c>
      <c r="CK263" s="857">
        <f>CK192+CK209+CK226+CK243+CK252</f>
        <v>0</v>
      </c>
      <c r="CL263" s="857">
        <f>CL192+CL209+CL226+CL243+CL252</f>
        <v>0</v>
      </c>
      <c r="CM263" s="857">
        <f>CM192+CM209+CM226+CM243+CM252</f>
        <v>0</v>
      </c>
      <c r="CN263" s="857">
        <f>CN192+CN209+CN226+CN243+CN252</f>
        <v>0</v>
      </c>
      <c r="CO263" s="857">
        <f>CO192+CO209+CO226+CO243+CO252</f>
        <v>0</v>
      </c>
      <c r="CP263" s="857">
        <f>CP192+CP209+CP226+CP243+CP252</f>
        <v>0</v>
      </c>
      <c r="CQ263" s="857">
        <f>CQ192+CQ209+CQ226+CQ243+CQ252</f>
        <v>0</v>
      </c>
      <c r="CR263" s="857">
        <f>CR192+CR209+CR226+CR243+CR252</f>
        <v>0</v>
      </c>
      <c r="CS263" s="857">
        <f>CS192+CS209+CS226+CS243+CS252</f>
        <v>0</v>
      </c>
      <c r="CT263" s="1730"/>
      <c r="CU263" s="1619"/>
      <c r="CV263" s="1619"/>
      <c r="CW263" s="1170" t="s">
        <v>882</v>
      </c>
      <c r="CX263" s="1175" t="s">
        <v>787</v>
      </c>
      <c r="CY263" s="1179" cm="1" t="str">
        <f t="array" ref="CY263:CY263">AE263</f>
        <v>Уголь бурый</v>
      </c>
      <c r="CZ263" s="1179" cm="1" t="str">
        <f t="array" ref="CZ263:CZ263">AF263</f>
        <v>Б</v>
      </c>
      <c r="DA263" s="1176"/>
      <c r="DB263" s="1176"/>
    </row>
    <row s="1619" customFormat="1" customHeight="1" ht="15" hidden="1">
      <c r="A264" s="1440"/>
      <c r="B264" s="924"/>
      <c r="C264" s="1440"/>
      <c r="D264" s="1440"/>
      <c r="E264" s="794">
        <v>0</v>
      </c>
      <c r="F264" s="919" cm="1" t="str">
        <f t="array" ref="F264:F264">OFFSET(G264,-1,-1)</f>
        <v>1</v>
      </c>
      <c r="G264" s="962"/>
      <c r="H264" s="962"/>
      <c r="I264" s="962"/>
      <c r="J264" s="962"/>
      <c r="K264" s="962"/>
      <c r="L264" s="919" cm="1" t="str">
        <f t="array" ref="L264:L264">OFFSET(M264,-1,-1)</f>
        <v>false</v>
      </c>
      <c r="M264" s="962"/>
      <c r="N264" s="962"/>
      <c r="O264" s="962"/>
      <c r="P264" s="962"/>
      <c r="Q264" s="962"/>
      <c r="R264" s="1440"/>
      <c r="S264" s="156" cm="1" t="str">
        <f t="array" ref="S264:S264">OFFSET(T264,-1,-1)</f>
        <v>true</v>
      </c>
      <c r="T264" s="1440"/>
      <c r="U264" s="816">
        <f>AND(S264,IF(ISBLANK(T264),TRUE,T264))</f>
        <v>1</v>
      </c>
      <c r="V264" s="1440"/>
      <c r="W264" s="1440"/>
      <c r="X264" s="970" t="str">
        <f>"{                  
         funcDyn: 'msg1',
         blok: 'blok_2',
         wsCross: 'Топливо 4.4',
         linkFormula: 'AE-AE#AF-AF',
         levelDyn: "&amp;Y139&amp;"
}"</f>
        <v>{                  
         funcDyn: 'msg1',
         blok: 'blok_2',
         wsCross: 'Топливо 4.4',
         linkFormula: 'AE-AE#AF-AF',
         levelDyn: 1
}</v>
      </c>
      <c r="Y264" s="1440"/>
      <c r="Z264" s="1440"/>
      <c r="AA264" s="817"/>
      <c r="AB264" s="1524"/>
      <c r="AC264" s="1619"/>
      <c r="AD264" s="973"/>
      <c r="AE264" s="972" t="s">
        <v>235</v>
      </c>
      <c r="AF264" s="871"/>
      <c r="AG264" s="856"/>
      <c r="AH264" s="858"/>
      <c r="AI264" s="860"/>
      <c r="AJ264" s="860"/>
      <c r="AK264" s="860"/>
      <c r="AL264" s="860"/>
      <c r="AM264" s="860"/>
      <c r="AN264" s="860"/>
      <c r="AO264" s="860"/>
      <c r="AP264" s="860"/>
      <c r="AQ264" s="860"/>
      <c r="AR264" s="860"/>
      <c r="AS264" s="860"/>
      <c r="AT264" s="860"/>
      <c r="AU264" s="860"/>
      <c r="AV264" s="860"/>
      <c r="AW264" s="860"/>
      <c r="AX264" s="860"/>
      <c r="AY264" s="860"/>
      <c r="AZ264" s="860"/>
      <c r="BA264" s="860"/>
      <c r="BB264" s="860"/>
      <c r="BC264" s="860"/>
      <c r="BD264" s="860"/>
      <c r="BE264" s="860"/>
      <c r="BF264" s="860"/>
      <c r="BG264" s="860"/>
      <c r="BH264" s="860"/>
      <c r="BI264" s="860"/>
      <c r="BJ264" s="860"/>
      <c r="BK264" s="860"/>
      <c r="BL264" s="860"/>
      <c r="BM264" s="860"/>
      <c r="BN264" s="860"/>
      <c r="BO264" s="860"/>
      <c r="BP264" s="860"/>
      <c r="BQ264" s="860"/>
      <c r="BR264" s="860"/>
      <c r="BS264" s="860"/>
      <c r="BT264" s="860"/>
      <c r="BU264" s="860"/>
      <c r="BV264" s="860"/>
      <c r="BW264" s="860"/>
      <c r="BX264" s="860"/>
      <c r="BY264" s="860"/>
      <c r="BZ264" s="860"/>
      <c r="CA264" s="860"/>
      <c r="CB264" s="860"/>
      <c r="CC264" s="860"/>
      <c r="CD264" s="860"/>
      <c r="CE264" s="860"/>
      <c r="CF264" s="860"/>
      <c r="CG264" s="860"/>
      <c r="CH264" s="860"/>
      <c r="CI264" s="860"/>
      <c r="CJ264" s="860"/>
      <c r="CK264" s="860"/>
      <c r="CL264" s="860"/>
      <c r="CM264" s="860"/>
      <c r="CN264" s="860"/>
      <c r="CO264" s="860"/>
      <c r="CP264" s="860"/>
      <c r="CQ264" s="860"/>
      <c r="CR264" s="860"/>
      <c r="CS264" s="860"/>
      <c r="CT264" s="91"/>
      <c r="CU264" s="1619"/>
      <c r="CV264" s="1619"/>
      <c r="CW264" s="1170" t="str">
        <f>IF(AND(ISNUMBER(VALUE(TRIM(SUBSTITUTE(AD264,".","")))),TRIM(SUBSTITUTE(AD264,".",""))&lt;&gt;""),"P"&amp;SUBSTITUTE(AD264,".",""),"")</f>
        <v/>
      </c>
      <c r="CX264" s="1175"/>
      <c r="CY264" s="1175"/>
      <c r="CZ264" s="1175"/>
      <c r="DA264" s="1176"/>
      <c r="DB264" s="1176"/>
    </row>
    <row s="1619" customFormat="1" customHeight="1" ht="16.5">
      <c r="A265" s="1440"/>
      <c r="B265" s="924"/>
      <c r="C265" s="1440"/>
      <c r="D265" s="1440"/>
      <c r="E265" s="794">
        <v>17.1</v>
      </c>
      <c r="F265" s="919" cm="1" t="str">
        <f t="array" ref="F265:F265">OFFSET(G265,-1,-1)</f>
        <v>1</v>
      </c>
      <c r="G265" s="962"/>
      <c r="H265" s="962"/>
      <c r="I265" s="962"/>
      <c r="J265" s="962"/>
      <c r="K265" s="962"/>
      <c r="L265" s="919" cm="1" t="str">
        <f t="array" ref="L265:L265">OFFSET(M265,-1,-1)</f>
        <v>false</v>
      </c>
      <c r="M265" s="962"/>
      <c r="N265" s="962"/>
      <c r="O265" s="962"/>
      <c r="P265" s="962"/>
      <c r="Q265" s="962"/>
      <c r="R265" s="1440"/>
      <c r="S265" s="156" cm="1" t="str">
        <f t="array" ref="S265:S265">OFFSET(T265,-1,-1)</f>
        <v>true</v>
      </c>
      <c r="T265" s="1440"/>
      <c r="U265" s="816">
        <f>AND(S265,IF(ISBLANK(T265),TRUE,T265))</f>
        <v>1</v>
      </c>
      <c r="V265" s="1440"/>
      <c r="W265" s="1440"/>
      <c r="X265" s="1440"/>
      <c r="Y265" s="1440"/>
      <c r="Z265" s="1440"/>
      <c r="AA265" s="817"/>
      <c r="AB265" s="1524"/>
      <c r="AC265" s="1619"/>
      <c r="AD265" s="170" t="s">
        <v>883</v>
      </c>
      <c r="AE265" s="1494" t="s">
        <v>884</v>
      </c>
      <c r="AF265" s="320"/>
      <c r="AG265" s="856" t="s">
        <v>885</v>
      </c>
      <c r="AH265" s="857">
        <f>_xlfn.IFERROR(AH258/AH164,0)*1000</f>
        <v>0</v>
      </c>
      <c r="AI265" s="857">
        <f>_xlfn.IFERROR(AI258/AI164,0)*1000</f>
        <v>0</v>
      </c>
      <c r="AJ265" s="857">
        <f>_xlfn.IFERROR(AJ258/AJ164,0)*1000</f>
        <v>0</v>
      </c>
      <c r="AK265" s="857">
        <f>_xlfn.IFERROR(AK258/AK164,0)*1000</f>
        <v>0</v>
      </c>
      <c r="AL265" s="857">
        <f>_xlfn.IFERROR(AL258/AL164,0)*1000</f>
        <v>15373.0166666667</v>
      </c>
      <c r="AM265" s="857">
        <f>_xlfn.IFERROR(AM258/AM164,0)*1000</f>
        <v>15373.0166666667</v>
      </c>
      <c r="AN265" s="857">
        <f>_xlfn.IFERROR(AN258/AN164,0)*1000</f>
        <v>15373.0166666667</v>
      </c>
      <c r="AO265" s="857">
        <f>_xlfn.IFERROR(AO258/AO164,0)*1000</f>
        <v>16229.7333333333</v>
      </c>
      <c r="AP265" s="857">
        <f>_xlfn.IFERROR(AP258/AP164,0)*1000</f>
        <v>16229.7333333333</v>
      </c>
      <c r="AQ265" s="857">
        <f>_xlfn.IFERROR(AQ258/AQ164,0)*1000</f>
        <v>16229.7333333333</v>
      </c>
      <c r="AR265" s="857">
        <f>_xlfn.IFERROR(AR258/AR164,0)*1000</f>
        <v>16843.15</v>
      </c>
      <c r="AS265" s="857">
        <f>_xlfn.IFERROR(AS258/AS164,0)*1000</f>
        <v>16843.15</v>
      </c>
      <c r="AT265" s="857">
        <f>_xlfn.IFERROR(AT258/AT164,0)*1000</f>
        <v>16843.15</v>
      </c>
      <c r="AU265" s="857">
        <f>_xlfn.IFERROR(AU258/AU164,0)*1000</f>
        <v>17480.55</v>
      </c>
      <c r="AV265" s="857">
        <f>_xlfn.IFERROR(AV258/AV164,0)*1000</f>
        <v>17480.55</v>
      </c>
      <c r="AW265" s="857">
        <f>_xlfn.IFERROR(AW258/AW164,0)*1000</f>
        <v>17480.55</v>
      </c>
      <c r="AX265" s="857">
        <f>_xlfn.IFERROR(AX258/AX164,0)*1000</f>
        <v>18145.3833333333</v>
      </c>
      <c r="AY265" s="857">
        <f>_xlfn.IFERROR(AY258/AY164,0)*1000</f>
        <v>18145.3833333333</v>
      </c>
      <c r="AZ265" s="857">
        <f>_xlfn.IFERROR(AZ258/AZ164,0)*1000</f>
        <v>18145.3833333333</v>
      </c>
      <c r="BA265" s="857">
        <f>_xlfn.IFERROR(BA258/BA164,0)*1000</f>
        <v>0</v>
      </c>
      <c r="BB265" s="857">
        <f>_xlfn.IFERROR(BB258/BB164,0)*1000</f>
        <v>0</v>
      </c>
      <c r="BC265" s="857">
        <f>_xlfn.IFERROR(BC258/BC164,0)*1000</f>
        <v>0</v>
      </c>
      <c r="BD265" s="857">
        <f>_xlfn.IFERROR(BD258/BD164,0)*1000</f>
        <v>0</v>
      </c>
      <c r="BE265" s="857">
        <f>_xlfn.IFERROR(BE258/BE164,0)*1000</f>
        <v>0</v>
      </c>
      <c r="BF265" s="857">
        <f>_xlfn.IFERROR(BF258/BF164,0)*1000</f>
        <v>0</v>
      </c>
      <c r="BG265" s="857">
        <f>_xlfn.IFERROR(BG258/BG164,0)*1000</f>
        <v>0</v>
      </c>
      <c r="BH265" s="857">
        <f>_xlfn.IFERROR(BH258/BH164,0)*1000</f>
        <v>0</v>
      </c>
      <c r="BI265" s="857">
        <f>_xlfn.IFERROR(BI258/BI164,0)*1000</f>
        <v>0</v>
      </c>
      <c r="BJ265" s="857">
        <f>_xlfn.IFERROR(BJ258/BJ164,0)*1000</f>
        <v>0</v>
      </c>
      <c r="BK265" s="857">
        <f>_xlfn.IFERROR(BK258/BK164,0)*1000</f>
        <v>0</v>
      </c>
      <c r="BL265" s="857">
        <f>_xlfn.IFERROR(BL258/BL164,0)*1000</f>
        <v>0</v>
      </c>
      <c r="BM265" s="857">
        <f>_xlfn.IFERROR(BM258/BM164,0)*1000</f>
        <v>0</v>
      </c>
      <c r="BN265" s="857">
        <f>_xlfn.IFERROR(BN258/BN164,0)*1000</f>
        <v>0</v>
      </c>
      <c r="BO265" s="857">
        <f>_xlfn.IFERROR(BO258/BO164,0)*1000</f>
        <v>0</v>
      </c>
      <c r="BP265" s="857">
        <f>_xlfn.IFERROR(BP258/BP164,0)*1000</f>
        <v>13293.0471248048</v>
      </c>
      <c r="BQ265" s="857">
        <f>_xlfn.IFERROR(BQ258/BQ164,0)*1000</f>
        <v>13293.0471248048</v>
      </c>
      <c r="BR265" s="857">
        <f>_xlfn.IFERROR(BR258/BR164,0)*1000</f>
        <v>13293.0471248048</v>
      </c>
      <c r="BS265" s="857">
        <f>_xlfn.IFERROR(BS258/BS164,0)*1000</f>
        <v>13877.9474646733</v>
      </c>
      <c r="BT265" s="857">
        <f>_xlfn.IFERROR(BT258/BT164,0)*1000</f>
        <v>13877.9474646733</v>
      </c>
      <c r="BU265" s="857">
        <f>_xlfn.IFERROR(BU258/BU164,0)*1000</f>
        <v>13877.9474646733</v>
      </c>
      <c r="BV265" s="857">
        <f>_xlfn.IFERROR(BV258/BV164,0)*1000</f>
        <v>14252.6438339674</v>
      </c>
      <c r="BW265" s="857">
        <f>_xlfn.IFERROR(BW258/BW164,0)*1000</f>
        <v>14252.6438339674</v>
      </c>
      <c r="BX265" s="857">
        <f>_xlfn.IFERROR(BX258/BX164,0)*1000</f>
        <v>14252.6438339674</v>
      </c>
      <c r="BY265" s="857">
        <f>_xlfn.IFERROR(BY258/BY164,0)*1000</f>
        <v>14637.4653494082</v>
      </c>
      <c r="BZ265" s="857">
        <f>_xlfn.IFERROR(BZ258/BZ164,0)*1000</f>
        <v>14637.4653494082</v>
      </c>
      <c r="CA265" s="857">
        <f>_xlfn.IFERROR(CA258/CA164,0)*1000</f>
        <v>14637.4653494083</v>
      </c>
      <c r="CB265" s="857">
        <f>_xlfn.IFERROR(CB258/CB164,0)*1000</f>
        <v>15032.6758584525</v>
      </c>
      <c r="CC265" s="857">
        <f>_xlfn.IFERROR(CC258/CC164,0)*1000</f>
        <v>15032.6758584524</v>
      </c>
      <c r="CD265" s="857">
        <f>_xlfn.IFERROR(CD258/CD164,0)*1000</f>
        <v>15032.6758584525</v>
      </c>
      <c r="CE265" s="857">
        <f>_xlfn.IFERROR(CE258/CE164,0)*1000</f>
        <v>0</v>
      </c>
      <c r="CF265" s="857">
        <f>_xlfn.IFERROR(CF258/CF164,0)*1000</f>
        <v>0</v>
      </c>
      <c r="CG265" s="857">
        <f>_xlfn.IFERROR(CG258/CG164,0)*1000</f>
        <v>0</v>
      </c>
      <c r="CH265" s="857">
        <f>_xlfn.IFERROR(CH258/CH164,0)*1000</f>
        <v>0</v>
      </c>
      <c r="CI265" s="857">
        <f>_xlfn.IFERROR(CI258/CI164,0)*1000</f>
        <v>0</v>
      </c>
      <c r="CJ265" s="857">
        <f>_xlfn.IFERROR(CJ258/CJ164,0)*1000</f>
        <v>0</v>
      </c>
      <c r="CK265" s="857">
        <f>_xlfn.IFERROR(CK258/CK164,0)*1000</f>
        <v>0</v>
      </c>
      <c r="CL265" s="857">
        <f>_xlfn.IFERROR(CL258/CL164,0)*1000</f>
        <v>0</v>
      </c>
      <c r="CM265" s="857">
        <f>_xlfn.IFERROR(CM258/CM164,0)*1000</f>
        <v>0</v>
      </c>
      <c r="CN265" s="857">
        <f>_xlfn.IFERROR(CN258/CN164,0)*1000</f>
        <v>0</v>
      </c>
      <c r="CO265" s="857">
        <f>_xlfn.IFERROR(CO258/CO164,0)*1000</f>
        <v>0</v>
      </c>
      <c r="CP265" s="857">
        <f>_xlfn.IFERROR(CP258/CP164,0)*1000</f>
        <v>0</v>
      </c>
      <c r="CQ265" s="857">
        <f>_xlfn.IFERROR(CQ258/CQ164,0)*1000</f>
        <v>0</v>
      </c>
      <c r="CR265" s="857">
        <f>_xlfn.IFERROR(CR258/CR164,0)*1000</f>
        <v>0</v>
      </c>
      <c r="CS265" s="857">
        <f>_xlfn.IFERROR(CS258/CS164,0)*1000</f>
        <v>0</v>
      </c>
      <c r="CT265" s="1730"/>
      <c r="CU265" s="1619"/>
      <c r="CV265" s="1619"/>
      <c r="CW265" s="1170" t="s">
        <v>886</v>
      </c>
      <c r="CX265" s="1175"/>
      <c r="CY265" s="1175"/>
      <c r="CZ265" s="1175"/>
      <c r="DA265" s="1176"/>
      <c r="DB265" s="1176"/>
    </row>
    <row s="1619" customFormat="1" customHeight="1" ht="16.5" hidden="1">
      <c r="A266" s="1440"/>
      <c r="B266" s="924"/>
      <c r="C266" s="1440"/>
      <c r="D266" s="1440"/>
      <c r="E266" s="794">
        <v>17.1</v>
      </c>
      <c r="F266" s="919" cm="1" t="str">
        <f t="array" ref="F266:F266">OFFSET(G266,-1,-1)</f>
        <v>1</v>
      </c>
      <c r="G266" s="962"/>
      <c r="H266" s="962"/>
      <c r="I266" s="962"/>
      <c r="J266" s="962"/>
      <c r="K266" s="962"/>
      <c r="L266" s="919" cm="1" t="str">
        <f t="array" ref="L266:L266">OFFSET(M266,-1,-1)</f>
        <v>false</v>
      </c>
      <c r="M266" s="962"/>
      <c r="N266" s="962"/>
      <c r="O266" s="962"/>
      <c r="P266" s="962"/>
      <c r="Q266" s="962"/>
      <c r="R266" s="919" t="s">
        <v>725</v>
      </c>
      <c r="S266" s="156" cm="1" t="str">
        <f t="array" ref="S266:S266">OFFSET(T266,-1,-1)</f>
        <v>true</v>
      </c>
      <c r="T266" s="156" cm="1" t="str">
        <f t="array" ref="T266:T266">L266</f>
        <v>false</v>
      </c>
      <c r="U266" s="816">
        <f>AND(S266,IF(ISBLANK(T266),TRUE,T266))</f>
        <v>0</v>
      </c>
      <c r="V266" s="1440"/>
      <c r="W266" s="1440"/>
      <c r="X266" s="1440"/>
      <c r="Y266" s="1440"/>
      <c r="Z266" s="1440"/>
      <c r="AA266" s="817"/>
      <c r="AB266" s="1524"/>
      <c r="AC266" s="1619"/>
      <c r="AD266" s="157" t="str">
        <f>AD265&amp;".0"</f>
        <v>41.0</v>
      </c>
      <c r="AE266" s="1346" t="s">
        <v>736</v>
      </c>
      <c r="AF266" s="161"/>
      <c r="AG266" s="856" t="s">
        <v>885</v>
      </c>
      <c r="AH266" s="857">
        <f>_xlfn.IFERROR(AH259/AH165,0)*1000</f>
        <v>0</v>
      </c>
      <c r="AI266" s="857">
        <f>_xlfn.IFERROR(AI259/AI165,0)*1000</f>
        <v>0</v>
      </c>
      <c r="AJ266" s="857">
        <f>_xlfn.IFERROR(AJ259/AJ165,0)*1000</f>
        <v>0</v>
      </c>
      <c r="AK266" s="857">
        <f>_xlfn.IFERROR(AK259/AK165,0)*1000</f>
        <v>0</v>
      </c>
      <c r="AL266" s="857">
        <f>_xlfn.IFERROR(AL259/AL165,0)*1000</f>
        <v>15373.0166666667</v>
      </c>
      <c r="AM266" s="857">
        <f>_xlfn.IFERROR(AM259/AM165,0)*1000</f>
        <v>15373.0166666667</v>
      </c>
      <c r="AN266" s="857">
        <f>_xlfn.IFERROR(AN259/AN165,0)*1000</f>
        <v>15373.0166666667</v>
      </c>
      <c r="AO266" s="857">
        <f>_xlfn.IFERROR(AO259/AO165,0)*1000</f>
        <v>16229.7333333333</v>
      </c>
      <c r="AP266" s="857">
        <f>_xlfn.IFERROR(AP259/AP165,0)*1000</f>
        <v>16229.7333333333</v>
      </c>
      <c r="AQ266" s="857">
        <f>_xlfn.IFERROR(AQ259/AQ165,0)*1000</f>
        <v>16229.7333333333</v>
      </c>
      <c r="AR266" s="857">
        <f>_xlfn.IFERROR(AR259/AR165,0)*1000</f>
        <v>16843.15</v>
      </c>
      <c r="AS266" s="857">
        <f>_xlfn.IFERROR(AS259/AS165,0)*1000</f>
        <v>16843.15</v>
      </c>
      <c r="AT266" s="857">
        <f>_xlfn.IFERROR(AT259/AT165,0)*1000</f>
        <v>16843.15</v>
      </c>
      <c r="AU266" s="857">
        <f>_xlfn.IFERROR(AU259/AU165,0)*1000</f>
        <v>17480.55</v>
      </c>
      <c r="AV266" s="857">
        <f>_xlfn.IFERROR(AV259/AV165,0)*1000</f>
        <v>17480.55</v>
      </c>
      <c r="AW266" s="857">
        <f>_xlfn.IFERROR(AW259/AW165,0)*1000</f>
        <v>17480.55</v>
      </c>
      <c r="AX266" s="857">
        <f>_xlfn.IFERROR(AX259/AX165,0)*1000</f>
        <v>18145.3833333333</v>
      </c>
      <c r="AY266" s="857">
        <f>_xlfn.IFERROR(AY259/AY165,0)*1000</f>
        <v>18145.3833333333</v>
      </c>
      <c r="AZ266" s="857">
        <f>_xlfn.IFERROR(AZ259/AZ165,0)*1000</f>
        <v>18145.3833333333</v>
      </c>
      <c r="BA266" s="857">
        <f>_xlfn.IFERROR(BA259/BA165,0)*1000</f>
        <v>0</v>
      </c>
      <c r="BB266" s="857">
        <f>_xlfn.IFERROR(BB259/BB165,0)*1000</f>
        <v>0</v>
      </c>
      <c r="BC266" s="857">
        <f>_xlfn.IFERROR(BC259/BC165,0)*1000</f>
        <v>0</v>
      </c>
      <c r="BD266" s="857">
        <f>_xlfn.IFERROR(BD259/BD165,0)*1000</f>
        <v>0</v>
      </c>
      <c r="BE266" s="857">
        <f>_xlfn.IFERROR(BE259/BE165,0)*1000</f>
        <v>0</v>
      </c>
      <c r="BF266" s="857">
        <f>_xlfn.IFERROR(BF259/BF165,0)*1000</f>
        <v>0</v>
      </c>
      <c r="BG266" s="857">
        <f>_xlfn.IFERROR(BG259/BG165,0)*1000</f>
        <v>0</v>
      </c>
      <c r="BH266" s="857">
        <f>_xlfn.IFERROR(BH259/BH165,0)*1000</f>
        <v>0</v>
      </c>
      <c r="BI266" s="857">
        <f>_xlfn.IFERROR(BI259/BI165,0)*1000</f>
        <v>0</v>
      </c>
      <c r="BJ266" s="857">
        <f>_xlfn.IFERROR(BJ259/BJ165,0)*1000</f>
        <v>0</v>
      </c>
      <c r="BK266" s="857">
        <f>_xlfn.IFERROR(BK259/BK165,0)*1000</f>
        <v>0</v>
      </c>
      <c r="BL266" s="857">
        <f>_xlfn.IFERROR(BL259/BL165,0)*1000</f>
        <v>0</v>
      </c>
      <c r="BM266" s="857">
        <f>_xlfn.IFERROR(BM259/BM165,0)*1000</f>
        <v>0</v>
      </c>
      <c r="BN266" s="857">
        <f>_xlfn.IFERROR(BN259/BN165,0)*1000</f>
        <v>0</v>
      </c>
      <c r="BO266" s="857">
        <f>_xlfn.IFERROR(BO259/BO165,0)*1000</f>
        <v>0</v>
      </c>
      <c r="BP266" s="857">
        <f>_xlfn.IFERROR(BP259/BP165,0)*1000</f>
        <v>13293.0471248048</v>
      </c>
      <c r="BQ266" s="857">
        <f>_xlfn.IFERROR(BQ259/BQ165,0)*1000</f>
        <v>13293.0471248048</v>
      </c>
      <c r="BR266" s="857">
        <f>_xlfn.IFERROR(BR259/BR165,0)*1000</f>
        <v>13293.0471248048</v>
      </c>
      <c r="BS266" s="857">
        <f>_xlfn.IFERROR(BS259/BS165,0)*1000</f>
        <v>13877.9474646733</v>
      </c>
      <c r="BT266" s="857">
        <f>_xlfn.IFERROR(BT259/BT165,0)*1000</f>
        <v>13877.9474646733</v>
      </c>
      <c r="BU266" s="857">
        <f>_xlfn.IFERROR(BU259/BU165,0)*1000</f>
        <v>13877.9474646733</v>
      </c>
      <c r="BV266" s="857">
        <f>_xlfn.IFERROR(BV259/BV165,0)*1000</f>
        <v>14252.6438339674</v>
      </c>
      <c r="BW266" s="857">
        <f>_xlfn.IFERROR(BW259/BW165,0)*1000</f>
        <v>14252.6438339674</v>
      </c>
      <c r="BX266" s="857">
        <f>_xlfn.IFERROR(BX259/BX165,0)*1000</f>
        <v>14252.6438339674</v>
      </c>
      <c r="BY266" s="857">
        <f>_xlfn.IFERROR(BY259/BY165,0)*1000</f>
        <v>14637.4653494082</v>
      </c>
      <c r="BZ266" s="857">
        <f>_xlfn.IFERROR(BZ259/BZ165,0)*1000</f>
        <v>14637.4653494082</v>
      </c>
      <c r="CA266" s="857">
        <f>_xlfn.IFERROR(CA259/CA165,0)*1000</f>
        <v>14637.4653494083</v>
      </c>
      <c r="CB266" s="857">
        <f>_xlfn.IFERROR(CB259/CB165,0)*1000</f>
        <v>15032.6758584525</v>
      </c>
      <c r="CC266" s="857">
        <f>_xlfn.IFERROR(CC259/CC165,0)*1000</f>
        <v>15032.6758584524</v>
      </c>
      <c r="CD266" s="857">
        <f>_xlfn.IFERROR(CD259/CD165,0)*1000</f>
        <v>15032.6758584525</v>
      </c>
      <c r="CE266" s="857">
        <f>_xlfn.IFERROR(CE259/CE165,0)*1000</f>
        <v>0</v>
      </c>
      <c r="CF266" s="857">
        <f>_xlfn.IFERROR(CF259/CF165,0)*1000</f>
        <v>0</v>
      </c>
      <c r="CG266" s="857">
        <f>_xlfn.IFERROR(CG259/CG165,0)*1000</f>
        <v>0</v>
      </c>
      <c r="CH266" s="857">
        <f>_xlfn.IFERROR(CH259/CH165,0)*1000</f>
        <v>0</v>
      </c>
      <c r="CI266" s="857">
        <f>_xlfn.IFERROR(CI259/CI165,0)*1000</f>
        <v>0</v>
      </c>
      <c r="CJ266" s="857">
        <f>_xlfn.IFERROR(CJ259/CJ165,0)*1000</f>
        <v>0</v>
      </c>
      <c r="CK266" s="857">
        <f>_xlfn.IFERROR(CK259/CK165,0)*1000</f>
        <v>0</v>
      </c>
      <c r="CL266" s="857">
        <f>_xlfn.IFERROR(CL259/CL165,0)*1000</f>
        <v>0</v>
      </c>
      <c r="CM266" s="857">
        <f>_xlfn.IFERROR(CM259/CM165,0)*1000</f>
        <v>0</v>
      </c>
      <c r="CN266" s="857">
        <f>_xlfn.IFERROR(CN259/CN165,0)*1000</f>
        <v>0</v>
      </c>
      <c r="CO266" s="857">
        <f>_xlfn.IFERROR(CO259/CO165,0)*1000</f>
        <v>0</v>
      </c>
      <c r="CP266" s="857">
        <f>_xlfn.IFERROR(CP259/CP165,0)*1000</f>
        <v>0</v>
      </c>
      <c r="CQ266" s="857">
        <f>_xlfn.IFERROR(CQ259/CQ165,0)*1000</f>
        <v>0</v>
      </c>
      <c r="CR266" s="857">
        <f>_xlfn.IFERROR(CR259/CR165,0)*1000</f>
        <v>0</v>
      </c>
      <c r="CS266" s="857">
        <f>_xlfn.IFERROR(CS259/CS165,0)*1000</f>
        <v>0</v>
      </c>
      <c r="CT266" s="73"/>
      <c r="CU266" s="1619"/>
      <c r="CV266" s="1619"/>
      <c r="CW266" s="1170" t="s">
        <v>887</v>
      </c>
      <c r="CX266" s="1175"/>
      <c r="CY266" s="1175"/>
      <c r="CZ266" s="1175"/>
      <c r="DA266" s="1176"/>
      <c r="DB266" s="1176"/>
    </row>
    <row s="1619" customFormat="1" customHeight="1" ht="16.5" hidden="1">
      <c r="E267" s="794">
        <v>17.1</v>
      </c>
      <c r="F267" s="919" cm="1" t="str">
        <f t="array" ref="F267:F267">OFFSET(G267,-1,-1)</f>
        <v>1</v>
      </c>
      <c r="L267" s="919" cm="1" t="str">
        <f t="array" ref="L267:L267">OFFSET(M267,-1,-1)</f>
        <v>false</v>
      </c>
      <c r="S267" s="156" cm="1" t="str">
        <f t="array" ref="S267:S267">OFFSET(T267,-1,-1)</f>
        <v>true</v>
      </c>
      <c r="T267" s="156">
        <f>AD267&lt;&gt;"41.0"</f>
        <v>0</v>
      </c>
      <c r="U267" s="816">
        <f>AND(S267,IF(ISBLANK(T267),TRUE,T267))</f>
        <v>0</v>
      </c>
      <c r="X267" s="156" t="s">
        <v>233</v>
      </c>
      <c r="AB267" s="1524"/>
      <c r="AD267" s="157" t="s">
        <v>888</v>
      </c>
      <c r="AE267" s="971"/>
      <c r="AF267" s="622"/>
      <c r="AG267" s="856" t="s">
        <v>885</v>
      </c>
      <c r="AH267" s="857">
        <f>_xlfn.IFERROR(AH262/AH166,0)*1000</f>
        <v>0</v>
      </c>
      <c r="AI267" s="857">
        <f>_xlfn.IFERROR(AI262/AI166,0)*1000</f>
        <v>0</v>
      </c>
      <c r="AJ267" s="857">
        <f>_xlfn.IFERROR(AJ262/AJ166,0)*1000</f>
        <v>0</v>
      </c>
      <c r="AK267" s="857">
        <f>_xlfn.IFERROR(AK262/AK166,0)*1000</f>
        <v>0</v>
      </c>
      <c r="AL267" s="857">
        <f>_xlfn.IFERROR(AL262/AL166,0)*1000</f>
        <v>0</v>
      </c>
      <c r="AM267" s="857">
        <f>_xlfn.IFERROR(AM262/AM166,0)*1000</f>
        <v>0</v>
      </c>
      <c r="AN267" s="857">
        <f>_xlfn.IFERROR(AN262/AN166,0)*1000</f>
        <v>0</v>
      </c>
      <c r="AO267" s="857">
        <f>_xlfn.IFERROR(AO262/AO166,0)*1000</f>
        <v>0</v>
      </c>
      <c r="AP267" s="857">
        <f>_xlfn.IFERROR(AP262/AP166,0)*1000</f>
        <v>0</v>
      </c>
      <c r="AQ267" s="857">
        <f>_xlfn.IFERROR(AQ262/AQ166,0)*1000</f>
        <v>0</v>
      </c>
      <c r="AR267" s="857">
        <f>_xlfn.IFERROR(AR262/AR166,0)*1000</f>
        <v>0</v>
      </c>
      <c r="AS267" s="857">
        <f>_xlfn.IFERROR(AS262/AS166,0)*1000</f>
        <v>0</v>
      </c>
      <c r="AT267" s="857">
        <f>_xlfn.IFERROR(AT262/AT166,0)*1000</f>
        <v>0</v>
      </c>
      <c r="AU267" s="857">
        <f>_xlfn.IFERROR(AU262/AU166,0)*1000</f>
        <v>0</v>
      </c>
      <c r="AV267" s="857">
        <f>_xlfn.IFERROR(AV262/AV166,0)*1000</f>
        <v>0</v>
      </c>
      <c r="AW267" s="857">
        <f>_xlfn.IFERROR(AW262/AW166,0)*1000</f>
        <v>0</v>
      </c>
      <c r="AX267" s="857">
        <f>_xlfn.IFERROR(AX262/AX166,0)*1000</f>
        <v>0</v>
      </c>
      <c r="AY267" s="857">
        <f>_xlfn.IFERROR(AY262/AY166,0)*1000</f>
        <v>0</v>
      </c>
      <c r="AZ267" s="857">
        <f>_xlfn.IFERROR(AZ262/AZ166,0)*1000</f>
        <v>0</v>
      </c>
      <c r="BA267" s="857">
        <f>_xlfn.IFERROR(BA262/BA166,0)*1000</f>
        <v>0</v>
      </c>
      <c r="BB267" s="857">
        <f>_xlfn.IFERROR(BB262/BB166,0)*1000</f>
        <v>0</v>
      </c>
      <c r="BC267" s="857">
        <f>_xlfn.IFERROR(BC262/BC166,0)*1000</f>
        <v>0</v>
      </c>
      <c r="BD267" s="857">
        <f>_xlfn.IFERROR(BD262/BD166,0)*1000</f>
        <v>0</v>
      </c>
      <c r="BE267" s="857">
        <f>_xlfn.IFERROR(BE262/BE166,0)*1000</f>
        <v>0</v>
      </c>
      <c r="BF267" s="857">
        <f>_xlfn.IFERROR(BF262/BF166,0)*1000</f>
        <v>0</v>
      </c>
      <c r="BG267" s="857">
        <f>_xlfn.IFERROR(BG262/BG166,0)*1000</f>
        <v>0</v>
      </c>
      <c r="BH267" s="857">
        <f>_xlfn.IFERROR(BH262/BH166,0)*1000</f>
        <v>0</v>
      </c>
      <c r="BI267" s="857">
        <f>_xlfn.IFERROR(BI262/BI166,0)*1000</f>
        <v>0</v>
      </c>
      <c r="BJ267" s="857">
        <f>_xlfn.IFERROR(BJ262/BJ166,0)*1000</f>
        <v>0</v>
      </c>
      <c r="BK267" s="857">
        <f>_xlfn.IFERROR(BK262/BK166,0)*1000</f>
        <v>0</v>
      </c>
      <c r="BL267" s="857">
        <f>_xlfn.IFERROR(BL262/BL166,0)*1000</f>
        <v>0</v>
      </c>
      <c r="BM267" s="857">
        <f>_xlfn.IFERROR(BM262/BM166,0)*1000</f>
        <v>0</v>
      </c>
      <c r="BN267" s="857">
        <f>_xlfn.IFERROR(BN262/BN166,0)*1000</f>
        <v>0</v>
      </c>
      <c r="BO267" s="857">
        <f>_xlfn.IFERROR(BO262/BO166,0)*1000</f>
        <v>0</v>
      </c>
      <c r="BP267" s="857">
        <f>_xlfn.IFERROR(BP262/BP166,0)*1000</f>
        <v>0</v>
      </c>
      <c r="BQ267" s="857">
        <f>_xlfn.IFERROR(BQ262/BQ166,0)*1000</f>
        <v>0</v>
      </c>
      <c r="BR267" s="857">
        <f>_xlfn.IFERROR(BR262/BR166,0)*1000</f>
        <v>0</v>
      </c>
      <c r="BS267" s="857">
        <f>_xlfn.IFERROR(BS262/BS166,0)*1000</f>
        <v>0</v>
      </c>
      <c r="BT267" s="857">
        <f>_xlfn.IFERROR(BT262/BT166,0)*1000</f>
        <v>0</v>
      </c>
      <c r="BU267" s="857">
        <f>_xlfn.IFERROR(BU262/BU166,0)*1000</f>
        <v>0</v>
      </c>
      <c r="BV267" s="857">
        <f>_xlfn.IFERROR(BV262/BV166,0)*1000</f>
        <v>0</v>
      </c>
      <c r="BW267" s="857">
        <f>_xlfn.IFERROR(BW262/BW166,0)*1000</f>
        <v>0</v>
      </c>
      <c r="BX267" s="857">
        <f>_xlfn.IFERROR(BX262/BX166,0)*1000</f>
        <v>0</v>
      </c>
      <c r="BY267" s="857">
        <f>_xlfn.IFERROR(BY262/BY166,0)*1000</f>
        <v>0</v>
      </c>
      <c r="BZ267" s="857">
        <f>_xlfn.IFERROR(BZ262/BZ166,0)*1000</f>
        <v>0</v>
      </c>
      <c r="CA267" s="857">
        <f>_xlfn.IFERROR(CA262/CA166,0)*1000</f>
        <v>0</v>
      </c>
      <c r="CB267" s="857">
        <f>_xlfn.IFERROR(CB262/CB166,0)*1000</f>
        <v>0</v>
      </c>
      <c r="CC267" s="857">
        <f>_xlfn.IFERROR(CC262/CC166,0)*1000</f>
        <v>0</v>
      </c>
      <c r="CD267" s="857">
        <f>_xlfn.IFERROR(CD262/CD166,0)*1000</f>
        <v>0</v>
      </c>
      <c r="CE267" s="857">
        <f>_xlfn.IFERROR(CE262/CE166,0)*1000</f>
        <v>0</v>
      </c>
      <c r="CF267" s="857">
        <f>_xlfn.IFERROR(CF262/CF166,0)*1000</f>
        <v>0</v>
      </c>
      <c r="CG267" s="857">
        <f>_xlfn.IFERROR(CG262/CG166,0)*1000</f>
        <v>0</v>
      </c>
      <c r="CH267" s="857">
        <f>_xlfn.IFERROR(CH262/CH166,0)*1000</f>
        <v>0</v>
      </c>
      <c r="CI267" s="857">
        <f>_xlfn.IFERROR(CI262/CI166,0)*1000</f>
        <v>0</v>
      </c>
      <c r="CJ267" s="857">
        <f>_xlfn.IFERROR(CJ262/CJ166,0)*1000</f>
        <v>0</v>
      </c>
      <c r="CK267" s="857">
        <f>_xlfn.IFERROR(CK262/CK166,0)*1000</f>
        <v>0</v>
      </c>
      <c r="CL267" s="857">
        <f>_xlfn.IFERROR(CL262/CL166,0)*1000</f>
        <v>0</v>
      </c>
      <c r="CM267" s="857">
        <f>_xlfn.IFERROR(CM262/CM166,0)*1000</f>
        <v>0</v>
      </c>
      <c r="CN267" s="857">
        <f>_xlfn.IFERROR(CN262/CN166,0)*1000</f>
        <v>0</v>
      </c>
      <c r="CO267" s="857">
        <f>_xlfn.IFERROR(CO262/CO166,0)*1000</f>
        <v>0</v>
      </c>
      <c r="CP267" s="857">
        <f>_xlfn.IFERROR(CP262/CP166,0)*1000</f>
        <v>0</v>
      </c>
      <c r="CQ267" s="857">
        <f>_xlfn.IFERROR(CQ262/CQ166,0)*1000</f>
        <v>0</v>
      </c>
      <c r="CR267" s="857">
        <f>_xlfn.IFERROR(CR262/CR166,0)*1000</f>
        <v>0</v>
      </c>
      <c r="CS267" s="857">
        <f>_xlfn.IFERROR(CS262/CS166,0)*1000</f>
        <v>0</v>
      </c>
      <c r="CT267" s="73"/>
      <c r="CW267" s="1170" t="s">
        <v>887</v>
      </c>
      <c r="CX267" s="1175" t="s">
        <v>787</v>
      </c>
      <c r="CY267" s="1179" cm="1" t="str">
        <f t="array" ref="CY267:CY267">AE267</f>
        <v>0</v>
      </c>
      <c r="CZ267" s="1179" cm="1" t="str">
        <f t="array" ref="CZ267:CZ267">AF267</f>
        <v>0</v>
      </c>
      <c r="DA267" s="1176"/>
      <c r="DB267" s="1176"/>
    </row>
    <row s="1619" customFormat="1" customHeight="1" ht="16.5">
      <c r="A268" s="1619"/>
      <c r="B268" s="1619"/>
      <c r="C268" s="1619"/>
      <c r="D268" s="1619"/>
      <c r="E268" s="794">
        <v>17.1</v>
      </c>
      <c r="F268" s="919" cm="1" t="str">
        <f t="array" ref="F268:F268">OFFSET(G268,-1,-1)</f>
        <v>1</v>
      </c>
      <c r="G268" s="1619"/>
      <c r="H268" s="1619"/>
      <c r="I268" s="1619"/>
      <c r="J268" s="1619"/>
      <c r="K268" s="1619"/>
      <c r="L268" s="919" cm="1" t="str">
        <f t="array" ref="L268:L268">OFFSET(M268,-1,-1)</f>
        <v>false</v>
      </c>
      <c r="M268" s="1619"/>
      <c r="N268" s="1619"/>
      <c r="O268" s="1619"/>
      <c r="P268" s="1619"/>
      <c r="Q268" s="1619"/>
      <c r="R268" s="1619"/>
      <c r="S268" s="156" cm="1" t="str">
        <f t="array" ref="S268:S268">OFFSET(T268,-1,-1)</f>
        <v>true</v>
      </c>
      <c r="T268" s="156">
        <f>AD268&lt;&gt;"41.0"</f>
        <v>1</v>
      </c>
      <c r="U268" s="816">
        <f>AND(S268,IF(ISBLANK(T268),TRUE,T268))</f>
        <v>1</v>
      </c>
      <c r="V268" s="1619"/>
      <c r="W268" s="1619"/>
      <c r="X268" s="156" t="str">
        <f>'Топливо 4.4'!$AE$263&amp;'Топливо 4.4'!$AF$263</f>
        <v>Уголь бурыйБ</v>
      </c>
      <c r="Y268" s="1619"/>
      <c r="Z268" s="1619"/>
      <c r="AA268" s="1619"/>
      <c r="AB268" s="1524"/>
      <c r="AC268" s="1619"/>
      <c r="AD268" s="157" t="s">
        <v>921</v>
      </c>
      <c r="AE268" s="971" cm="1" t="str">
        <f t="array" ref="AE268:AE268">IF(ISBLANK('Топливо 4.4'!$AE$263),"",'Топливо 4.4'!$AE$263)</f>
        <v>Уголь бурый</v>
      </c>
      <c r="AF268" s="622" cm="1" t="str">
        <f t="array" ref="AF268:AF268">IF(ISBLANK('Топливо 4.4'!$AF$263),"",'Топливо 4.4'!$AF$263)</f>
        <v>Б</v>
      </c>
      <c r="AG268" s="856" t="s">
        <v>885</v>
      </c>
      <c r="AH268" s="857">
        <f>_xlfn.IFERROR(AH263/AH167,0)*1000</f>
        <v>0</v>
      </c>
      <c r="AI268" s="857">
        <f>_xlfn.IFERROR(AI263/AI167,0)*1000</f>
        <v>0</v>
      </c>
      <c r="AJ268" s="857">
        <f>_xlfn.IFERROR(AJ263/AJ167,0)*1000</f>
        <v>0</v>
      </c>
      <c r="AK268" s="857">
        <f>_xlfn.IFERROR(AK263/AK167,0)*1000</f>
        <v>0</v>
      </c>
      <c r="AL268" s="857">
        <f>_xlfn.IFERROR(AL263/AL167,0)*1000</f>
        <v>15373.0166666667</v>
      </c>
      <c r="AM268" s="857">
        <f>_xlfn.IFERROR(AM263/AM167,0)*1000</f>
        <v>15373.0166666667</v>
      </c>
      <c r="AN268" s="857">
        <f>_xlfn.IFERROR(AN263/AN167,0)*1000</f>
        <v>15373.0166666667</v>
      </c>
      <c r="AO268" s="857">
        <f>_xlfn.IFERROR(AO263/AO167,0)*1000</f>
        <v>16229.7333333333</v>
      </c>
      <c r="AP268" s="857">
        <f>_xlfn.IFERROR(AP263/AP167,0)*1000</f>
        <v>16229.7333333333</v>
      </c>
      <c r="AQ268" s="857">
        <f>_xlfn.IFERROR(AQ263/AQ167,0)*1000</f>
        <v>16229.7333333333</v>
      </c>
      <c r="AR268" s="857">
        <f>_xlfn.IFERROR(AR263/AR167,0)*1000</f>
        <v>16843.15</v>
      </c>
      <c r="AS268" s="857">
        <f>_xlfn.IFERROR(AS263/AS167,0)*1000</f>
        <v>16843.15</v>
      </c>
      <c r="AT268" s="857">
        <f>_xlfn.IFERROR(AT263/AT167,0)*1000</f>
        <v>16843.15</v>
      </c>
      <c r="AU268" s="857">
        <f>_xlfn.IFERROR(AU263/AU167,0)*1000</f>
        <v>17480.55</v>
      </c>
      <c r="AV268" s="857">
        <f>_xlfn.IFERROR(AV263/AV167,0)*1000</f>
        <v>17480.55</v>
      </c>
      <c r="AW268" s="857">
        <f>_xlfn.IFERROR(AW263/AW167,0)*1000</f>
        <v>17480.55</v>
      </c>
      <c r="AX268" s="857">
        <f>_xlfn.IFERROR(AX263/AX167,0)*1000</f>
        <v>18145.3833333333</v>
      </c>
      <c r="AY268" s="857">
        <f>_xlfn.IFERROR(AY263/AY167,0)*1000</f>
        <v>18145.3833333333</v>
      </c>
      <c r="AZ268" s="857">
        <f>_xlfn.IFERROR(AZ263/AZ167,0)*1000</f>
        <v>18145.3833333333</v>
      </c>
      <c r="BA268" s="857">
        <f>_xlfn.IFERROR(BA263/BA167,0)*1000</f>
        <v>0</v>
      </c>
      <c r="BB268" s="857">
        <f>_xlfn.IFERROR(BB263/BB167,0)*1000</f>
        <v>0</v>
      </c>
      <c r="BC268" s="857">
        <f>_xlfn.IFERROR(BC263/BC167,0)*1000</f>
        <v>0</v>
      </c>
      <c r="BD268" s="857">
        <f>_xlfn.IFERROR(BD263/BD167,0)*1000</f>
        <v>0</v>
      </c>
      <c r="BE268" s="857">
        <f>_xlfn.IFERROR(BE263/BE167,0)*1000</f>
        <v>0</v>
      </c>
      <c r="BF268" s="857">
        <f>_xlfn.IFERROR(BF263/BF167,0)*1000</f>
        <v>0</v>
      </c>
      <c r="BG268" s="857">
        <f>_xlfn.IFERROR(BG263/BG167,0)*1000</f>
        <v>0</v>
      </c>
      <c r="BH268" s="857">
        <f>_xlfn.IFERROR(BH263/BH167,0)*1000</f>
        <v>0</v>
      </c>
      <c r="BI268" s="857">
        <f>_xlfn.IFERROR(BI263/BI167,0)*1000</f>
        <v>0</v>
      </c>
      <c r="BJ268" s="857">
        <f>_xlfn.IFERROR(BJ263/BJ167,0)*1000</f>
        <v>0</v>
      </c>
      <c r="BK268" s="857">
        <f>_xlfn.IFERROR(BK263/BK167,0)*1000</f>
        <v>0</v>
      </c>
      <c r="BL268" s="857">
        <f>_xlfn.IFERROR(BL263/BL167,0)*1000</f>
        <v>0</v>
      </c>
      <c r="BM268" s="857">
        <f>_xlfn.IFERROR(BM263/BM167,0)*1000</f>
        <v>0</v>
      </c>
      <c r="BN268" s="857">
        <f>_xlfn.IFERROR(BN263/BN167,0)*1000</f>
        <v>0</v>
      </c>
      <c r="BO268" s="857">
        <f>_xlfn.IFERROR(BO263/BO167,0)*1000</f>
        <v>0</v>
      </c>
      <c r="BP268" s="857">
        <f>_xlfn.IFERROR(BP263/BP167,0)*1000</f>
        <v>13293.0471248048</v>
      </c>
      <c r="BQ268" s="857">
        <f>_xlfn.IFERROR(BQ263/BQ167,0)*1000</f>
        <v>13293.0471248048</v>
      </c>
      <c r="BR268" s="857">
        <f>_xlfn.IFERROR(BR263/BR167,0)*1000</f>
        <v>13293.0471248048</v>
      </c>
      <c r="BS268" s="857">
        <f>_xlfn.IFERROR(BS263/BS167,0)*1000</f>
        <v>13877.9474646733</v>
      </c>
      <c r="BT268" s="857">
        <f>_xlfn.IFERROR(BT263/BT167,0)*1000</f>
        <v>13877.9474646733</v>
      </c>
      <c r="BU268" s="857">
        <f>_xlfn.IFERROR(BU263/BU167,0)*1000</f>
        <v>13877.9474646733</v>
      </c>
      <c r="BV268" s="857">
        <f>_xlfn.IFERROR(BV263/BV167,0)*1000</f>
        <v>14252.6438339674</v>
      </c>
      <c r="BW268" s="857">
        <f>_xlfn.IFERROR(BW263/BW167,0)*1000</f>
        <v>14252.6438339674</v>
      </c>
      <c r="BX268" s="857">
        <f>_xlfn.IFERROR(BX263/BX167,0)*1000</f>
        <v>14252.6438339674</v>
      </c>
      <c r="BY268" s="857">
        <f>_xlfn.IFERROR(BY263/BY167,0)*1000</f>
        <v>14637.4653494082</v>
      </c>
      <c r="BZ268" s="857">
        <f>_xlfn.IFERROR(BZ263/BZ167,0)*1000</f>
        <v>14637.4653494082</v>
      </c>
      <c r="CA268" s="857">
        <f>_xlfn.IFERROR(CA263/CA167,0)*1000</f>
        <v>14637.4653494083</v>
      </c>
      <c r="CB268" s="857">
        <f>_xlfn.IFERROR(CB263/CB167,0)*1000</f>
        <v>15032.6758584525</v>
      </c>
      <c r="CC268" s="857">
        <f>_xlfn.IFERROR(CC263/CC167,0)*1000</f>
        <v>15032.6758584524</v>
      </c>
      <c r="CD268" s="857">
        <f>_xlfn.IFERROR(CD263/CD167,0)*1000</f>
        <v>15032.6758584525</v>
      </c>
      <c r="CE268" s="857">
        <f>_xlfn.IFERROR(CE263/CE167,0)*1000</f>
        <v>0</v>
      </c>
      <c r="CF268" s="857">
        <f>_xlfn.IFERROR(CF263/CF167,0)*1000</f>
        <v>0</v>
      </c>
      <c r="CG268" s="857">
        <f>_xlfn.IFERROR(CG263/CG167,0)*1000</f>
        <v>0</v>
      </c>
      <c r="CH268" s="857">
        <f>_xlfn.IFERROR(CH263/CH167,0)*1000</f>
        <v>0</v>
      </c>
      <c r="CI268" s="857">
        <f>_xlfn.IFERROR(CI263/CI167,0)*1000</f>
        <v>0</v>
      </c>
      <c r="CJ268" s="857">
        <f>_xlfn.IFERROR(CJ263/CJ167,0)*1000</f>
        <v>0</v>
      </c>
      <c r="CK268" s="857">
        <f>_xlfn.IFERROR(CK263/CK167,0)*1000</f>
        <v>0</v>
      </c>
      <c r="CL268" s="857">
        <f>_xlfn.IFERROR(CL263/CL167,0)*1000</f>
        <v>0</v>
      </c>
      <c r="CM268" s="857">
        <f>_xlfn.IFERROR(CM263/CM167,0)*1000</f>
        <v>0</v>
      </c>
      <c r="CN268" s="857">
        <f>_xlfn.IFERROR(CN263/CN167,0)*1000</f>
        <v>0</v>
      </c>
      <c r="CO268" s="857">
        <f>_xlfn.IFERROR(CO263/CO167,0)*1000</f>
        <v>0</v>
      </c>
      <c r="CP268" s="857">
        <f>_xlfn.IFERROR(CP263/CP167,0)*1000</f>
        <v>0</v>
      </c>
      <c r="CQ268" s="857">
        <f>_xlfn.IFERROR(CQ263/CQ167,0)*1000</f>
        <v>0</v>
      </c>
      <c r="CR268" s="857">
        <f>_xlfn.IFERROR(CR263/CR167,0)*1000</f>
        <v>0</v>
      </c>
      <c r="CS268" s="857">
        <f>_xlfn.IFERROR(CS263/CS167,0)*1000</f>
        <v>0</v>
      </c>
      <c r="CT268" s="1730"/>
      <c r="CU268" s="1619"/>
      <c r="CV268" s="1619"/>
      <c r="CW268" s="1170" t="s">
        <v>887</v>
      </c>
      <c r="CX268" s="1175" t="s">
        <v>787</v>
      </c>
      <c r="CY268" s="1179" cm="1" t="str">
        <f t="array" ref="CY268:CY268">AE268</f>
        <v>Уголь бурый</v>
      </c>
      <c r="CZ268" s="1179" cm="1" t="str">
        <f t="array" ref="CZ268:CZ268">AF268</f>
        <v>Б</v>
      </c>
      <c r="DA268" s="1176"/>
      <c r="DB268" s="1176"/>
    </row>
    <row s="1619" customFormat="1" customHeight="1" ht="15" hidden="1">
      <c r="A269" s="1440"/>
      <c r="B269" s="924"/>
      <c r="C269" s="1440"/>
      <c r="D269" s="1440"/>
      <c r="E269" s="794">
        <v>0</v>
      </c>
      <c r="F269" s="919" cm="1" t="str">
        <f t="array" ref="F269:F269">OFFSET(G269,-1,-1)</f>
        <v>1</v>
      </c>
      <c r="G269" s="962"/>
      <c r="H269" s="962"/>
      <c r="I269" s="962"/>
      <c r="J269" s="962"/>
      <c r="K269" s="962"/>
      <c r="L269" s="919" cm="1" t="str">
        <f t="array" ref="L269:L269">OFFSET(M269,-1,-1)</f>
        <v>false</v>
      </c>
      <c r="M269" s="962"/>
      <c r="N269" s="962"/>
      <c r="O269" s="962"/>
      <c r="P269" s="962"/>
      <c r="Q269" s="962"/>
      <c r="R269" s="1440"/>
      <c r="S269" s="156" cm="1" t="str">
        <f t="array" ref="S269:S269">OFFSET(T269,-1,-1)</f>
        <v>true</v>
      </c>
      <c r="T269" s="1440"/>
      <c r="U269" s="816">
        <f>AND(S269,IF(ISBLANK(T269),TRUE,T269))</f>
        <v>1</v>
      </c>
      <c r="V269" s="1440"/>
      <c r="W269" s="1440"/>
      <c r="X269" s="970" t="str">
        <f>"{                  
         funcDyn: 'msg1',
         blok: 'blok_2',
         wsCross: 'Топливо 4.4',
         linkFormula: 'AE-AE#AF-AF',
         levelDyn: "&amp;Y139&amp;"
}"</f>
        <v>{                  
         funcDyn: 'msg1',
         blok: 'blok_2',
         wsCross: 'Топливо 4.4',
         linkFormula: 'AE-AE#AF-AF',
         levelDyn: 1
}</v>
      </c>
      <c r="Y269" s="1440"/>
      <c r="Z269" s="1440"/>
      <c r="AA269" s="817"/>
      <c r="AB269" s="1524"/>
      <c r="AC269" s="1619"/>
      <c r="AD269" s="973"/>
      <c r="AE269" s="972" t="s">
        <v>235</v>
      </c>
      <c r="AF269" s="871"/>
      <c r="AG269" s="856"/>
      <c r="AH269" s="858"/>
      <c r="AI269" s="860"/>
      <c r="AJ269" s="860"/>
      <c r="AK269" s="860"/>
      <c r="AL269" s="860"/>
      <c r="AM269" s="860"/>
      <c r="AN269" s="860"/>
      <c r="AO269" s="860"/>
      <c r="AP269" s="860"/>
      <c r="AQ269" s="860"/>
      <c r="AR269" s="860"/>
      <c r="AS269" s="860"/>
      <c r="AT269" s="860"/>
      <c r="AU269" s="860"/>
      <c r="AV269" s="860"/>
      <c r="AW269" s="860"/>
      <c r="AX269" s="860"/>
      <c r="AY269" s="860"/>
      <c r="AZ269" s="860"/>
      <c r="BA269" s="860"/>
      <c r="BB269" s="860"/>
      <c r="BC269" s="860"/>
      <c r="BD269" s="860"/>
      <c r="BE269" s="860"/>
      <c r="BF269" s="860"/>
      <c r="BG269" s="860"/>
      <c r="BH269" s="860"/>
      <c r="BI269" s="860"/>
      <c r="BJ269" s="860"/>
      <c r="BK269" s="860"/>
      <c r="BL269" s="860"/>
      <c r="BM269" s="860"/>
      <c r="BN269" s="860"/>
      <c r="BO269" s="860"/>
      <c r="BP269" s="860"/>
      <c r="BQ269" s="860"/>
      <c r="BR269" s="860"/>
      <c r="BS269" s="860"/>
      <c r="BT269" s="860"/>
      <c r="BU269" s="860"/>
      <c r="BV269" s="860"/>
      <c r="BW269" s="860"/>
      <c r="BX269" s="860"/>
      <c r="BY269" s="860"/>
      <c r="BZ269" s="860"/>
      <c r="CA269" s="860"/>
      <c r="CB269" s="860"/>
      <c r="CC269" s="860"/>
      <c r="CD269" s="860"/>
      <c r="CE269" s="860"/>
      <c r="CF269" s="860"/>
      <c r="CG269" s="860"/>
      <c r="CH269" s="860"/>
      <c r="CI269" s="860"/>
      <c r="CJ269" s="860"/>
      <c r="CK269" s="860"/>
      <c r="CL269" s="860"/>
      <c r="CM269" s="860"/>
      <c r="CN269" s="860"/>
      <c r="CO269" s="860"/>
      <c r="CP269" s="860"/>
      <c r="CQ269" s="860"/>
      <c r="CR269" s="860"/>
      <c r="CS269" s="860"/>
      <c r="CT269" s="91"/>
      <c r="CU269" s="1619"/>
      <c r="CV269" s="1619"/>
      <c r="CW269" s="1170" t="str">
        <f>IF(AND(ISNUMBER(VALUE(TRIM(SUBSTITUTE(AD269,".","")))),TRIM(SUBSTITUTE(AD269,".",""))&lt;&gt;""),"P"&amp;SUBSTITUTE(AD269,".",""),"")</f>
        <v/>
      </c>
      <c r="CX269" s="1175"/>
      <c r="CY269" s="1175"/>
      <c r="CZ269" s="1175"/>
      <c r="DA269" s="1176"/>
      <c r="DB269" s="1176"/>
    </row>
    <row s="1619" customFormat="1" customHeight="1" ht="16.5">
      <c r="A270" s="1440"/>
      <c r="B270" s="924"/>
      <c r="C270" s="1440"/>
      <c r="D270" s="1440"/>
      <c r="E270" s="794">
        <v>17.1</v>
      </c>
      <c r="F270" s="919" cm="1" t="str">
        <f t="array" ref="F270:F270">OFFSET(G270,-1,-1)</f>
        <v>1</v>
      </c>
      <c r="G270" s="962"/>
      <c r="H270" s="962"/>
      <c r="I270" s="962"/>
      <c r="J270" s="962"/>
      <c r="K270" s="962"/>
      <c r="L270" s="919" cm="1" t="str">
        <f t="array" ref="L270:L270">OFFSET(M270,-1,-1)</f>
        <v>false</v>
      </c>
      <c r="M270" s="962"/>
      <c r="N270" s="962"/>
      <c r="O270" s="962"/>
      <c r="P270" s="962"/>
      <c r="Q270" s="962"/>
      <c r="R270" s="1440"/>
      <c r="S270" s="156" cm="1" t="str">
        <f t="array" ref="S270:S270">OFFSET(T270,-1,-1)</f>
        <v>true</v>
      </c>
      <c r="T270" s="1440"/>
      <c r="U270" s="816">
        <f>AND(S270,IF(ISBLANK(T270),TRUE,T270))</f>
        <v>1</v>
      </c>
      <c r="V270" s="1440"/>
      <c r="W270" s="1440"/>
      <c r="X270" s="1440"/>
      <c r="Y270" s="1440"/>
      <c r="Z270" s="1440"/>
      <c r="AA270" s="817"/>
      <c r="AB270" s="1524"/>
      <c r="AC270" s="1619"/>
      <c r="AD270" s="170" t="s">
        <v>889</v>
      </c>
      <c r="AE270" s="1494" t="s">
        <v>890</v>
      </c>
      <c r="AF270" s="320"/>
      <c r="AG270" s="1007"/>
      <c r="AH270" s="858"/>
      <c r="AI270" s="860"/>
      <c r="AJ270" s="860"/>
      <c r="AK270" s="860"/>
      <c r="AL270" s="860"/>
      <c r="AM270" s="860"/>
      <c r="AN270" s="860"/>
      <c r="AO270" s="860"/>
      <c r="AP270" s="860"/>
      <c r="AQ270" s="860"/>
      <c r="AR270" s="860"/>
      <c r="AS270" s="860"/>
      <c r="AT270" s="860"/>
      <c r="AU270" s="860"/>
      <c r="AV270" s="860"/>
      <c r="AW270" s="860"/>
      <c r="AX270" s="860"/>
      <c r="AY270" s="860"/>
      <c r="AZ270" s="860"/>
      <c r="BA270" s="860"/>
      <c r="BB270" s="860"/>
      <c r="BC270" s="860"/>
      <c r="BD270" s="860"/>
      <c r="BE270" s="860"/>
      <c r="BF270" s="860"/>
      <c r="BG270" s="860"/>
      <c r="BH270" s="860"/>
      <c r="BI270" s="860"/>
      <c r="BJ270" s="860"/>
      <c r="BK270" s="860"/>
      <c r="BL270" s="860"/>
      <c r="BM270" s="860"/>
      <c r="BN270" s="860"/>
      <c r="BO270" s="860"/>
      <c r="BP270" s="860"/>
      <c r="BQ270" s="860"/>
      <c r="BR270" s="860"/>
      <c r="BS270" s="860"/>
      <c r="BT270" s="860"/>
      <c r="BU270" s="860"/>
      <c r="BV270" s="860"/>
      <c r="BW270" s="860"/>
      <c r="BX270" s="860"/>
      <c r="BY270" s="860"/>
      <c r="BZ270" s="860"/>
      <c r="CA270" s="860"/>
      <c r="CB270" s="860"/>
      <c r="CC270" s="860"/>
      <c r="CD270" s="860"/>
      <c r="CE270" s="860"/>
      <c r="CF270" s="860"/>
      <c r="CG270" s="860"/>
      <c r="CH270" s="860"/>
      <c r="CI270" s="860"/>
      <c r="CJ270" s="860"/>
      <c r="CK270" s="860"/>
      <c r="CL270" s="860"/>
      <c r="CM270" s="860"/>
      <c r="CN270" s="860"/>
      <c r="CO270" s="860"/>
      <c r="CP270" s="860"/>
      <c r="CQ270" s="860"/>
      <c r="CR270" s="860"/>
      <c r="CS270" s="860"/>
      <c r="CT270" s="1730"/>
      <c r="CU270" s="1619"/>
      <c r="CV270" s="1619"/>
      <c r="CW270" s="1170" t="s">
        <v>891</v>
      </c>
      <c r="CX270" s="1175"/>
      <c r="CY270" s="1175"/>
      <c r="CZ270" s="1175"/>
      <c r="DA270" s="1176"/>
      <c r="DB270" s="1176"/>
    </row>
    <row s="1619" customFormat="1" customHeight="1" ht="16.5" hidden="1">
      <c r="E271" s="794">
        <v>17.1</v>
      </c>
      <c r="F271" s="919" cm="1" t="str">
        <f t="array" ref="F271:F271">OFFSET(G271,-1,-1)</f>
        <v>1</v>
      </c>
      <c r="L271" s="919" cm="1" t="str">
        <f t="array" ref="L271:L271">OFFSET(M271,-1,-1)</f>
        <v>false</v>
      </c>
      <c r="S271" s="156" cm="1" t="str">
        <f t="array" ref="S271:S271">OFFSET(T271,-1,-1)</f>
        <v>true</v>
      </c>
      <c r="T271" s="156">
        <f>AD271&lt;&gt;"42.0"</f>
        <v>0</v>
      </c>
      <c r="U271" s="816">
        <f>AND(S271,IF(ISBLANK(T271),TRUE,T271))</f>
        <v>0</v>
      </c>
      <c r="X271" s="156" t="s">
        <v>233</v>
      </c>
      <c r="AB271" s="1524"/>
      <c r="AD271" s="157" t="s">
        <v>892</v>
      </c>
      <c r="AE271" s="971"/>
      <c r="AF271" s="622"/>
      <c r="AG271" s="1067" t="str">
        <f>"руб./"&amp;_xlfn.IFERROR(INDEX(fuel_ed_izm_list,MATCH(AE271,fuel_list,0)),"")</f>
        <v>руб./</v>
      </c>
      <c r="AH271" s="1141">
        <f>_xlfn.IFERROR(AH262/AH178,0)*1000</f>
        <v>0</v>
      </c>
      <c r="AI271" s="1141">
        <f>_xlfn.IFERROR(AI262/AI178,0)*1000</f>
        <v>0</v>
      </c>
      <c r="AJ271" s="1141">
        <f>_xlfn.IFERROR(AJ262/AJ178,0)*1000</f>
        <v>0</v>
      </c>
      <c r="AK271" s="1141">
        <f>_xlfn.IFERROR(AK262/AK178,0)*1000</f>
        <v>0</v>
      </c>
      <c r="AL271" s="1141">
        <f>_xlfn.IFERROR(AL262/AL178,0)*1000</f>
        <v>0</v>
      </c>
      <c r="AM271" s="1141">
        <f>_xlfn.IFERROR(AM262/AM178,0)*1000</f>
        <v>0</v>
      </c>
      <c r="AN271" s="1141">
        <f>_xlfn.IFERROR(AN262/AN178,0)*1000</f>
        <v>0</v>
      </c>
      <c r="AO271" s="1141">
        <f>_xlfn.IFERROR(AO262/AO178,0)*1000</f>
        <v>0</v>
      </c>
      <c r="AP271" s="1141">
        <f>_xlfn.IFERROR(AP262/AP178,0)*1000</f>
        <v>0</v>
      </c>
      <c r="AQ271" s="1141">
        <f>_xlfn.IFERROR(AQ262/AQ178,0)*1000</f>
        <v>0</v>
      </c>
      <c r="AR271" s="1141">
        <f>_xlfn.IFERROR(AR262/AR178,0)*1000</f>
        <v>0</v>
      </c>
      <c r="AS271" s="1141">
        <f>_xlfn.IFERROR(AS262/AS178,0)*1000</f>
        <v>0</v>
      </c>
      <c r="AT271" s="1141">
        <f>_xlfn.IFERROR(AT262/AT178,0)*1000</f>
        <v>0</v>
      </c>
      <c r="AU271" s="1141">
        <f>_xlfn.IFERROR(AU262/AU178,0)*1000</f>
        <v>0</v>
      </c>
      <c r="AV271" s="1141">
        <f>_xlfn.IFERROR(AV262/AV178,0)*1000</f>
        <v>0</v>
      </c>
      <c r="AW271" s="1141">
        <f>_xlfn.IFERROR(AW262/AW178,0)*1000</f>
        <v>0</v>
      </c>
      <c r="AX271" s="1141">
        <f>_xlfn.IFERROR(AX262/AX178,0)*1000</f>
        <v>0</v>
      </c>
      <c r="AY271" s="1141">
        <f>_xlfn.IFERROR(AY262/AY178,0)*1000</f>
        <v>0</v>
      </c>
      <c r="AZ271" s="1141">
        <f>_xlfn.IFERROR(AZ262/AZ178,0)*1000</f>
        <v>0</v>
      </c>
      <c r="BA271" s="1141">
        <f>_xlfn.IFERROR(BA262/BA178,0)*1000</f>
        <v>0</v>
      </c>
      <c r="BB271" s="1141">
        <f>_xlfn.IFERROR(BB262/BB178,0)*1000</f>
        <v>0</v>
      </c>
      <c r="BC271" s="1141">
        <f>_xlfn.IFERROR(BC262/BC178,0)*1000</f>
        <v>0</v>
      </c>
      <c r="BD271" s="1141">
        <f>_xlfn.IFERROR(BD262/BD178,0)*1000</f>
        <v>0</v>
      </c>
      <c r="BE271" s="1141">
        <f>_xlfn.IFERROR(BE262/BE178,0)*1000</f>
        <v>0</v>
      </c>
      <c r="BF271" s="1141">
        <f>_xlfn.IFERROR(BF262/BF178,0)*1000</f>
        <v>0</v>
      </c>
      <c r="BG271" s="1141">
        <f>_xlfn.IFERROR(BG262/BG178,0)*1000</f>
        <v>0</v>
      </c>
      <c r="BH271" s="1141">
        <f>_xlfn.IFERROR(BH262/BH178,0)*1000</f>
        <v>0</v>
      </c>
      <c r="BI271" s="1141">
        <f>_xlfn.IFERROR(BI262/BI178,0)*1000</f>
        <v>0</v>
      </c>
      <c r="BJ271" s="1141">
        <f>_xlfn.IFERROR(BJ262/BJ178,0)*1000</f>
        <v>0</v>
      </c>
      <c r="BK271" s="1141">
        <f>_xlfn.IFERROR(BK262/BK178,0)*1000</f>
        <v>0</v>
      </c>
      <c r="BL271" s="1141">
        <f>_xlfn.IFERROR(BL262/BL178,0)*1000</f>
        <v>0</v>
      </c>
      <c r="BM271" s="1141">
        <f>_xlfn.IFERROR(BM262/BM178,0)*1000</f>
        <v>0</v>
      </c>
      <c r="BN271" s="1141">
        <f>_xlfn.IFERROR(BN262/BN178,0)*1000</f>
        <v>0</v>
      </c>
      <c r="BO271" s="1141">
        <f>_xlfn.IFERROR(BO262/BO178,0)*1000</f>
        <v>0</v>
      </c>
      <c r="BP271" s="1141">
        <f>_xlfn.IFERROR(BP262/BP178,0)*1000</f>
        <v>0</v>
      </c>
      <c r="BQ271" s="1141">
        <f>_xlfn.IFERROR(BQ262/BQ178,0)*1000</f>
        <v>0</v>
      </c>
      <c r="BR271" s="1141">
        <f>_xlfn.IFERROR(BR262/BR178,0)*1000</f>
        <v>0</v>
      </c>
      <c r="BS271" s="1141">
        <f>_xlfn.IFERROR(BS262/BS178,0)*1000</f>
        <v>0</v>
      </c>
      <c r="BT271" s="1141">
        <f>_xlfn.IFERROR(BT262/BT178,0)*1000</f>
        <v>0</v>
      </c>
      <c r="BU271" s="1141">
        <f>_xlfn.IFERROR(BU262/BU178,0)*1000</f>
        <v>0</v>
      </c>
      <c r="BV271" s="1141">
        <f>_xlfn.IFERROR(BV262/BV178,0)*1000</f>
        <v>0</v>
      </c>
      <c r="BW271" s="1141">
        <f>_xlfn.IFERROR(BW262/BW178,0)*1000</f>
        <v>0</v>
      </c>
      <c r="BX271" s="1141">
        <f>_xlfn.IFERROR(BX262/BX178,0)*1000</f>
        <v>0</v>
      </c>
      <c r="BY271" s="1141">
        <f>_xlfn.IFERROR(BY262/BY178,0)*1000</f>
        <v>0</v>
      </c>
      <c r="BZ271" s="1141">
        <f>_xlfn.IFERROR(BZ262/BZ178,0)*1000</f>
        <v>0</v>
      </c>
      <c r="CA271" s="1141">
        <f>_xlfn.IFERROR(CA262/CA178,0)*1000</f>
        <v>0</v>
      </c>
      <c r="CB271" s="1141">
        <f>_xlfn.IFERROR(CB262/CB178,0)*1000</f>
        <v>0</v>
      </c>
      <c r="CC271" s="1141">
        <f>_xlfn.IFERROR(CC262/CC178,0)*1000</f>
        <v>0</v>
      </c>
      <c r="CD271" s="1141">
        <f>_xlfn.IFERROR(CD262/CD178,0)*1000</f>
        <v>0</v>
      </c>
      <c r="CE271" s="1141">
        <f>_xlfn.IFERROR(CE262/CE178,0)*1000</f>
        <v>0</v>
      </c>
      <c r="CF271" s="1141">
        <f>_xlfn.IFERROR(CF262/CF178,0)*1000</f>
        <v>0</v>
      </c>
      <c r="CG271" s="1141">
        <f>_xlfn.IFERROR(CG262/CG178,0)*1000</f>
        <v>0</v>
      </c>
      <c r="CH271" s="1141">
        <f>_xlfn.IFERROR(CH262/CH178,0)*1000</f>
        <v>0</v>
      </c>
      <c r="CI271" s="1141">
        <f>_xlfn.IFERROR(CI262/CI178,0)*1000</f>
        <v>0</v>
      </c>
      <c r="CJ271" s="1141">
        <f>_xlfn.IFERROR(CJ262/CJ178,0)*1000</f>
        <v>0</v>
      </c>
      <c r="CK271" s="1141">
        <f>_xlfn.IFERROR(CK262/CK178,0)*1000</f>
        <v>0</v>
      </c>
      <c r="CL271" s="1141">
        <f>_xlfn.IFERROR(CL262/CL178,0)*1000</f>
        <v>0</v>
      </c>
      <c r="CM271" s="1141">
        <f>_xlfn.IFERROR(CM262/CM178,0)*1000</f>
        <v>0</v>
      </c>
      <c r="CN271" s="1141">
        <f>_xlfn.IFERROR(CN262/CN178,0)*1000</f>
        <v>0</v>
      </c>
      <c r="CO271" s="1141">
        <f>_xlfn.IFERROR(CO262/CO178,0)*1000</f>
        <v>0</v>
      </c>
      <c r="CP271" s="1141">
        <f>_xlfn.IFERROR(CP262/CP178,0)*1000</f>
        <v>0</v>
      </c>
      <c r="CQ271" s="1141">
        <f>_xlfn.IFERROR(CQ262/CQ178,0)*1000</f>
        <v>0</v>
      </c>
      <c r="CR271" s="1141">
        <f>_xlfn.IFERROR(CR262/CR178,0)*1000</f>
        <v>0</v>
      </c>
      <c r="CS271" s="1141">
        <f>_xlfn.IFERROR(CS262/CS178,0)*1000</f>
        <v>0</v>
      </c>
      <c r="CT271" s="73"/>
      <c r="CW271" s="1170" t="s">
        <v>891</v>
      </c>
      <c r="CX271" s="1175" t="s">
        <v>787</v>
      </c>
      <c r="CY271" s="1179" cm="1" t="str">
        <f t="array" ref="CY271:CY271">AE271</f>
        <v>0</v>
      </c>
      <c r="CZ271" s="1179" cm="1" t="str">
        <f t="array" ref="CZ271:CZ271">AF271</f>
        <v>0</v>
      </c>
      <c r="DA271" s="1176"/>
      <c r="DB271" s="1176"/>
    </row>
    <row s="1619" customFormat="1" customHeight="1" ht="16.5">
      <c r="A272" s="1619"/>
      <c r="B272" s="1619"/>
      <c r="C272" s="1619"/>
      <c r="D272" s="1619"/>
      <c r="E272" s="794">
        <v>17.1</v>
      </c>
      <c r="F272" s="919" cm="1" t="str">
        <f t="array" ref="F272:F272">OFFSET(G272,-1,-1)</f>
        <v>1</v>
      </c>
      <c r="G272" s="1619"/>
      <c r="H272" s="1619"/>
      <c r="I272" s="1619"/>
      <c r="J272" s="1619"/>
      <c r="K272" s="1619"/>
      <c r="L272" s="919" cm="1" t="str">
        <f t="array" ref="L272:L272">OFFSET(M272,-1,-1)</f>
        <v>false</v>
      </c>
      <c r="M272" s="1619"/>
      <c r="N272" s="1619"/>
      <c r="O272" s="1619"/>
      <c r="P272" s="1619"/>
      <c r="Q272" s="1619"/>
      <c r="R272" s="1619"/>
      <c r="S272" s="156" cm="1" t="str">
        <f t="array" ref="S272:S272">OFFSET(T272,-1,-1)</f>
        <v>true</v>
      </c>
      <c r="T272" s="156">
        <f>AD272&lt;&gt;"42.0"</f>
        <v>1</v>
      </c>
      <c r="U272" s="816">
        <f>AND(S272,IF(ISBLANK(T272),TRUE,T272))</f>
        <v>1</v>
      </c>
      <c r="V272" s="1619"/>
      <c r="W272" s="1619"/>
      <c r="X272" s="156" t="str">
        <f>'Топливо 4.4'!$AE$268&amp;'Топливо 4.4'!$AF$268</f>
        <v>Уголь бурыйБ</v>
      </c>
      <c r="Y272" s="1619"/>
      <c r="Z272" s="1619"/>
      <c r="AA272" s="1619"/>
      <c r="AB272" s="1524"/>
      <c r="AC272" s="1619"/>
      <c r="AD272" s="157" t="s">
        <v>922</v>
      </c>
      <c r="AE272" s="971" cm="1" t="str">
        <f t="array" ref="AE272:AE272">IF(ISBLANK('Топливо 4.4'!$AE$268),"",'Топливо 4.4'!$AE$268)</f>
        <v>Уголь бурый</v>
      </c>
      <c r="AF272" s="622" cm="1" t="str">
        <f t="array" ref="AF272:AF272">IF(ISBLANK('Топливо 4.4'!$AF$268),"",'Топливо 4.4'!$AF$268)</f>
        <v>Б</v>
      </c>
      <c r="AG272" s="1067" t="str">
        <f>"руб./"&amp;_xlfn.IFERROR(INDEX(fuel_ed_izm_list,MATCH(AE272,fuel_list,0)),"")</f>
        <v>руб./тнт</v>
      </c>
      <c r="AH272" s="1141">
        <f>_xlfn.IFERROR(AH263/AH179,0)*1000</f>
        <v>0</v>
      </c>
      <c r="AI272" s="1141">
        <f>_xlfn.IFERROR(AI263/AI179,0)*1000</f>
        <v>0</v>
      </c>
      <c r="AJ272" s="1141">
        <f>_xlfn.IFERROR(AJ263/AJ179,0)*1000</f>
        <v>0</v>
      </c>
      <c r="AK272" s="1141">
        <f>_xlfn.IFERROR(AK263/AK179,0)*1000</f>
        <v>0</v>
      </c>
      <c r="AL272" s="1141">
        <f>_xlfn.IFERROR(AL263/AL179,0)*1000</f>
        <v>9223.81</v>
      </c>
      <c r="AM272" s="1141">
        <f>_xlfn.IFERROR(AM263/AM179,0)*1000</f>
        <v>9223.81</v>
      </c>
      <c r="AN272" s="1141">
        <f>_xlfn.IFERROR(AN263/AN179,0)*1000</f>
        <v>9223.81</v>
      </c>
      <c r="AO272" s="1141">
        <f>_xlfn.IFERROR(AO263/AO179,0)*1000</f>
        <v>9737.84</v>
      </c>
      <c r="AP272" s="1141">
        <f>_xlfn.IFERROR(AP263/AP179,0)*1000</f>
        <v>9737.84</v>
      </c>
      <c r="AQ272" s="1141">
        <f>_xlfn.IFERROR(AQ263/AQ179,0)*1000</f>
        <v>9737.84</v>
      </c>
      <c r="AR272" s="1141">
        <f>_xlfn.IFERROR(AR263/AR179,0)*1000</f>
        <v>10105.89</v>
      </c>
      <c r="AS272" s="1141">
        <f>_xlfn.IFERROR(AS263/AS179,0)*1000</f>
        <v>10105.89</v>
      </c>
      <c r="AT272" s="1141">
        <f>_xlfn.IFERROR(AT263/AT179,0)*1000</f>
        <v>10105.89</v>
      </c>
      <c r="AU272" s="1141">
        <f>_xlfn.IFERROR(AU263/AU179,0)*1000</f>
        <v>10488.33</v>
      </c>
      <c r="AV272" s="1141">
        <f>_xlfn.IFERROR(AV263/AV179,0)*1000</f>
        <v>10488.33</v>
      </c>
      <c r="AW272" s="1141">
        <f>_xlfn.IFERROR(AW263/AW179,0)*1000</f>
        <v>10488.33</v>
      </c>
      <c r="AX272" s="1141">
        <f>_xlfn.IFERROR(AX263/AX179,0)*1000</f>
        <v>10887.23</v>
      </c>
      <c r="AY272" s="1141">
        <f>_xlfn.IFERROR(AY263/AY179,0)*1000</f>
        <v>10887.23</v>
      </c>
      <c r="AZ272" s="1141">
        <f>_xlfn.IFERROR(AZ263/AZ179,0)*1000</f>
        <v>10887.23</v>
      </c>
      <c r="BA272" s="1141">
        <f>_xlfn.IFERROR(BA263/BA179,0)*1000</f>
        <v>0</v>
      </c>
      <c r="BB272" s="1141">
        <f>_xlfn.IFERROR(BB263/BB179,0)*1000</f>
        <v>0</v>
      </c>
      <c r="BC272" s="1141">
        <f>_xlfn.IFERROR(BC263/BC179,0)*1000</f>
        <v>0</v>
      </c>
      <c r="BD272" s="1141">
        <f>_xlfn.IFERROR(BD263/BD179,0)*1000</f>
        <v>0</v>
      </c>
      <c r="BE272" s="1141">
        <f>_xlfn.IFERROR(BE263/BE179,0)*1000</f>
        <v>0</v>
      </c>
      <c r="BF272" s="1141">
        <f>_xlfn.IFERROR(BF263/BF179,0)*1000</f>
        <v>0</v>
      </c>
      <c r="BG272" s="1141">
        <f>_xlfn.IFERROR(BG263/BG179,0)*1000</f>
        <v>0</v>
      </c>
      <c r="BH272" s="1141">
        <f>_xlfn.IFERROR(BH263/BH179,0)*1000</f>
        <v>0</v>
      </c>
      <c r="BI272" s="1141">
        <f>_xlfn.IFERROR(BI263/BI179,0)*1000</f>
        <v>0</v>
      </c>
      <c r="BJ272" s="1141">
        <f>_xlfn.IFERROR(BJ263/BJ179,0)*1000</f>
        <v>0</v>
      </c>
      <c r="BK272" s="1141">
        <f>_xlfn.IFERROR(BK263/BK179,0)*1000</f>
        <v>0</v>
      </c>
      <c r="BL272" s="1141">
        <f>_xlfn.IFERROR(BL263/BL179,0)*1000</f>
        <v>0</v>
      </c>
      <c r="BM272" s="1141">
        <f>_xlfn.IFERROR(BM263/BM179,0)*1000</f>
        <v>0</v>
      </c>
      <c r="BN272" s="1141">
        <f>_xlfn.IFERROR(BN263/BN179,0)*1000</f>
        <v>0</v>
      </c>
      <c r="BO272" s="1141">
        <f>_xlfn.IFERROR(BO263/BO179,0)*1000</f>
        <v>0</v>
      </c>
      <c r="BP272" s="1141">
        <f>_xlfn.IFERROR(BP263/BP179,0)*1000</f>
        <v>8061.05000000002</v>
      </c>
      <c r="BQ272" s="1141">
        <f>_xlfn.IFERROR(BQ263/BQ179,0)*1000</f>
        <v>8061.05000000001</v>
      </c>
      <c r="BR272" s="1141">
        <f>_xlfn.IFERROR(BR263/BR179,0)*1000</f>
        <v>8061.05</v>
      </c>
      <c r="BS272" s="1141">
        <f>_xlfn.IFERROR(BS263/BS179,0)*1000</f>
        <v>8415.73999999998</v>
      </c>
      <c r="BT272" s="1141">
        <f>_xlfn.IFERROR(BT263/BT179,0)*1000</f>
        <v>8415.73999999999</v>
      </c>
      <c r="BU272" s="1141">
        <f>_xlfn.IFERROR(BU263/BU179,0)*1000</f>
        <v>8415.73999999996</v>
      </c>
      <c r="BV272" s="1141">
        <f>_xlfn.IFERROR(BV263/BV179,0)*1000</f>
        <v>8642.96</v>
      </c>
      <c r="BW272" s="1141">
        <f>_xlfn.IFERROR(BW263/BW179,0)*1000</f>
        <v>8642.96000000001</v>
      </c>
      <c r="BX272" s="1141">
        <f>_xlfn.IFERROR(BX263/BX179,0)*1000</f>
        <v>8642.95999999999</v>
      </c>
      <c r="BY272" s="1141">
        <f>_xlfn.IFERROR(BY263/BY179,0)*1000</f>
        <v>8876.31999999999</v>
      </c>
      <c r="BZ272" s="1141">
        <f>_xlfn.IFERROR(BZ263/BZ179,0)*1000</f>
        <v>8876.31999999999</v>
      </c>
      <c r="CA272" s="1141">
        <f>_xlfn.IFERROR(CA263/CA179,0)*1000</f>
        <v>8876.31999999999</v>
      </c>
      <c r="CB272" s="1141">
        <f>_xlfn.IFERROR(CB263/CB179,0)*1000</f>
        <v>9115.98</v>
      </c>
      <c r="CC272" s="1141">
        <f>_xlfn.IFERROR(CC263/CC179,0)*1000</f>
        <v>9115.98</v>
      </c>
      <c r="CD272" s="1141">
        <f>_xlfn.IFERROR(CD263/CD179,0)*1000</f>
        <v>9115.98</v>
      </c>
      <c r="CE272" s="1141">
        <f>_xlfn.IFERROR(CE263/CE179,0)*1000</f>
        <v>0</v>
      </c>
      <c r="CF272" s="1141">
        <f>_xlfn.IFERROR(CF263/CF179,0)*1000</f>
        <v>0</v>
      </c>
      <c r="CG272" s="1141">
        <f>_xlfn.IFERROR(CG263/CG179,0)*1000</f>
        <v>0</v>
      </c>
      <c r="CH272" s="1141">
        <f>_xlfn.IFERROR(CH263/CH179,0)*1000</f>
        <v>0</v>
      </c>
      <c r="CI272" s="1141">
        <f>_xlfn.IFERROR(CI263/CI179,0)*1000</f>
        <v>0</v>
      </c>
      <c r="CJ272" s="1141">
        <f>_xlfn.IFERROR(CJ263/CJ179,0)*1000</f>
        <v>0</v>
      </c>
      <c r="CK272" s="1141">
        <f>_xlfn.IFERROR(CK263/CK179,0)*1000</f>
        <v>0</v>
      </c>
      <c r="CL272" s="1141">
        <f>_xlfn.IFERROR(CL263/CL179,0)*1000</f>
        <v>0</v>
      </c>
      <c r="CM272" s="1141">
        <f>_xlfn.IFERROR(CM263/CM179,0)*1000</f>
        <v>0</v>
      </c>
      <c r="CN272" s="1141">
        <f>_xlfn.IFERROR(CN263/CN179,0)*1000</f>
        <v>0</v>
      </c>
      <c r="CO272" s="1141">
        <f>_xlfn.IFERROR(CO263/CO179,0)*1000</f>
        <v>0</v>
      </c>
      <c r="CP272" s="1141">
        <f>_xlfn.IFERROR(CP263/CP179,0)*1000</f>
        <v>0</v>
      </c>
      <c r="CQ272" s="1141">
        <f>_xlfn.IFERROR(CQ263/CQ179,0)*1000</f>
        <v>0</v>
      </c>
      <c r="CR272" s="1141">
        <f>_xlfn.IFERROR(CR263/CR179,0)*1000</f>
        <v>0</v>
      </c>
      <c r="CS272" s="1141">
        <f>_xlfn.IFERROR(CS263/CS179,0)*1000</f>
        <v>0</v>
      </c>
      <c r="CT272" s="1730"/>
      <c r="CU272" s="1619"/>
      <c r="CV272" s="1619"/>
      <c r="CW272" s="1170" t="s">
        <v>891</v>
      </c>
      <c r="CX272" s="1175" t="s">
        <v>787</v>
      </c>
      <c r="CY272" s="1179" cm="1" t="str">
        <f t="array" ref="CY272:CY272">AE272</f>
        <v>Уголь бурый</v>
      </c>
      <c r="CZ272" s="1179" cm="1" t="str">
        <f t="array" ref="CZ272:CZ272">AF272</f>
        <v>Б</v>
      </c>
      <c r="DA272" s="1176"/>
      <c r="DB272" s="1176"/>
    </row>
    <row s="1619" customFormat="1" customHeight="1" ht="15" hidden="1">
      <c r="A273" s="1440"/>
      <c r="B273" s="924"/>
      <c r="C273" s="1440"/>
      <c r="D273" s="1440"/>
      <c r="E273" s="794">
        <v>0</v>
      </c>
      <c r="F273" s="919" cm="1" t="str">
        <f t="array" ref="F273:F273">OFFSET(G273,-1,-1)</f>
        <v>1</v>
      </c>
      <c r="G273" s="962"/>
      <c r="H273" s="962"/>
      <c r="I273" s="962"/>
      <c r="J273" s="962"/>
      <c r="K273" s="962"/>
      <c r="L273" s="919" cm="1" t="str">
        <f t="array" ref="L273:L273">OFFSET(M273,-1,-1)</f>
        <v>false</v>
      </c>
      <c r="M273" s="962"/>
      <c r="N273" s="962"/>
      <c r="O273" s="962"/>
      <c r="P273" s="962"/>
      <c r="Q273" s="962"/>
      <c r="R273" s="1440"/>
      <c r="S273" s="156" cm="1" t="str">
        <f t="array" ref="S273:S273">OFFSET(T273,-1,-1)</f>
        <v>true</v>
      </c>
      <c r="T273" s="1440"/>
      <c r="U273" s="816">
        <f>AND(S273,IF(ISBLANK(T273),TRUE,T273))</f>
        <v>1</v>
      </c>
      <c r="V273" s="1440"/>
      <c r="W273" s="1440"/>
      <c r="X273" s="970" t="str">
        <f>"{                  
         funcDyn: 'msg1',
         blok: '',
         wsCross: '',
         linkFormula: '',
         levelDyn: "&amp;Y139&amp;"
}"</f>
        <v>{                  
         funcDyn: 'msg1',
         blok: '',
         wsCross: '',
         linkFormula: '',
         levelDyn: 1
}</v>
      </c>
      <c r="Y273" s="1440"/>
      <c r="Z273" s="1440"/>
      <c r="AA273" s="817"/>
      <c r="AB273" s="1524"/>
      <c r="AC273" s="1619"/>
      <c r="AD273" s="973"/>
      <c r="AE273" s="972" t="s">
        <v>235</v>
      </c>
      <c r="AF273" s="871"/>
      <c r="AG273" s="856"/>
      <c r="AH273" s="876"/>
      <c r="AI273" s="877"/>
      <c r="AJ273" s="877"/>
      <c r="AK273" s="877"/>
      <c r="AL273" s="877"/>
      <c r="AM273" s="877"/>
      <c r="AN273" s="877"/>
      <c r="AO273" s="877"/>
      <c r="AP273" s="877"/>
      <c r="AQ273" s="877"/>
      <c r="AR273" s="877"/>
      <c r="AS273" s="877"/>
      <c r="AT273" s="877"/>
      <c r="AU273" s="877"/>
      <c r="AV273" s="877"/>
      <c r="AW273" s="877"/>
      <c r="AX273" s="877"/>
      <c r="AY273" s="877"/>
      <c r="AZ273" s="877"/>
      <c r="BA273" s="877"/>
      <c r="BB273" s="877"/>
      <c r="BC273" s="877"/>
      <c r="BD273" s="877"/>
      <c r="BE273" s="877"/>
      <c r="BF273" s="877"/>
      <c r="BG273" s="877"/>
      <c r="BH273" s="877"/>
      <c r="BI273" s="877"/>
      <c r="BJ273" s="877"/>
      <c r="BK273" s="877"/>
      <c r="BL273" s="877"/>
      <c r="BM273" s="877"/>
      <c r="BN273" s="877"/>
      <c r="BO273" s="877"/>
      <c r="BP273" s="877"/>
      <c r="BQ273" s="877"/>
      <c r="BR273" s="877"/>
      <c r="BS273" s="877"/>
      <c r="BT273" s="877"/>
      <c r="BU273" s="877"/>
      <c r="BV273" s="877"/>
      <c r="BW273" s="877"/>
      <c r="BX273" s="877"/>
      <c r="BY273" s="877"/>
      <c r="BZ273" s="877"/>
      <c r="CA273" s="877"/>
      <c r="CB273" s="877"/>
      <c r="CC273" s="877"/>
      <c r="CD273" s="877"/>
      <c r="CE273" s="877"/>
      <c r="CF273" s="877"/>
      <c r="CG273" s="877"/>
      <c r="CH273" s="877"/>
      <c r="CI273" s="877"/>
      <c r="CJ273" s="877"/>
      <c r="CK273" s="877"/>
      <c r="CL273" s="877"/>
      <c r="CM273" s="877"/>
      <c r="CN273" s="877"/>
      <c r="CO273" s="877"/>
      <c r="CP273" s="877"/>
      <c r="CQ273" s="877"/>
      <c r="CR273" s="877"/>
      <c r="CS273" s="877"/>
      <c r="CT273" s="91"/>
      <c r="CU273" s="1619"/>
      <c r="CV273" s="1619"/>
      <c r="CW273" s="1170" t="str">
        <f>IF(AND(ISNUMBER(VALUE(TRIM(SUBSTITUTE(AD273,".","")))),TRIM(SUBSTITUTE(AD273,".",""))&lt;&gt;""),"P"&amp;SUBSTITUTE(AD273,".",""),"")</f>
        <v/>
      </c>
      <c r="CX273" s="1175"/>
      <c r="CY273" s="1175"/>
      <c r="CZ273" s="1175"/>
      <c r="DA273" s="1176"/>
      <c r="DB273" s="1176"/>
    </row>
    <row s="1619" customFormat="1" customHeight="1" ht="16.5">
      <c r="A274" s="1440"/>
      <c r="B274" s="924"/>
      <c r="C274" s="1440"/>
      <c r="D274" s="1440"/>
      <c r="E274" s="794">
        <v>17.1</v>
      </c>
      <c r="F274" s="919" cm="1" t="str">
        <f t="array" ref="F274:F274">OFFSET(G274,-1,-1)</f>
        <v>1</v>
      </c>
      <c r="G274" s="962"/>
      <c r="H274" s="962"/>
      <c r="I274" s="962"/>
      <c r="J274" s="962"/>
      <c r="K274" s="962"/>
      <c r="L274" s="919" cm="1" t="str">
        <f t="array" ref="L274:L274">OFFSET(M274,-1,-1)</f>
        <v>false</v>
      </c>
      <c r="M274" s="962"/>
      <c r="N274" s="962"/>
      <c r="O274" s="962"/>
      <c r="P274" s="962"/>
      <c r="Q274" s="962"/>
      <c r="R274" s="1440"/>
      <c r="S274" s="156" cm="1" t="str">
        <f t="array" ref="S274:S274">OFFSET(T274,-1,-1)</f>
        <v>true</v>
      </c>
      <c r="T274" s="1440"/>
      <c r="U274" s="816">
        <f>AND(S274,IF(ISBLANK(T274),TRUE,T274))</f>
        <v>1</v>
      </c>
      <c r="V274" s="1440"/>
      <c r="W274" s="1440"/>
      <c r="X274" s="1440"/>
      <c r="Y274" s="1440"/>
      <c r="Z274" s="1440"/>
      <c r="AA274" s="817"/>
      <c r="AB274" s="1525"/>
      <c r="AC274" s="975"/>
      <c r="AD274" s="170" t="s">
        <v>893</v>
      </c>
      <c r="AE274" s="1494" t="s">
        <v>894</v>
      </c>
      <c r="AF274" s="320"/>
      <c r="AG274" s="856" t="s">
        <v>895</v>
      </c>
      <c r="AH274" s="857">
        <f>_xlfn.IFERROR(AH259/AH155*1000,0)</f>
        <v>0</v>
      </c>
      <c r="AI274" s="857">
        <f>_xlfn.IFERROR(AI259/AI155*1000,0)</f>
        <v>0</v>
      </c>
      <c r="AJ274" s="857">
        <f>_xlfn.IFERROR(AJ259/AJ155*1000,0)</f>
        <v>0</v>
      </c>
      <c r="AK274" s="857">
        <f>_xlfn.IFERROR(AK259/AK155*1000,0)</f>
        <v>0</v>
      </c>
      <c r="AL274" s="857">
        <f>_xlfn.IFERROR(AL259/AL155*1000,0)</f>
        <v>3274.45255</v>
      </c>
      <c r="AM274" s="857">
        <f>_xlfn.IFERROR(AM259/AM155*1000,0)</f>
        <v>3319.84100118812</v>
      </c>
      <c r="AN274" s="857">
        <f>_xlfn.IFERROR(AN259/AN155*1000,0)</f>
        <v>3147.11272861111</v>
      </c>
      <c r="AO274" s="857">
        <f>_xlfn.IFERROR(AO259/AO155*1000,0)</f>
        <v>3456.9332</v>
      </c>
      <c r="AP274" s="857">
        <f>_xlfn.IFERROR(AP259/AP155*1000,0)</f>
        <v>3504.85108594059</v>
      </c>
      <c r="AQ274" s="857">
        <f>_xlfn.IFERROR(AQ259/AQ155*1000,0)</f>
        <v>3322.49690888889</v>
      </c>
      <c r="AR274" s="857">
        <f>_xlfn.IFERROR(AR259/AR155*1000,0)</f>
        <v>3587.59095</v>
      </c>
      <c r="AS274" s="857">
        <f>_xlfn.IFERROR(AS259/AS155*1000,0)</f>
        <v>3637.31993346535</v>
      </c>
      <c r="AT274" s="857">
        <f>_xlfn.IFERROR(AT259/AT155*1000,0)</f>
        <v>3448.07352416667</v>
      </c>
      <c r="AU274" s="857">
        <f>_xlfn.IFERROR(AU259/AU155*1000,0)</f>
        <v>3723.35715</v>
      </c>
      <c r="AV274" s="857">
        <f>_xlfn.IFERROR(AV259/AV155*1000,0)</f>
        <v>3774.96804118812</v>
      </c>
      <c r="AW274" s="857">
        <f>_xlfn.IFERROR(AW259/AW155*1000,0)</f>
        <v>3578.5599275</v>
      </c>
      <c r="AX274" s="857">
        <f>_xlfn.IFERROR(AX259/AX155*1000,0)</f>
        <v>3864.96665</v>
      </c>
      <c r="AY274" s="857">
        <f>_xlfn.IFERROR(AY259/AY155*1000,0)</f>
        <v>3918.54044514851</v>
      </c>
      <c r="AZ274" s="857">
        <f>_xlfn.IFERROR(AZ259/AZ155*1000,0)</f>
        <v>3714.66239138889</v>
      </c>
      <c r="BA274" s="857">
        <f>_xlfn.IFERROR(BA259/BA155*1000,0)</f>
        <v>0</v>
      </c>
      <c r="BB274" s="857">
        <f>_xlfn.IFERROR(BB259/BB155*1000,0)</f>
        <v>0</v>
      </c>
      <c r="BC274" s="857">
        <f>_xlfn.IFERROR(BC259/BC155*1000,0)</f>
        <v>0</v>
      </c>
      <c r="BD274" s="857">
        <f>_xlfn.IFERROR(BD259/BD155*1000,0)</f>
        <v>0</v>
      </c>
      <c r="BE274" s="857">
        <f>_xlfn.IFERROR(BE259/BE155*1000,0)</f>
        <v>0</v>
      </c>
      <c r="BF274" s="857">
        <f>_xlfn.IFERROR(BF259/BF155*1000,0)</f>
        <v>0</v>
      </c>
      <c r="BG274" s="857">
        <f>_xlfn.IFERROR(BG259/BG155*1000,0)</f>
        <v>0</v>
      </c>
      <c r="BH274" s="857">
        <f>_xlfn.IFERROR(BH259/BH155*1000,0)</f>
        <v>0</v>
      </c>
      <c r="BI274" s="857">
        <f>_xlfn.IFERROR(BI259/BI155*1000,0)</f>
        <v>0</v>
      </c>
      <c r="BJ274" s="857">
        <f>_xlfn.IFERROR(BJ259/BJ155*1000,0)</f>
        <v>0</v>
      </c>
      <c r="BK274" s="857">
        <f>_xlfn.IFERROR(BK259/BK155*1000,0)</f>
        <v>0</v>
      </c>
      <c r="BL274" s="857">
        <f>_xlfn.IFERROR(BL259/BL155*1000,0)</f>
        <v>0</v>
      </c>
      <c r="BM274" s="857">
        <f>_xlfn.IFERROR(BM259/BM155*1000,0)</f>
        <v>0</v>
      </c>
      <c r="BN274" s="857">
        <f>_xlfn.IFERROR(BN259/BN155*1000,0)</f>
        <v>0</v>
      </c>
      <c r="BO274" s="857">
        <f>_xlfn.IFERROR(BO259/BO155*1000,0)</f>
        <v>0</v>
      </c>
      <c r="BP274" s="857">
        <f>_xlfn.IFERROR(BP259/BP155*1000,0)</f>
        <v>2831.41903758343</v>
      </c>
      <c r="BQ274" s="857">
        <f>_xlfn.IFERROR(BQ259/BQ155*1000,0)</f>
        <v>2870.66643018359</v>
      </c>
      <c r="BR274" s="857">
        <f>_xlfn.IFERROR(BR259/BR155*1000,0)</f>
        <v>2721.30829723296</v>
      </c>
      <c r="BS274" s="857">
        <f>_xlfn.IFERROR(BS259/BS155*1000,0)</f>
        <v>2956.00280997541</v>
      </c>
      <c r="BT274" s="857">
        <f>_xlfn.IFERROR(BT259/BT155*1000,0)</f>
        <v>2996.97710635131</v>
      </c>
      <c r="BU274" s="857">
        <f>_xlfn.IFERROR(BU259/BU155*1000,0)</f>
        <v>2841.04714514303</v>
      </c>
      <c r="BV274" s="857">
        <f>_xlfn.IFERROR(BV259/BV155*1000,0)</f>
        <v>3035.81313663506</v>
      </c>
      <c r="BW274" s="857">
        <f>_xlfn.IFERROR(BW259/BW155*1000,0)</f>
        <v>3077.89371476663</v>
      </c>
      <c r="BX274" s="857">
        <f>_xlfn.IFERROR(BX259/BX155*1000,0)</f>
        <v>2917.75373687703</v>
      </c>
      <c r="BY274" s="857">
        <f>_xlfn.IFERROR(BY259/BY155*1000,0)</f>
        <v>3117.78011942396</v>
      </c>
      <c r="BZ274" s="857">
        <f>_xlfn.IFERROR(BZ259/BZ155*1000,0)</f>
        <v>3117.78011942396</v>
      </c>
      <c r="CA274" s="857">
        <f>_xlfn.IFERROR(CA259/CA155*1000,0)</f>
        <v>3117.78011942396</v>
      </c>
      <c r="CB274" s="857">
        <f>_xlfn.IFERROR(CB259/CB155*1000,0)</f>
        <v>3201.95995785037</v>
      </c>
      <c r="CC274" s="857">
        <f>_xlfn.IFERROR(CC259/CC155*1000,0)</f>
        <v>3201.95995785037</v>
      </c>
      <c r="CD274" s="857">
        <f>_xlfn.IFERROR(CD259/CD155*1000,0)</f>
        <v>3201.95995785038</v>
      </c>
      <c r="CE274" s="857">
        <f>_xlfn.IFERROR(CE259/CE155*1000,0)</f>
        <v>0</v>
      </c>
      <c r="CF274" s="857">
        <f>_xlfn.IFERROR(CF259/CF155*1000,0)</f>
        <v>0</v>
      </c>
      <c r="CG274" s="857">
        <f>_xlfn.IFERROR(CG259/CG155*1000,0)</f>
        <v>0</v>
      </c>
      <c r="CH274" s="857">
        <f>_xlfn.IFERROR(CH259/CH155*1000,0)</f>
        <v>0</v>
      </c>
      <c r="CI274" s="857">
        <f>_xlfn.IFERROR(CI259/CI155*1000,0)</f>
        <v>0</v>
      </c>
      <c r="CJ274" s="857">
        <f>_xlfn.IFERROR(CJ259/CJ155*1000,0)</f>
        <v>0</v>
      </c>
      <c r="CK274" s="857">
        <f>_xlfn.IFERROR(CK259/CK155*1000,0)</f>
        <v>0</v>
      </c>
      <c r="CL274" s="857">
        <f>_xlfn.IFERROR(CL259/CL155*1000,0)</f>
        <v>0</v>
      </c>
      <c r="CM274" s="857">
        <f>_xlfn.IFERROR(CM259/CM155*1000,0)</f>
        <v>0</v>
      </c>
      <c r="CN274" s="857">
        <f>_xlfn.IFERROR(CN259/CN155*1000,0)</f>
        <v>0</v>
      </c>
      <c r="CO274" s="857">
        <f>_xlfn.IFERROR(CO259/CO155*1000,0)</f>
        <v>0</v>
      </c>
      <c r="CP274" s="857">
        <f>_xlfn.IFERROR(CP259/CP155*1000,0)</f>
        <v>0</v>
      </c>
      <c r="CQ274" s="857">
        <f>_xlfn.IFERROR(CQ259/CQ155*1000,0)</f>
        <v>0</v>
      </c>
      <c r="CR274" s="857">
        <f>_xlfn.IFERROR(CR259/CR155*1000,0)</f>
        <v>0</v>
      </c>
      <c r="CS274" s="857">
        <f>_xlfn.IFERROR(CS259/CS155*1000,0)</f>
        <v>0</v>
      </c>
      <c r="CT274" s="1730"/>
      <c r="CU274" s="1619"/>
      <c r="CV274" s="1619"/>
      <c r="CW274" s="1170" t="s">
        <v>896</v>
      </c>
      <c r="CX274" s="1175"/>
      <c r="CY274" s="1175"/>
      <c r="CZ274" s="1175"/>
      <c r="DA274" s="1176"/>
      <c r="DB274" s="1176"/>
    </row>
    <row s="1619" customFormat="1" customHeight="1" ht="16.5">
      <c r="A275" s="1440"/>
      <c r="B275" s="924"/>
      <c r="C275" s="1440"/>
      <c r="D275" s="1440"/>
      <c r="E275" s="794">
        <v>17.1</v>
      </c>
      <c r="F275" s="919" cm="1" t="str">
        <f t="array" ref="F275:F275">Y275</f>
        <v>2</v>
      </c>
      <c r="G275" s="210" cm="1" t="str">
        <f t="array" ref="G275:G275">INDEX('Общие сведения'!$AE$169:$AE$218,MATCH($F275,'Общие сведения'!$Z$169:$Z$218,0))</f>
        <v>Теплоснабжение</v>
      </c>
      <c r="H275" s="210" cm="1" t="str">
        <f t="array" ref="H275:H275">INDEX('Общие сведения'!$AK$169:$AK$218,MATCH($F275,'Общие сведения'!$Z$169:$Z$218,0))</f>
        <v>одноставочный</v>
      </c>
      <c r="I275" s="210" cm="1" t="str">
        <f t="array" ref="I275:I275">INDEX('Общие сведения'!$AH$169:$AH$218,MATCH($F275,'Общие сведения'!$Z$169:$Z$218,0))</f>
        <v>0</v>
      </c>
      <c r="J275" s="210" cm="1" t="str">
        <f t="array" ref="J275:J275">INDEX('Общие сведения'!$AI$169:$AI$218,MATCH($F275,'Общие сведения'!$Z$169:$Z$218,0))</f>
        <v>вода</v>
      </c>
      <c r="K275" s="210" cm="1" t="str">
        <f t="array" ref="K275:K275">INDEX('Общие сведения'!$AJ$169:$AJ$218,MATCH($F275,'Общие сведения'!$Z$169:$Z$218,0))</f>
        <v>Тариф: Носитель - горячая вода (Т); Носитель - горячая вода (Т)</v>
      </c>
      <c r="L275" s="211" cm="1" t="str">
        <f t="array" ref="L275:L275">INDEX('Общие сведения'!$AN$169:$AN$218,MATCH($F275,'Общие сведения'!$Z$169:$Z$218,0))</f>
        <v>false</v>
      </c>
      <c r="M275" s="962"/>
      <c r="N275" s="962"/>
      <c r="O275" s="962"/>
      <c r="P275" s="962"/>
      <c r="Q275" s="962"/>
      <c r="R275" s="1440"/>
      <c r="S275" s="156">
        <f>Y275&gt;0</f>
        <v>1</v>
      </c>
      <c r="T275" s="1440"/>
      <c r="U275" s="816">
        <f>AND(S275,IF(ISBLANK(T275),TRUE,T275))</f>
        <v>1</v>
      </c>
      <c r="V275" s="1440"/>
      <c r="W275" s="172" cm="1" t="str">
        <f t="array" ref="W275:W275">'Баланс Тр'!$AB$42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X275" s="1440"/>
      <c r="Y275" s="1518" t="s">
        <v>343</v>
      </c>
      <c r="Z275" s="1440"/>
      <c r="AA275" s="817"/>
      <c r="AB275" s="463" cm="1" t="str">
        <f t="array" ref="AB275:AB275">IF(ISBLANK('Баланс Тр'!$AB$42),"",'Баланс Тр'!$AB$42)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275" s="463"/>
      <c r="AD275" s="260"/>
      <c r="AE275" s="257"/>
      <c r="AF275" s="257"/>
      <c r="AG275" s="257"/>
      <c r="AH275" s="257"/>
      <c r="AI275" s="257"/>
      <c r="AJ275" s="257"/>
      <c r="AK275" s="257"/>
      <c r="AL275" s="257"/>
      <c r="AM275" s="257"/>
      <c r="AN275" s="257"/>
      <c r="AO275" s="257"/>
      <c r="AP275" s="257"/>
      <c r="AQ275" s="257"/>
      <c r="AR275" s="257"/>
      <c r="AS275" s="257"/>
      <c r="AT275" s="257"/>
      <c r="AU275" s="257"/>
      <c r="AV275" s="257"/>
      <c r="AW275" s="257"/>
      <c r="AX275" s="257"/>
      <c r="AY275" s="257"/>
      <c r="AZ275" s="257"/>
      <c r="BA275" s="257"/>
      <c r="BB275" s="257"/>
      <c r="BC275" s="257"/>
      <c r="BD275" s="257"/>
      <c r="BE275" s="257"/>
      <c r="BF275" s="257"/>
      <c r="BG275" s="257"/>
      <c r="BH275" s="257"/>
      <c r="BI275" s="257"/>
      <c r="BJ275" s="257"/>
      <c r="BK275" s="257"/>
      <c r="BL275" s="257"/>
      <c r="BM275" s="257"/>
      <c r="BN275" s="257"/>
      <c r="BO275" s="257"/>
      <c r="BP275" s="257"/>
      <c r="BQ275" s="257"/>
      <c r="BR275" s="257"/>
      <c r="BS275" s="257"/>
      <c r="BT275" s="257"/>
      <c r="BU275" s="257"/>
      <c r="BV275" s="257"/>
      <c r="BW275" s="257"/>
      <c r="BX275" s="257"/>
      <c r="BY275" s="257"/>
      <c r="BZ275" s="257"/>
      <c r="CA275" s="257"/>
      <c r="CB275" s="257"/>
      <c r="CC275" s="257"/>
      <c r="CD275" s="318"/>
      <c r="CE275" s="318"/>
      <c r="CF275" s="257"/>
      <c r="CG275" s="257"/>
      <c r="CH275" s="257"/>
      <c r="CI275" s="257"/>
      <c r="CJ275" s="257"/>
      <c r="CK275" s="257"/>
      <c r="CL275" s="257"/>
      <c r="CM275" s="257"/>
      <c r="CN275" s="257"/>
      <c r="CO275" s="257"/>
      <c r="CP275" s="257"/>
      <c r="CQ275" s="257"/>
      <c r="CR275" s="257"/>
      <c r="CS275" s="257"/>
      <c r="CT275" s="257"/>
      <c r="CU275" s="1619"/>
      <c r="CV275" s="1619"/>
      <c r="CW275" s="1170" t="str">
        <f>IF(AND(ISNUMBER(VALUE(TRIM(SUBSTITUTE(AD275,".","")))),TRIM(SUBSTITUTE(AD275,".",""))&lt;&gt;""),"P"&amp;SUBSTITUTE(AD275,".",""),"")</f>
        <v/>
      </c>
      <c r="CX275" s="1175"/>
      <c r="CY275" s="1175"/>
      <c r="CZ275" s="1175"/>
      <c r="DA275" s="1176"/>
      <c r="DB275" s="1176"/>
    </row>
    <row s="1619" customFormat="1" customHeight="1" ht="16.5" hidden="1">
      <c r="A276" s="1440"/>
      <c r="B276" s="924"/>
      <c r="C276" s="1440"/>
      <c r="D276" s="1440"/>
      <c r="E276" s="794">
        <v>17.1</v>
      </c>
      <c r="F276" s="919" cm="1" t="str">
        <f t="array" ref="F276:F276">OFFSET(G276,-1,-1)</f>
        <v>2</v>
      </c>
      <c r="G276" s="962"/>
      <c r="H276" s="962"/>
      <c r="I276" s="962"/>
      <c r="J276" s="962"/>
      <c r="K276" s="962"/>
      <c r="L276" s="919" cm="1" t="str">
        <f t="array" ref="L276:L276">OFFSET(M276,-1,-1)</f>
        <v>false</v>
      </c>
      <c r="M276" s="962"/>
      <c r="N276" s="962"/>
      <c r="O276" s="962"/>
      <c r="P276" s="962"/>
      <c r="Q276" s="962"/>
      <c r="R276" s="919" t="s">
        <v>725</v>
      </c>
      <c r="S276" s="156" cm="1" t="str">
        <f t="array" ref="S276:S276">OFFSET(T276,-1,-1)</f>
        <v>true</v>
      </c>
      <c r="T276" s="156" cm="1" t="str">
        <f t="array" ref="T276:T276">L276</f>
        <v>false</v>
      </c>
      <c r="U276" s="816">
        <f>AND(S276,IF(ISBLANK(T276),TRUE,T276))</f>
        <v>0</v>
      </c>
      <c r="V276" s="1440"/>
      <c r="W276" s="1440"/>
      <c r="X276" s="1440"/>
      <c r="Y276" s="1440"/>
      <c r="Z276" s="1440"/>
      <c r="AA276" s="817"/>
      <c r="AB276" s="1519" t="s">
        <v>726</v>
      </c>
      <c r="AC276" s="1619"/>
      <c r="AD276" s="157">
        <v>1</v>
      </c>
      <c r="AE276" s="1495" t="s">
        <v>727</v>
      </c>
      <c r="AF276" s="165"/>
      <c r="AG276" s="157" t="s">
        <v>728</v>
      </c>
      <c r="AH276" s="86"/>
      <c r="AI276" s="87"/>
      <c r="AJ276" s="87"/>
      <c r="AK276" s="87"/>
      <c r="AL276" s="859">
        <f>AM276+AN276</f>
        <v>0</v>
      </c>
      <c r="AM276" s="87"/>
      <c r="AN276" s="87"/>
      <c r="AO276" s="859">
        <f>AP276+AQ276</f>
        <v>0</v>
      </c>
      <c r="AP276" s="976"/>
      <c r="AQ276" s="976"/>
      <c r="AR276" s="859">
        <f>AS276+AT276</f>
        <v>0</v>
      </c>
      <c r="AS276" s="976"/>
      <c r="AT276" s="976"/>
      <c r="AU276" s="859">
        <f>AV276+AW276</f>
        <v>0</v>
      </c>
      <c r="AV276" s="976"/>
      <c r="AW276" s="976"/>
      <c r="AX276" s="859">
        <f>AY276+AZ276</f>
        <v>0</v>
      </c>
      <c r="AY276" s="976"/>
      <c r="AZ276" s="976"/>
      <c r="BA276" s="859">
        <f>BB276+BC276</f>
        <v>0</v>
      </c>
      <c r="BB276" s="87"/>
      <c r="BC276" s="87"/>
      <c r="BD276" s="859">
        <f>BE276+BF276</f>
        <v>0</v>
      </c>
      <c r="BE276" s="87"/>
      <c r="BF276" s="87"/>
      <c r="BG276" s="859">
        <f>BH276+BI276</f>
        <v>0</v>
      </c>
      <c r="BH276" s="87"/>
      <c r="BI276" s="87"/>
      <c r="BJ276" s="859">
        <f>BK276+BL276</f>
        <v>0</v>
      </c>
      <c r="BK276" s="87"/>
      <c r="BL276" s="87"/>
      <c r="BM276" s="859">
        <f>BN276+BO276</f>
        <v>0</v>
      </c>
      <c r="BN276" s="87"/>
      <c r="BO276" s="87"/>
      <c r="BP276" s="859">
        <f>BQ276+BR276</f>
        <v>0</v>
      </c>
      <c r="BQ276" s="976"/>
      <c r="BR276" s="976"/>
      <c r="BS276" s="859">
        <f>BT276+BU276</f>
        <v>0</v>
      </c>
      <c r="BT276" s="976"/>
      <c r="BU276" s="976"/>
      <c r="BV276" s="859">
        <f>BW276+BX276</f>
        <v>0</v>
      </c>
      <c r="BW276" s="976"/>
      <c r="BX276" s="976"/>
      <c r="BY276" s="859">
        <f>BZ276+CA276</f>
        <v>0</v>
      </c>
      <c r="BZ276" s="976"/>
      <c r="CA276" s="976"/>
      <c r="CB276" s="859">
        <f>CC276+CD276</f>
        <v>0</v>
      </c>
      <c r="CC276" s="976"/>
      <c r="CD276" s="976"/>
      <c r="CE276" s="859">
        <f>CF276+CG276</f>
        <v>0</v>
      </c>
      <c r="CF276" s="87"/>
      <c r="CG276" s="87"/>
      <c r="CH276" s="859">
        <f>CI276+CJ276</f>
        <v>0</v>
      </c>
      <c r="CI276" s="87"/>
      <c r="CJ276" s="87"/>
      <c r="CK276" s="859">
        <f>CL276+CM276</f>
        <v>0</v>
      </c>
      <c r="CL276" s="87"/>
      <c r="CM276" s="87"/>
      <c r="CN276" s="859">
        <f>CO276+CP276</f>
        <v>0</v>
      </c>
      <c r="CO276" s="87"/>
      <c r="CP276" s="87"/>
      <c r="CQ276" s="859">
        <f>CR276+CS276</f>
        <v>0</v>
      </c>
      <c r="CR276" s="87"/>
      <c r="CS276" s="87"/>
      <c r="CT276" s="73"/>
      <c r="CU276" s="1619"/>
      <c r="CV276" s="1619"/>
      <c r="CW276" s="1170" t="s">
        <v>729</v>
      </c>
      <c r="CX276" s="1175"/>
      <c r="CY276" s="1175"/>
      <c r="CZ276" s="1175"/>
      <c r="DA276" s="1176"/>
      <c r="DB276" s="1176"/>
    </row>
    <row s="1619" customFormat="1" customHeight="1" ht="16.5" hidden="1">
      <c r="A277" s="1440"/>
      <c r="B277" s="924"/>
      <c r="C277" s="1440"/>
      <c r="D277" s="1440"/>
      <c r="E277" s="794">
        <v>17.1</v>
      </c>
      <c r="F277" s="919" cm="1" t="str">
        <f t="array" ref="F277:F277">OFFSET(G277,-1,-1)</f>
        <v>2</v>
      </c>
      <c r="G277" s="962"/>
      <c r="H277" s="962"/>
      <c r="I277" s="962"/>
      <c r="J277" s="962"/>
      <c r="K277" s="962"/>
      <c r="L277" s="919" cm="1" t="str">
        <f t="array" ref="L277:L277">OFFSET(M277,-1,-1)</f>
        <v>false</v>
      </c>
      <c r="M277" s="962"/>
      <c r="N277" s="962"/>
      <c r="O277" s="962"/>
      <c r="P277" s="962"/>
      <c r="Q277" s="962"/>
      <c r="R277" s="919" t="s">
        <v>725</v>
      </c>
      <c r="S277" s="156" cm="1" t="str">
        <f t="array" ref="S277:S277">OFFSET(T277,-1,-1)</f>
        <v>true</v>
      </c>
      <c r="T277" s="156" cm="1" t="str">
        <f t="array" ref="T277:T277">T276</f>
        <v>false</v>
      </c>
      <c r="U277" s="816">
        <f>AND(S277,IF(ISBLANK(T277),TRUE,T277))</f>
        <v>0</v>
      </c>
      <c r="V277" s="1440"/>
      <c r="W277" s="1440"/>
      <c r="X277" s="1440"/>
      <c r="Y277" s="1440"/>
      <c r="Z277" s="1440"/>
      <c r="AA277" s="817"/>
      <c r="AB277" s="1520"/>
      <c r="AC277" s="1619"/>
      <c r="AD277" s="157">
        <v>2</v>
      </c>
      <c r="AE277" s="1495" t="s">
        <v>730</v>
      </c>
      <c r="AF277" s="165"/>
      <c r="AG277" s="157" t="s">
        <v>728</v>
      </c>
      <c r="AH277" s="857">
        <f>AH278+AH280</f>
        <v>0</v>
      </c>
      <c r="AI277" s="859">
        <f>AI278+AI280</f>
        <v>0</v>
      </c>
      <c r="AJ277" s="859">
        <f>AJ278+AJ280</f>
        <v>0</v>
      </c>
      <c r="AK277" s="859">
        <f>AK278+AK280</f>
        <v>0</v>
      </c>
      <c r="AL277" s="859">
        <f>AL278+AL280</f>
        <v>0</v>
      </c>
      <c r="AM277" s="859">
        <f>AM278+AM280</f>
        <v>0</v>
      </c>
      <c r="AN277" s="859">
        <f>AN278+AN280</f>
        <v>0</v>
      </c>
      <c r="AO277" s="859">
        <f>AO278+AO280</f>
        <v>0</v>
      </c>
      <c r="AP277" s="859">
        <f>AP278+AP280</f>
        <v>0</v>
      </c>
      <c r="AQ277" s="859">
        <f>AQ278+AQ280</f>
        <v>0</v>
      </c>
      <c r="AR277" s="859">
        <f>AR278+AR280</f>
        <v>0</v>
      </c>
      <c r="AS277" s="859">
        <f>AS278+AS280</f>
        <v>0</v>
      </c>
      <c r="AT277" s="859">
        <f>AT278+AT280</f>
        <v>0</v>
      </c>
      <c r="AU277" s="859">
        <f>AU278+AU280</f>
        <v>0</v>
      </c>
      <c r="AV277" s="859">
        <f>AV278+AV280</f>
        <v>0</v>
      </c>
      <c r="AW277" s="859">
        <f>AW278+AW280</f>
        <v>0</v>
      </c>
      <c r="AX277" s="859">
        <f>AX278+AX280</f>
        <v>0</v>
      </c>
      <c r="AY277" s="859">
        <f>AY278+AY280</f>
        <v>0</v>
      </c>
      <c r="AZ277" s="859">
        <f>AZ278+AZ280</f>
        <v>0</v>
      </c>
      <c r="BA277" s="859">
        <f>BA278+BA280</f>
        <v>0</v>
      </c>
      <c r="BB277" s="859">
        <f>BB278+BB280</f>
        <v>0</v>
      </c>
      <c r="BC277" s="859">
        <f>BC278+BC280</f>
        <v>0</v>
      </c>
      <c r="BD277" s="859">
        <f>BD278+BD280</f>
        <v>0</v>
      </c>
      <c r="BE277" s="859">
        <f>BE278+BE280</f>
        <v>0</v>
      </c>
      <c r="BF277" s="859">
        <f>BF278+BF280</f>
        <v>0</v>
      </c>
      <c r="BG277" s="859">
        <f>BG278+BG280</f>
        <v>0</v>
      </c>
      <c r="BH277" s="859">
        <f>BH278+BH280</f>
        <v>0</v>
      </c>
      <c r="BI277" s="859">
        <f>BI278+BI280</f>
        <v>0</v>
      </c>
      <c r="BJ277" s="859">
        <f>BJ278+BJ280</f>
        <v>0</v>
      </c>
      <c r="BK277" s="859">
        <f>BK278+BK280</f>
        <v>0</v>
      </c>
      <c r="BL277" s="859">
        <f>BL278+BL280</f>
        <v>0</v>
      </c>
      <c r="BM277" s="859">
        <f>BM278+BM280</f>
        <v>0</v>
      </c>
      <c r="BN277" s="859">
        <f>BN278+BN280</f>
        <v>0</v>
      </c>
      <c r="BO277" s="859">
        <f>BO278+BO280</f>
        <v>0</v>
      </c>
      <c r="BP277" s="859">
        <f>BP278+BP280</f>
        <v>0</v>
      </c>
      <c r="BQ277" s="859">
        <f>BQ278+BQ280</f>
        <v>0</v>
      </c>
      <c r="BR277" s="859">
        <f>BR278+BR280</f>
        <v>0</v>
      </c>
      <c r="BS277" s="859">
        <f>BS278+BS280</f>
        <v>0</v>
      </c>
      <c r="BT277" s="859">
        <f>BT278+BT280</f>
        <v>0</v>
      </c>
      <c r="BU277" s="859">
        <f>BU278+BU280</f>
        <v>0</v>
      </c>
      <c r="BV277" s="859">
        <f>BV278+BV280</f>
        <v>0</v>
      </c>
      <c r="BW277" s="859">
        <f>BW278+BW280</f>
        <v>0</v>
      </c>
      <c r="BX277" s="859">
        <f>BX278+BX280</f>
        <v>0</v>
      </c>
      <c r="BY277" s="859">
        <f>BY278+BY280</f>
        <v>0</v>
      </c>
      <c r="BZ277" s="859">
        <f>BZ278+BZ280</f>
        <v>0</v>
      </c>
      <c r="CA277" s="859">
        <f>CA278+CA280</f>
        <v>0</v>
      </c>
      <c r="CB277" s="859">
        <f>CB278+CB280</f>
        <v>0</v>
      </c>
      <c r="CC277" s="859">
        <f>CC278+CC280</f>
        <v>0</v>
      </c>
      <c r="CD277" s="859">
        <f>CD278+CD280</f>
        <v>0</v>
      </c>
      <c r="CE277" s="859">
        <f>CE278+CE280</f>
        <v>0</v>
      </c>
      <c r="CF277" s="859">
        <f>CF278+CF280</f>
        <v>0</v>
      </c>
      <c r="CG277" s="859">
        <f>CG278+CG280</f>
        <v>0</v>
      </c>
      <c r="CH277" s="859">
        <f>CH278+CH280</f>
        <v>0</v>
      </c>
      <c r="CI277" s="859">
        <f>CI278+CI280</f>
        <v>0</v>
      </c>
      <c r="CJ277" s="859">
        <f>CJ278+CJ280</f>
        <v>0</v>
      </c>
      <c r="CK277" s="859">
        <f>CK278+CK280</f>
        <v>0</v>
      </c>
      <c r="CL277" s="859">
        <f>CL278+CL280</f>
        <v>0</v>
      </c>
      <c r="CM277" s="859">
        <f>CM278+CM280</f>
        <v>0</v>
      </c>
      <c r="CN277" s="859">
        <f>CN278+CN280</f>
        <v>0</v>
      </c>
      <c r="CO277" s="859">
        <f>CO278+CO280</f>
        <v>0</v>
      </c>
      <c r="CP277" s="859">
        <f>CP278+CP280</f>
        <v>0</v>
      </c>
      <c r="CQ277" s="859">
        <f>CQ278+CQ280</f>
        <v>0</v>
      </c>
      <c r="CR277" s="859">
        <f>CR278+CR280</f>
        <v>0</v>
      </c>
      <c r="CS277" s="859">
        <f>CS278+CS280</f>
        <v>0</v>
      </c>
      <c r="CT277" s="73"/>
      <c r="CU277" s="1619"/>
      <c r="CV277" s="1619"/>
      <c r="CW277" s="1170" t="s">
        <v>731</v>
      </c>
      <c r="CX277" s="1175"/>
      <c r="CY277" s="1175"/>
      <c r="CZ277" s="1175"/>
      <c r="DA277" s="1176"/>
      <c r="DB277" s="1176"/>
    </row>
    <row s="1619" customFormat="1" customHeight="1" ht="16.5" hidden="1">
      <c r="A278" s="1440"/>
      <c r="B278" s="924"/>
      <c r="C278" s="1440"/>
      <c r="D278" s="1440"/>
      <c r="E278" s="794">
        <v>17.1</v>
      </c>
      <c r="F278" s="919" cm="1" t="str">
        <f t="array" ref="F278:F278">OFFSET(G278,-1,-1)</f>
        <v>2</v>
      </c>
      <c r="G278" s="962"/>
      <c r="H278" s="962"/>
      <c r="I278" s="962"/>
      <c r="J278" s="962"/>
      <c r="K278" s="962"/>
      <c r="L278" s="919" cm="1" t="str">
        <f t="array" ref="L278:L278">OFFSET(M278,-1,-1)</f>
        <v>false</v>
      </c>
      <c r="M278" s="962"/>
      <c r="N278" s="962"/>
      <c r="O278" s="962"/>
      <c r="P278" s="962"/>
      <c r="Q278" s="962"/>
      <c r="R278" s="919" t="s">
        <v>725</v>
      </c>
      <c r="S278" s="156" cm="1" t="str">
        <f t="array" ref="S278:S278">OFFSET(T278,-1,-1)</f>
        <v>true</v>
      </c>
      <c r="T278" s="156" cm="1" t="str">
        <f t="array" ref="T278:T278">T277</f>
        <v>false</v>
      </c>
      <c r="U278" s="816">
        <f>AND(S278,IF(ISBLANK(T278),TRUE,T278))</f>
        <v>0</v>
      </c>
      <c r="V278" s="1440"/>
      <c r="W278" s="1440"/>
      <c r="X278" s="1440"/>
      <c r="Y278" s="1440"/>
      <c r="Z278" s="1440"/>
      <c r="AA278" s="817"/>
      <c r="AB278" s="1520"/>
      <c r="AC278" s="1619"/>
      <c r="AD278" s="157" t="s">
        <v>448</v>
      </c>
      <c r="AE278" s="1507" t="s">
        <v>732</v>
      </c>
      <c r="AF278" s="162"/>
      <c r="AG278" s="157" t="s">
        <v>728</v>
      </c>
      <c r="AH278" s="86"/>
      <c r="AI278" s="87"/>
      <c r="AJ278" s="87"/>
      <c r="AK278" s="87"/>
      <c r="AL278" s="859">
        <f>AM278+AN278</f>
        <v>0</v>
      </c>
      <c r="AM278" s="87"/>
      <c r="AN278" s="87"/>
      <c r="AO278" s="859">
        <f>AP278+AQ278</f>
        <v>0</v>
      </c>
      <c r="AP278" s="976"/>
      <c r="AQ278" s="976"/>
      <c r="AR278" s="859">
        <f>AS278+AT278</f>
        <v>0</v>
      </c>
      <c r="AS278" s="976"/>
      <c r="AT278" s="976"/>
      <c r="AU278" s="859">
        <f>AV278+AW278</f>
        <v>0</v>
      </c>
      <c r="AV278" s="976"/>
      <c r="AW278" s="976"/>
      <c r="AX278" s="859">
        <f>AY278+AZ278</f>
        <v>0</v>
      </c>
      <c r="AY278" s="976"/>
      <c r="AZ278" s="976"/>
      <c r="BA278" s="859">
        <f>BB278+BC278</f>
        <v>0</v>
      </c>
      <c r="BB278" s="87"/>
      <c r="BC278" s="87"/>
      <c r="BD278" s="859">
        <f>BE278+BF278</f>
        <v>0</v>
      </c>
      <c r="BE278" s="87"/>
      <c r="BF278" s="87"/>
      <c r="BG278" s="859">
        <f>BH278+BI278</f>
        <v>0</v>
      </c>
      <c r="BH278" s="87"/>
      <c r="BI278" s="87"/>
      <c r="BJ278" s="859">
        <f>BK278+BL278</f>
        <v>0</v>
      </c>
      <c r="BK278" s="87"/>
      <c r="BL278" s="87"/>
      <c r="BM278" s="859">
        <f>BN278+BO278</f>
        <v>0</v>
      </c>
      <c r="BN278" s="87"/>
      <c r="BO278" s="87"/>
      <c r="BP278" s="859">
        <f>BQ278+BR278</f>
        <v>0</v>
      </c>
      <c r="BQ278" s="976"/>
      <c r="BR278" s="976"/>
      <c r="BS278" s="859">
        <f>BT278+BU278</f>
        <v>0</v>
      </c>
      <c r="BT278" s="976"/>
      <c r="BU278" s="976"/>
      <c r="BV278" s="859">
        <f>BW278+BX278</f>
        <v>0</v>
      </c>
      <c r="BW278" s="976"/>
      <c r="BX278" s="976"/>
      <c r="BY278" s="859">
        <f>BZ278+CA278</f>
        <v>0</v>
      </c>
      <c r="BZ278" s="976"/>
      <c r="CA278" s="976"/>
      <c r="CB278" s="859">
        <f>CC278+CD278</f>
        <v>0</v>
      </c>
      <c r="CC278" s="976"/>
      <c r="CD278" s="976"/>
      <c r="CE278" s="859">
        <f>CF278+CG278</f>
        <v>0</v>
      </c>
      <c r="CF278" s="87"/>
      <c r="CG278" s="87"/>
      <c r="CH278" s="859">
        <f>CI278+CJ278</f>
        <v>0</v>
      </c>
      <c r="CI278" s="87"/>
      <c r="CJ278" s="87"/>
      <c r="CK278" s="859">
        <f>CL278+CM278</f>
        <v>0</v>
      </c>
      <c r="CL278" s="87"/>
      <c r="CM278" s="87"/>
      <c r="CN278" s="859">
        <f>CO278+CP278</f>
        <v>0</v>
      </c>
      <c r="CO278" s="87"/>
      <c r="CP278" s="87"/>
      <c r="CQ278" s="859">
        <f>CR278+CS278</f>
        <v>0</v>
      </c>
      <c r="CR278" s="87"/>
      <c r="CS278" s="87"/>
      <c r="CT278" s="73"/>
      <c r="CU278" s="1619"/>
      <c r="CV278" s="1619"/>
      <c r="CW278" s="1170" t="s">
        <v>733</v>
      </c>
      <c r="CX278" s="1175"/>
      <c r="CY278" s="1175"/>
      <c r="CZ278" s="1175"/>
      <c r="DA278" s="1176"/>
      <c r="DB278" s="1176"/>
    </row>
    <row s="1619" customFormat="1" customHeight="1" ht="16.5" hidden="1">
      <c r="A279" s="1440"/>
      <c r="B279" s="924"/>
      <c r="C279" s="1440"/>
      <c r="D279" s="1440"/>
      <c r="E279" s="794">
        <v>17.1</v>
      </c>
      <c r="F279" s="919" cm="1" t="str">
        <f t="array" ref="F279:F279">OFFSET(G279,-1,-1)</f>
        <v>2</v>
      </c>
      <c r="G279" s="962"/>
      <c r="H279" s="962"/>
      <c r="I279" s="962"/>
      <c r="J279" s="962"/>
      <c r="K279" s="962"/>
      <c r="L279" s="919" cm="1" t="str">
        <f t="array" ref="L279:L279">OFFSET(M279,-1,-1)</f>
        <v>false</v>
      </c>
      <c r="M279" s="962"/>
      <c r="N279" s="962"/>
      <c r="O279" s="962"/>
      <c r="P279" s="962"/>
      <c r="Q279" s="962"/>
      <c r="R279" s="919" t="s">
        <v>725</v>
      </c>
      <c r="S279" s="156" cm="1" t="str">
        <f t="array" ref="S279:S279">OFFSET(T279,-1,-1)</f>
        <v>true</v>
      </c>
      <c r="T279" s="156" cm="1" t="str">
        <f t="array" ref="T279:T279">T278</f>
        <v>false</v>
      </c>
      <c r="U279" s="816">
        <f>AND(S279,IF(ISBLANK(T279),TRUE,T279))</f>
        <v>0</v>
      </c>
      <c r="V279" s="1440"/>
      <c r="W279" s="1440"/>
      <c r="X279" s="1440"/>
      <c r="Y279" s="1440"/>
      <c r="Z279" s="1440"/>
      <c r="AA279" s="817"/>
      <c r="AB279" s="1520"/>
      <c r="AC279" s="1619"/>
      <c r="AD279" s="157" t="s">
        <v>451</v>
      </c>
      <c r="AE279" s="1512" t="s">
        <v>734</v>
      </c>
      <c r="AF279" s="163"/>
      <c r="AG279" s="157" t="s">
        <v>490</v>
      </c>
      <c r="AH279" s="863">
        <f>_xlfn.IFERROR(AH278/AH276,0)</f>
        <v>0</v>
      </c>
      <c r="AI279" s="864">
        <f>_xlfn.IFERROR(AI278/AI276,0)</f>
        <v>0</v>
      </c>
      <c r="AJ279" s="864">
        <f>_xlfn.IFERROR(AJ278/AJ276,0)</f>
        <v>0</v>
      </c>
      <c r="AK279" s="864">
        <f>_xlfn.IFERROR(AK278/AK276,0)</f>
        <v>0</v>
      </c>
      <c r="AL279" s="864">
        <f>_xlfn.IFERROR(AL278/AL276,0)</f>
        <v>0</v>
      </c>
      <c r="AM279" s="864">
        <f>_xlfn.IFERROR(AM278/AM276,0)</f>
        <v>0</v>
      </c>
      <c r="AN279" s="864">
        <f>_xlfn.IFERROR(AN278/AN276,0)</f>
        <v>0</v>
      </c>
      <c r="AO279" s="864">
        <f>_xlfn.IFERROR(AO278/AO276,0)</f>
        <v>0</v>
      </c>
      <c r="AP279" s="864">
        <f>_xlfn.IFERROR(AP278/AP276,0)</f>
        <v>0</v>
      </c>
      <c r="AQ279" s="864">
        <f>_xlfn.IFERROR(AQ278/AQ276,0)</f>
        <v>0</v>
      </c>
      <c r="AR279" s="864">
        <f>_xlfn.IFERROR(AR278/AR276,0)</f>
        <v>0</v>
      </c>
      <c r="AS279" s="864">
        <f>_xlfn.IFERROR(AS278/AS276,0)</f>
        <v>0</v>
      </c>
      <c r="AT279" s="864">
        <f>_xlfn.IFERROR(AT278/AT276,0)</f>
        <v>0</v>
      </c>
      <c r="AU279" s="864">
        <f>_xlfn.IFERROR(AU278/AU276,0)</f>
        <v>0</v>
      </c>
      <c r="AV279" s="864">
        <f>_xlfn.IFERROR(AV278/AV276,0)</f>
        <v>0</v>
      </c>
      <c r="AW279" s="864">
        <f>_xlfn.IFERROR(AW278/AW276,0)</f>
        <v>0</v>
      </c>
      <c r="AX279" s="864">
        <f>_xlfn.IFERROR(AX278/AX276,0)</f>
        <v>0</v>
      </c>
      <c r="AY279" s="864">
        <f>_xlfn.IFERROR(AY278/AY276,0)</f>
        <v>0</v>
      </c>
      <c r="AZ279" s="864">
        <f>_xlfn.IFERROR(AZ278/AZ276,0)</f>
        <v>0</v>
      </c>
      <c r="BA279" s="864">
        <f>_xlfn.IFERROR(BA278/BA276,0)</f>
        <v>0</v>
      </c>
      <c r="BB279" s="864">
        <f>_xlfn.IFERROR(BB278/BB276,0)</f>
        <v>0</v>
      </c>
      <c r="BC279" s="864">
        <f>_xlfn.IFERROR(BC278/BC276,0)</f>
        <v>0</v>
      </c>
      <c r="BD279" s="864">
        <f>_xlfn.IFERROR(BD278/BD276,0)</f>
        <v>0</v>
      </c>
      <c r="BE279" s="864">
        <f>_xlfn.IFERROR(BE278/BE276,0)</f>
        <v>0</v>
      </c>
      <c r="BF279" s="864">
        <f>_xlfn.IFERROR(BF278/BF276,0)</f>
        <v>0</v>
      </c>
      <c r="BG279" s="864">
        <f>_xlfn.IFERROR(BG278/BG276,0)</f>
        <v>0</v>
      </c>
      <c r="BH279" s="864">
        <f>_xlfn.IFERROR(BH278/BH276,0)</f>
        <v>0</v>
      </c>
      <c r="BI279" s="864">
        <f>_xlfn.IFERROR(BI278/BI276,0)</f>
        <v>0</v>
      </c>
      <c r="BJ279" s="864">
        <f>_xlfn.IFERROR(BJ278/BJ276,0)</f>
        <v>0</v>
      </c>
      <c r="BK279" s="864">
        <f>_xlfn.IFERROR(BK278/BK276,0)</f>
        <v>0</v>
      </c>
      <c r="BL279" s="864">
        <f>_xlfn.IFERROR(BL278/BL276,0)</f>
        <v>0</v>
      </c>
      <c r="BM279" s="864">
        <f>_xlfn.IFERROR(BM278/BM276,0)</f>
        <v>0</v>
      </c>
      <c r="BN279" s="864">
        <f>_xlfn.IFERROR(BN278/BN276,0)</f>
        <v>0</v>
      </c>
      <c r="BO279" s="864">
        <f>_xlfn.IFERROR(BO278/BO276,0)</f>
        <v>0</v>
      </c>
      <c r="BP279" s="864">
        <f>_xlfn.IFERROR(BP278/BP276,0)</f>
        <v>0</v>
      </c>
      <c r="BQ279" s="864">
        <f>_xlfn.IFERROR(BQ278/BQ276,0)</f>
        <v>0</v>
      </c>
      <c r="BR279" s="864">
        <f>_xlfn.IFERROR(BR278/BR276,0)</f>
        <v>0</v>
      </c>
      <c r="BS279" s="864">
        <f>_xlfn.IFERROR(BS278/BS276,0)</f>
        <v>0</v>
      </c>
      <c r="BT279" s="864">
        <f>_xlfn.IFERROR(BT278/BT276,0)</f>
        <v>0</v>
      </c>
      <c r="BU279" s="864">
        <f>_xlfn.IFERROR(BU278/BU276,0)</f>
        <v>0</v>
      </c>
      <c r="BV279" s="864">
        <f>_xlfn.IFERROR(BV278/BV276,0)</f>
        <v>0</v>
      </c>
      <c r="BW279" s="864">
        <f>_xlfn.IFERROR(BW278/BW276,0)</f>
        <v>0</v>
      </c>
      <c r="BX279" s="864">
        <f>_xlfn.IFERROR(BX278/BX276,0)</f>
        <v>0</v>
      </c>
      <c r="BY279" s="864">
        <f>_xlfn.IFERROR(BY278/BY276,0)</f>
        <v>0</v>
      </c>
      <c r="BZ279" s="864">
        <f>_xlfn.IFERROR(BZ278/BZ276,0)</f>
        <v>0</v>
      </c>
      <c r="CA279" s="864">
        <f>_xlfn.IFERROR(CA278/CA276,0)</f>
        <v>0</v>
      </c>
      <c r="CB279" s="864">
        <f>_xlfn.IFERROR(CB278/CB276,0)</f>
        <v>0</v>
      </c>
      <c r="CC279" s="864">
        <f>_xlfn.IFERROR(CC278/CC276,0)</f>
        <v>0</v>
      </c>
      <c r="CD279" s="864">
        <f>_xlfn.IFERROR(CD278/CD276,0)</f>
        <v>0</v>
      </c>
      <c r="CE279" s="864">
        <f>_xlfn.IFERROR(CE278/CE276,0)</f>
        <v>0</v>
      </c>
      <c r="CF279" s="864">
        <f>_xlfn.IFERROR(CF278/CF276,0)</f>
        <v>0</v>
      </c>
      <c r="CG279" s="864">
        <f>_xlfn.IFERROR(CG278/CG276,0)</f>
        <v>0</v>
      </c>
      <c r="CH279" s="864">
        <f>_xlfn.IFERROR(CH278/CH276,0)</f>
        <v>0</v>
      </c>
      <c r="CI279" s="864">
        <f>_xlfn.IFERROR(CI278/CI276,0)</f>
        <v>0</v>
      </c>
      <c r="CJ279" s="864">
        <f>_xlfn.IFERROR(CJ278/CJ276,0)</f>
        <v>0</v>
      </c>
      <c r="CK279" s="864">
        <f>_xlfn.IFERROR(CK278/CK276,0)</f>
        <v>0</v>
      </c>
      <c r="CL279" s="864">
        <f>_xlfn.IFERROR(CL278/CL276,0)</f>
        <v>0</v>
      </c>
      <c r="CM279" s="864">
        <f>_xlfn.IFERROR(CM278/CM276,0)</f>
        <v>0</v>
      </c>
      <c r="CN279" s="864">
        <f>_xlfn.IFERROR(CN278/CN276,0)</f>
        <v>0</v>
      </c>
      <c r="CO279" s="864">
        <f>_xlfn.IFERROR(CO278/CO276,0)</f>
        <v>0</v>
      </c>
      <c r="CP279" s="864">
        <f>_xlfn.IFERROR(CP278/CP276,0)</f>
        <v>0</v>
      </c>
      <c r="CQ279" s="864">
        <f>_xlfn.IFERROR(CQ278/CQ276,0)</f>
        <v>0</v>
      </c>
      <c r="CR279" s="864">
        <f>_xlfn.IFERROR(CR278/CR276,0)</f>
        <v>0</v>
      </c>
      <c r="CS279" s="864">
        <f>_xlfn.IFERROR(CS278/CS276,0)</f>
        <v>0</v>
      </c>
      <c r="CT279" s="73"/>
      <c r="CU279" s="1619"/>
      <c r="CV279" s="1619"/>
      <c r="CW279" s="1170" t="s">
        <v>735</v>
      </c>
      <c r="CX279" s="1175"/>
      <c r="CY279" s="1175"/>
      <c r="CZ279" s="1175"/>
      <c r="DA279" s="1176"/>
      <c r="DB279" s="1176"/>
    </row>
    <row s="1619" customFormat="1" customHeight="1" ht="16.5" hidden="1">
      <c r="A280" s="1440"/>
      <c r="B280" s="924"/>
      <c r="C280" s="1440"/>
      <c r="D280" s="1440"/>
      <c r="E280" s="794">
        <v>17.1</v>
      </c>
      <c r="F280" s="919" cm="1" t="str">
        <f t="array" ref="F280:F280">OFFSET(G280,-1,-1)</f>
        <v>2</v>
      </c>
      <c r="G280" s="962"/>
      <c r="H280" s="962"/>
      <c r="I280" s="962"/>
      <c r="J280" s="962"/>
      <c r="K280" s="962"/>
      <c r="L280" s="919" cm="1" t="str">
        <f t="array" ref="L280:L280">OFFSET(M280,-1,-1)</f>
        <v>false</v>
      </c>
      <c r="M280" s="962"/>
      <c r="N280" s="962"/>
      <c r="O280" s="962"/>
      <c r="P280" s="962"/>
      <c r="Q280" s="962"/>
      <c r="R280" s="919" t="s">
        <v>725</v>
      </c>
      <c r="S280" s="156" cm="1" t="str">
        <f t="array" ref="S280:S280">OFFSET(T280,-1,-1)</f>
        <v>true</v>
      </c>
      <c r="T280" s="156" cm="1" t="str">
        <f t="array" ref="T280:T280">T279</f>
        <v>false</v>
      </c>
      <c r="U280" s="816">
        <f>AND(S280,IF(ISBLANK(T280),TRUE,T280))</f>
        <v>0</v>
      </c>
      <c r="V280" s="1440"/>
      <c r="W280" s="1440"/>
      <c r="X280" s="1440"/>
      <c r="Y280" s="1440"/>
      <c r="Z280" s="1440"/>
      <c r="AA280" s="817"/>
      <c r="AB280" s="1520"/>
      <c r="AC280" s="1619"/>
      <c r="AD280" s="157" t="s">
        <v>475</v>
      </c>
      <c r="AE280" s="1507" t="s">
        <v>736</v>
      </c>
      <c r="AF280" s="162"/>
      <c r="AG280" s="157" t="s">
        <v>728</v>
      </c>
      <c r="AH280" s="86"/>
      <c r="AI280" s="87"/>
      <c r="AJ280" s="87"/>
      <c r="AK280" s="87"/>
      <c r="AL280" s="859">
        <f>AM280+AN280</f>
        <v>0</v>
      </c>
      <c r="AM280" s="87"/>
      <c r="AN280" s="87"/>
      <c r="AO280" s="859">
        <f>AP280+AQ280</f>
        <v>0</v>
      </c>
      <c r="AP280" s="976"/>
      <c r="AQ280" s="976"/>
      <c r="AR280" s="859">
        <f>AS280+AT280</f>
        <v>0</v>
      </c>
      <c r="AS280" s="976"/>
      <c r="AT280" s="976"/>
      <c r="AU280" s="859">
        <f>AV280+AW280</f>
        <v>0</v>
      </c>
      <c r="AV280" s="976"/>
      <c r="AW280" s="976"/>
      <c r="AX280" s="859">
        <f>AY280+AZ280</f>
        <v>0</v>
      </c>
      <c r="AY280" s="976"/>
      <c r="AZ280" s="976"/>
      <c r="BA280" s="859">
        <f>BB280+BC280</f>
        <v>0</v>
      </c>
      <c r="BB280" s="87"/>
      <c r="BC280" s="87"/>
      <c r="BD280" s="859">
        <f>BE280+BF280</f>
        <v>0</v>
      </c>
      <c r="BE280" s="87"/>
      <c r="BF280" s="87"/>
      <c r="BG280" s="859">
        <f>BH280+BI280</f>
        <v>0</v>
      </c>
      <c r="BH280" s="87"/>
      <c r="BI280" s="87"/>
      <c r="BJ280" s="859">
        <f>BK280+BL280</f>
        <v>0</v>
      </c>
      <c r="BK280" s="87"/>
      <c r="BL280" s="87"/>
      <c r="BM280" s="859">
        <f>BN280+BO280</f>
        <v>0</v>
      </c>
      <c r="BN280" s="87"/>
      <c r="BO280" s="87"/>
      <c r="BP280" s="859">
        <f>BQ280+BR280</f>
        <v>0</v>
      </c>
      <c r="BQ280" s="976"/>
      <c r="BR280" s="976"/>
      <c r="BS280" s="859">
        <f>BT280+BU280</f>
        <v>0</v>
      </c>
      <c r="BT280" s="976"/>
      <c r="BU280" s="976"/>
      <c r="BV280" s="859">
        <f>BW280+BX280</f>
        <v>0</v>
      </c>
      <c r="BW280" s="976"/>
      <c r="BX280" s="976"/>
      <c r="BY280" s="859">
        <f>BZ280+CA280</f>
        <v>0</v>
      </c>
      <c r="BZ280" s="976"/>
      <c r="CA280" s="976"/>
      <c r="CB280" s="859">
        <f>CC280+CD280</f>
        <v>0</v>
      </c>
      <c r="CC280" s="976"/>
      <c r="CD280" s="976"/>
      <c r="CE280" s="859">
        <f>CF280+CG280</f>
        <v>0</v>
      </c>
      <c r="CF280" s="87"/>
      <c r="CG280" s="87"/>
      <c r="CH280" s="859">
        <f>CI280+CJ280</f>
        <v>0</v>
      </c>
      <c r="CI280" s="87"/>
      <c r="CJ280" s="87"/>
      <c r="CK280" s="859">
        <f>CL280+CM280</f>
        <v>0</v>
      </c>
      <c r="CL280" s="87"/>
      <c r="CM280" s="87"/>
      <c r="CN280" s="859">
        <f>CO280+CP280</f>
        <v>0</v>
      </c>
      <c r="CO280" s="87"/>
      <c r="CP280" s="87"/>
      <c r="CQ280" s="859">
        <f>CR280+CS280</f>
        <v>0</v>
      </c>
      <c r="CR280" s="87"/>
      <c r="CS280" s="87"/>
      <c r="CT280" s="73"/>
      <c r="CU280" s="1619"/>
      <c r="CV280" s="1619"/>
      <c r="CW280" s="1170" t="s">
        <v>737</v>
      </c>
      <c r="CX280" s="1175"/>
      <c r="CY280" s="1175"/>
      <c r="CZ280" s="1175"/>
      <c r="DA280" s="1176"/>
      <c r="DB280" s="1176"/>
    </row>
    <row s="1619" customFormat="1" customHeight="1" ht="16.5" hidden="1">
      <c r="A281" s="1440"/>
      <c r="B281" s="924"/>
      <c r="C281" s="1440"/>
      <c r="D281" s="1440"/>
      <c r="E281" s="794">
        <v>17.1</v>
      </c>
      <c r="F281" s="919" cm="1" t="str">
        <f t="array" ref="F281:F281">OFFSET(G281,-1,-1)</f>
        <v>2</v>
      </c>
      <c r="G281" s="962"/>
      <c r="H281" s="962"/>
      <c r="I281" s="962"/>
      <c r="J281" s="962"/>
      <c r="K281" s="962"/>
      <c r="L281" s="919" cm="1" t="str">
        <f t="array" ref="L281:L281">OFFSET(M281,-1,-1)</f>
        <v>false</v>
      </c>
      <c r="M281" s="962"/>
      <c r="N281" s="962"/>
      <c r="O281" s="962"/>
      <c r="P281" s="962"/>
      <c r="Q281" s="962"/>
      <c r="R281" s="919" t="s">
        <v>725</v>
      </c>
      <c r="S281" s="156" cm="1" t="str">
        <f t="array" ref="S281:S281">OFFSET(T281,-1,-1)</f>
        <v>true</v>
      </c>
      <c r="T281" s="156" cm="1" t="str">
        <f t="array" ref="T281:T281">T280</f>
        <v>false</v>
      </c>
      <c r="U281" s="816">
        <f>AND(S281,IF(ISBLANK(T281),TRUE,T281))</f>
        <v>0</v>
      </c>
      <c r="V281" s="1440"/>
      <c r="W281" s="1440"/>
      <c r="X281" s="1440"/>
      <c r="Y281" s="1440"/>
      <c r="Z281" s="1440"/>
      <c r="AA281" s="817"/>
      <c r="AB281" s="1520"/>
      <c r="AC281" s="1619"/>
      <c r="AD281" s="157" t="s">
        <v>738</v>
      </c>
      <c r="AE281" s="1512" t="s">
        <v>739</v>
      </c>
      <c r="AF281" s="163"/>
      <c r="AG281" s="157" t="s">
        <v>740</v>
      </c>
      <c r="AH281" s="86"/>
      <c r="AI281" s="87"/>
      <c r="AJ281" s="87"/>
      <c r="AK281" s="87"/>
      <c r="AL281" s="87"/>
      <c r="AM281" s="87"/>
      <c r="AN281" s="87"/>
      <c r="AO281" s="976"/>
      <c r="AP281" s="976"/>
      <c r="AQ281" s="976"/>
      <c r="AR281" s="976"/>
      <c r="AS281" s="976"/>
      <c r="AT281" s="976"/>
      <c r="AU281" s="976"/>
      <c r="AV281" s="976"/>
      <c r="AW281" s="976"/>
      <c r="AX281" s="976"/>
      <c r="AY281" s="976"/>
      <c r="AZ281" s="976"/>
      <c r="BA281" s="87"/>
      <c r="BB281" s="87"/>
      <c r="BC281" s="87"/>
      <c r="BD281" s="87"/>
      <c r="BE281" s="87"/>
      <c r="BF281" s="87"/>
      <c r="BG281" s="87"/>
      <c r="BH281" s="87"/>
      <c r="BI281" s="87"/>
      <c r="BJ281" s="87"/>
      <c r="BK281" s="87"/>
      <c r="BL281" s="87"/>
      <c r="BM281" s="87"/>
      <c r="BN281" s="87"/>
      <c r="BO281" s="87"/>
      <c r="BP281" s="976"/>
      <c r="BQ281" s="976"/>
      <c r="BR281" s="976"/>
      <c r="BS281" s="976"/>
      <c r="BT281" s="976"/>
      <c r="BU281" s="976"/>
      <c r="BV281" s="976"/>
      <c r="BW281" s="976"/>
      <c r="BX281" s="976"/>
      <c r="BY281" s="976"/>
      <c r="BZ281" s="976"/>
      <c r="CA281" s="976"/>
      <c r="CB281" s="976"/>
      <c r="CC281" s="976"/>
      <c r="CD281" s="976"/>
      <c r="CE281" s="87"/>
      <c r="CF281" s="87"/>
      <c r="CG281" s="87"/>
      <c r="CH281" s="87"/>
      <c r="CI281" s="87"/>
      <c r="CJ281" s="87"/>
      <c r="CK281" s="87"/>
      <c r="CL281" s="87"/>
      <c r="CM281" s="87"/>
      <c r="CN281" s="87"/>
      <c r="CO281" s="87"/>
      <c r="CP281" s="87"/>
      <c r="CQ281" s="87"/>
      <c r="CR281" s="87"/>
      <c r="CS281" s="87"/>
      <c r="CT281" s="73"/>
      <c r="CU281" s="1619"/>
      <c r="CV281" s="1619"/>
      <c r="CW281" s="1170" t="s">
        <v>741</v>
      </c>
      <c r="CX281" s="1175"/>
      <c r="CY281" s="1175"/>
      <c r="CZ281" s="1175"/>
      <c r="DA281" s="1176"/>
      <c r="DB281" s="1176"/>
    </row>
    <row s="1619" customFormat="1" customHeight="1" ht="16.5" hidden="1">
      <c r="A282" s="1440"/>
      <c r="B282" s="924"/>
      <c r="C282" s="1440"/>
      <c r="D282" s="1440"/>
      <c r="E282" s="794">
        <v>17.1</v>
      </c>
      <c r="F282" s="919" cm="1" t="str">
        <f t="array" ref="F282:F282">OFFSET(G282,-1,-1)</f>
        <v>2</v>
      </c>
      <c r="G282" s="962"/>
      <c r="H282" s="962"/>
      <c r="I282" s="962"/>
      <c r="J282" s="962"/>
      <c r="K282" s="962"/>
      <c r="L282" s="919" cm="1" t="str">
        <f t="array" ref="L282:L282">OFFSET(M282,-1,-1)</f>
        <v>false</v>
      </c>
      <c r="M282" s="962"/>
      <c r="N282" s="962"/>
      <c r="O282" s="962"/>
      <c r="P282" s="962"/>
      <c r="Q282" s="962"/>
      <c r="R282" s="919" t="s">
        <v>725</v>
      </c>
      <c r="S282" s="156" cm="1" t="str">
        <f t="array" ref="S282:S282">OFFSET(T282,-1,-1)</f>
        <v>true</v>
      </c>
      <c r="T282" s="156" cm="1" t="str">
        <f t="array" ref="T282:T282">T281</f>
        <v>false</v>
      </c>
      <c r="U282" s="816">
        <f>AND(S282,IF(ISBLANK(T282),TRUE,T282))</f>
        <v>0</v>
      </c>
      <c r="V282" s="1440"/>
      <c r="W282" s="1440"/>
      <c r="X282" s="1440"/>
      <c r="Y282" s="1440"/>
      <c r="Z282" s="1440"/>
      <c r="AA282" s="817"/>
      <c r="AB282" s="1520"/>
      <c r="AC282" s="1619"/>
      <c r="AD282" s="157">
        <v>3</v>
      </c>
      <c r="AE282" s="1495" t="s">
        <v>742</v>
      </c>
      <c r="AF282" s="165"/>
      <c r="AG282" s="157" t="s">
        <v>728</v>
      </c>
      <c r="AH282" s="857">
        <f>AH276-AH277</f>
        <v>0</v>
      </c>
      <c r="AI282" s="859">
        <f>AI276-AI277</f>
        <v>0</v>
      </c>
      <c r="AJ282" s="859">
        <f>AJ276-AJ277</f>
        <v>0</v>
      </c>
      <c r="AK282" s="859">
        <f>AK276-AK277</f>
        <v>0</v>
      </c>
      <c r="AL282" s="859">
        <f>AL276-AL277</f>
        <v>0</v>
      </c>
      <c r="AM282" s="859">
        <f>AM276-AM277</f>
        <v>0</v>
      </c>
      <c r="AN282" s="859">
        <f>AN276-AN277</f>
        <v>0</v>
      </c>
      <c r="AO282" s="859">
        <f>AO276-AO277</f>
        <v>0</v>
      </c>
      <c r="AP282" s="859">
        <f>AP276-AP277</f>
        <v>0</v>
      </c>
      <c r="AQ282" s="859">
        <f>AQ276-AQ277</f>
        <v>0</v>
      </c>
      <c r="AR282" s="859">
        <f>AR276-AR277</f>
        <v>0</v>
      </c>
      <c r="AS282" s="859">
        <f>AS276-AS277</f>
        <v>0</v>
      </c>
      <c r="AT282" s="859">
        <f>AT276-AT277</f>
        <v>0</v>
      </c>
      <c r="AU282" s="859">
        <f>AU276-AU277</f>
        <v>0</v>
      </c>
      <c r="AV282" s="859">
        <f>AV276-AV277</f>
        <v>0</v>
      </c>
      <c r="AW282" s="859">
        <f>AW276-AW277</f>
        <v>0</v>
      </c>
      <c r="AX282" s="859">
        <f>AX276-AX277</f>
        <v>0</v>
      </c>
      <c r="AY282" s="859">
        <f>AY276-AY277</f>
        <v>0</v>
      </c>
      <c r="AZ282" s="859">
        <f>AZ276-AZ277</f>
        <v>0</v>
      </c>
      <c r="BA282" s="859">
        <f>BA276-BA277</f>
        <v>0</v>
      </c>
      <c r="BB282" s="859">
        <f>BB276-BB277</f>
        <v>0</v>
      </c>
      <c r="BC282" s="859">
        <f>BC276-BC277</f>
        <v>0</v>
      </c>
      <c r="BD282" s="859">
        <f>BD276-BD277</f>
        <v>0</v>
      </c>
      <c r="BE282" s="859">
        <f>BE276-BE277</f>
        <v>0</v>
      </c>
      <c r="BF282" s="859">
        <f>BF276-BF277</f>
        <v>0</v>
      </c>
      <c r="BG282" s="859">
        <f>BG276-BG277</f>
        <v>0</v>
      </c>
      <c r="BH282" s="859">
        <f>BH276-BH277</f>
        <v>0</v>
      </c>
      <c r="BI282" s="859">
        <f>BI276-BI277</f>
        <v>0</v>
      </c>
      <c r="BJ282" s="859">
        <f>BJ276-BJ277</f>
        <v>0</v>
      </c>
      <c r="BK282" s="859">
        <f>BK276-BK277</f>
        <v>0</v>
      </c>
      <c r="BL282" s="859">
        <f>BL276-BL277</f>
        <v>0</v>
      </c>
      <c r="BM282" s="859">
        <f>BM276-BM277</f>
        <v>0</v>
      </c>
      <c r="BN282" s="859">
        <f>BN276-BN277</f>
        <v>0</v>
      </c>
      <c r="BO282" s="859">
        <f>BO276-BO277</f>
        <v>0</v>
      </c>
      <c r="BP282" s="859">
        <f>BP276-BP277</f>
        <v>0</v>
      </c>
      <c r="BQ282" s="859">
        <f>BQ276-BQ277</f>
        <v>0</v>
      </c>
      <c r="BR282" s="859">
        <f>BR276-BR277</f>
        <v>0</v>
      </c>
      <c r="BS282" s="859">
        <f>BS276-BS277</f>
        <v>0</v>
      </c>
      <c r="BT282" s="859">
        <f>BT276-BT277</f>
        <v>0</v>
      </c>
      <c r="BU282" s="859">
        <f>BU276-BU277</f>
        <v>0</v>
      </c>
      <c r="BV282" s="859">
        <f>BV276-BV277</f>
        <v>0</v>
      </c>
      <c r="BW282" s="859">
        <f>BW276-BW277</f>
        <v>0</v>
      </c>
      <c r="BX282" s="859">
        <f>BX276-BX277</f>
        <v>0</v>
      </c>
      <c r="BY282" s="859">
        <f>BY276-BY277</f>
        <v>0</v>
      </c>
      <c r="BZ282" s="859">
        <f>BZ276-BZ277</f>
        <v>0</v>
      </c>
      <c r="CA282" s="859">
        <f>CA276-CA277</f>
        <v>0</v>
      </c>
      <c r="CB282" s="859">
        <f>CB276-CB277</f>
        <v>0</v>
      </c>
      <c r="CC282" s="859">
        <f>CC276-CC277</f>
        <v>0</v>
      </c>
      <c r="CD282" s="859">
        <f>CD276-CD277</f>
        <v>0</v>
      </c>
      <c r="CE282" s="859">
        <f>CE276-CE277</f>
        <v>0</v>
      </c>
      <c r="CF282" s="859">
        <f>CF276-CF277</f>
        <v>0</v>
      </c>
      <c r="CG282" s="859">
        <f>CG276-CG277</f>
        <v>0</v>
      </c>
      <c r="CH282" s="859">
        <f>CH276-CH277</f>
        <v>0</v>
      </c>
      <c r="CI282" s="859">
        <f>CI276-CI277</f>
        <v>0</v>
      </c>
      <c r="CJ282" s="859">
        <f>CJ276-CJ277</f>
        <v>0</v>
      </c>
      <c r="CK282" s="859">
        <f>CK276-CK277</f>
        <v>0</v>
      </c>
      <c r="CL282" s="859">
        <f>CL276-CL277</f>
        <v>0</v>
      </c>
      <c r="CM282" s="859">
        <f>CM276-CM277</f>
        <v>0</v>
      </c>
      <c r="CN282" s="859">
        <f>CN276-CN277</f>
        <v>0</v>
      </c>
      <c r="CO282" s="859">
        <f>CO276-CO277</f>
        <v>0</v>
      </c>
      <c r="CP282" s="859">
        <f>CP276-CP277</f>
        <v>0</v>
      </c>
      <c r="CQ282" s="859">
        <f>CQ276-CQ277</f>
        <v>0</v>
      </c>
      <c r="CR282" s="859">
        <f>CR276-CR277</f>
        <v>0</v>
      </c>
      <c r="CS282" s="859">
        <f>CS276-CS277</f>
        <v>0</v>
      </c>
      <c r="CT282" s="73"/>
      <c r="CU282" s="1619"/>
      <c r="CV282" s="1619"/>
      <c r="CW282" s="1170" t="s">
        <v>743</v>
      </c>
      <c r="CX282" s="1175"/>
      <c r="CY282" s="1175"/>
      <c r="CZ282" s="1175"/>
      <c r="DA282" s="1176"/>
      <c r="DB282" s="1176"/>
    </row>
    <row s="1619" customFormat="1" customHeight="1" ht="16.5" hidden="1">
      <c r="A283" s="1440"/>
      <c r="B283" s="924"/>
      <c r="C283" s="1440"/>
      <c r="D283" s="1440"/>
      <c r="E283" s="794">
        <v>17.1</v>
      </c>
      <c r="F283" s="919" cm="1" t="str">
        <f t="array" ref="F283:F283">OFFSET(G283,-1,-1)</f>
        <v>2</v>
      </c>
      <c r="G283" s="962"/>
      <c r="H283" s="962"/>
      <c r="I283" s="962"/>
      <c r="J283" s="962"/>
      <c r="K283" s="962"/>
      <c r="L283" s="919" cm="1" t="str">
        <f t="array" ref="L283:L283">OFFSET(M283,-1,-1)</f>
        <v>false</v>
      </c>
      <c r="M283" s="962"/>
      <c r="N283" s="962"/>
      <c r="O283" s="962"/>
      <c r="P283" s="962"/>
      <c r="Q283" s="962"/>
      <c r="R283" s="919" t="s">
        <v>725</v>
      </c>
      <c r="S283" s="156" cm="1" t="str">
        <f t="array" ref="S283:S283">OFFSET(T283,-1,-1)</f>
        <v>true</v>
      </c>
      <c r="T283" s="156" cm="1" t="str">
        <f t="array" ref="T283:T283">T282</f>
        <v>false</v>
      </c>
      <c r="U283" s="816">
        <f>AND(S283,IF(ISBLANK(T283),TRUE,T283))</f>
        <v>0</v>
      </c>
      <c r="V283" s="1440"/>
      <c r="W283" s="1440"/>
      <c r="X283" s="1440"/>
      <c r="Y283" s="1440"/>
      <c r="Z283" s="1440"/>
      <c r="AA283" s="817"/>
      <c r="AB283" s="1520"/>
      <c r="AC283" s="1619"/>
      <c r="AD283" s="157">
        <v>4</v>
      </c>
      <c r="AE283" s="1495" t="s">
        <v>744</v>
      </c>
      <c r="AF283" s="165"/>
      <c r="AG283" s="157" t="s">
        <v>728</v>
      </c>
      <c r="AH283" s="86"/>
      <c r="AI283" s="87"/>
      <c r="AJ283" s="87"/>
      <c r="AK283" s="87"/>
      <c r="AL283" s="859">
        <f>AM283+AN283</f>
        <v>0</v>
      </c>
      <c r="AM283" s="87"/>
      <c r="AN283" s="87"/>
      <c r="AO283" s="859">
        <f>AP283+AQ283</f>
        <v>0</v>
      </c>
      <c r="AP283" s="976"/>
      <c r="AQ283" s="976"/>
      <c r="AR283" s="859">
        <f>AS283+AT283</f>
        <v>0</v>
      </c>
      <c r="AS283" s="976"/>
      <c r="AT283" s="976"/>
      <c r="AU283" s="859">
        <f>AV283+AW283</f>
        <v>0</v>
      </c>
      <c r="AV283" s="976"/>
      <c r="AW283" s="976"/>
      <c r="AX283" s="859">
        <f>AY283+AZ283</f>
        <v>0</v>
      </c>
      <c r="AY283" s="976"/>
      <c r="AZ283" s="976"/>
      <c r="BA283" s="859">
        <f>BB283+BC283</f>
        <v>0</v>
      </c>
      <c r="BB283" s="87"/>
      <c r="BC283" s="87"/>
      <c r="BD283" s="859">
        <f>BE283+BF283</f>
        <v>0</v>
      </c>
      <c r="BE283" s="87"/>
      <c r="BF283" s="87"/>
      <c r="BG283" s="859">
        <f>BH283+BI283</f>
        <v>0</v>
      </c>
      <c r="BH283" s="87"/>
      <c r="BI283" s="87"/>
      <c r="BJ283" s="859">
        <f>BK283+BL283</f>
        <v>0</v>
      </c>
      <c r="BK283" s="87"/>
      <c r="BL283" s="87"/>
      <c r="BM283" s="859">
        <f>BN283+BO283</f>
        <v>0</v>
      </c>
      <c r="BN283" s="87"/>
      <c r="BO283" s="87"/>
      <c r="BP283" s="859">
        <f>BQ283+BR283</f>
        <v>0</v>
      </c>
      <c r="BQ283" s="976"/>
      <c r="BR283" s="976"/>
      <c r="BS283" s="859">
        <f>BT283+BU283</f>
        <v>0</v>
      </c>
      <c r="BT283" s="976"/>
      <c r="BU283" s="976"/>
      <c r="BV283" s="859">
        <f>BW283+BX283</f>
        <v>0</v>
      </c>
      <c r="BW283" s="976"/>
      <c r="BX283" s="976"/>
      <c r="BY283" s="859">
        <f>BZ283+CA283</f>
        <v>0</v>
      </c>
      <c r="BZ283" s="976"/>
      <c r="CA283" s="976"/>
      <c r="CB283" s="859">
        <f>CC283+CD283</f>
        <v>0</v>
      </c>
      <c r="CC283" s="976"/>
      <c r="CD283" s="976"/>
      <c r="CE283" s="859">
        <f>CF283+CG283</f>
        <v>0</v>
      </c>
      <c r="CF283" s="87"/>
      <c r="CG283" s="87"/>
      <c r="CH283" s="859">
        <f>CI283+CJ283</f>
        <v>0</v>
      </c>
      <c r="CI283" s="87"/>
      <c r="CJ283" s="87"/>
      <c r="CK283" s="859">
        <f>CL283+CM283</f>
        <v>0</v>
      </c>
      <c r="CL283" s="87"/>
      <c r="CM283" s="87"/>
      <c r="CN283" s="859">
        <f>CO283+CP283</f>
        <v>0</v>
      </c>
      <c r="CO283" s="87"/>
      <c r="CP283" s="87"/>
      <c r="CQ283" s="859">
        <f>CR283+CS283</f>
        <v>0</v>
      </c>
      <c r="CR283" s="87"/>
      <c r="CS283" s="87"/>
      <c r="CT283" s="73"/>
      <c r="CU283" s="1619"/>
      <c r="CV283" s="1619"/>
      <c r="CW283" s="1170" t="s">
        <v>745</v>
      </c>
      <c r="CX283" s="1175"/>
      <c r="CY283" s="1175"/>
      <c r="CZ283" s="1175"/>
      <c r="DA283" s="1176"/>
      <c r="DB283" s="1176"/>
    </row>
    <row s="1619" customFormat="1" customHeight="1" ht="16.5" hidden="1">
      <c r="A284" s="1440"/>
      <c r="B284" s="924"/>
      <c r="C284" s="1440"/>
      <c r="D284" s="1440"/>
      <c r="E284" s="794">
        <v>17.1</v>
      </c>
      <c r="F284" s="919" cm="1" t="str">
        <f t="array" ref="F284:F284">OFFSET(G284,-1,-1)</f>
        <v>2</v>
      </c>
      <c r="G284" s="962"/>
      <c r="H284" s="962"/>
      <c r="I284" s="962"/>
      <c r="J284" s="962"/>
      <c r="K284" s="962"/>
      <c r="L284" s="919" cm="1" t="str">
        <f t="array" ref="L284:L284">OFFSET(M284,-1,-1)</f>
        <v>false</v>
      </c>
      <c r="M284" s="962"/>
      <c r="N284" s="962"/>
      <c r="O284" s="962"/>
      <c r="P284" s="962"/>
      <c r="Q284" s="962"/>
      <c r="R284" s="919" t="s">
        <v>725</v>
      </c>
      <c r="S284" s="156" cm="1" t="str">
        <f t="array" ref="S284:S284">OFFSET(T284,-1,-1)</f>
        <v>true</v>
      </c>
      <c r="T284" s="156" cm="1" t="str">
        <f t="array" ref="T284:T284">T283</f>
        <v>false</v>
      </c>
      <c r="U284" s="816">
        <f>AND(S284,IF(ISBLANK(T284),TRUE,T284))</f>
        <v>0</v>
      </c>
      <c r="V284" s="1440"/>
      <c r="W284" s="1440"/>
      <c r="X284" s="1440"/>
      <c r="Y284" s="1440"/>
      <c r="Z284" s="1440"/>
      <c r="AA284" s="817"/>
      <c r="AB284" s="1520"/>
      <c r="AC284" s="1619"/>
      <c r="AD284" s="157" t="s">
        <v>746</v>
      </c>
      <c r="AE284" s="1507" t="s">
        <v>747</v>
      </c>
      <c r="AF284" s="162"/>
      <c r="AG284" s="157" t="s">
        <v>490</v>
      </c>
      <c r="AH284" s="863">
        <f>_xlfn.IFERROR(AH283/AH282,0)</f>
        <v>0</v>
      </c>
      <c r="AI284" s="864">
        <f>_xlfn.IFERROR(AI283/AI282,0)</f>
        <v>0</v>
      </c>
      <c r="AJ284" s="864">
        <f>_xlfn.IFERROR(AJ283/AJ282,0)</f>
        <v>0</v>
      </c>
      <c r="AK284" s="864">
        <f>_xlfn.IFERROR(AK283/AK282,0)</f>
        <v>0</v>
      </c>
      <c r="AL284" s="864">
        <f>_xlfn.IFERROR(AL283/AL282,0)</f>
        <v>0</v>
      </c>
      <c r="AM284" s="864">
        <f>_xlfn.IFERROR(AM283/AM282,0)</f>
        <v>0</v>
      </c>
      <c r="AN284" s="864">
        <f>_xlfn.IFERROR(AN283/AN282,0)</f>
        <v>0</v>
      </c>
      <c r="AO284" s="864">
        <f>_xlfn.IFERROR(AO283/AO282,0)</f>
        <v>0</v>
      </c>
      <c r="AP284" s="864">
        <f>_xlfn.IFERROR(AP283/AP282,0)</f>
        <v>0</v>
      </c>
      <c r="AQ284" s="864">
        <f>_xlfn.IFERROR(AQ283/AQ282,0)</f>
        <v>0</v>
      </c>
      <c r="AR284" s="864">
        <f>_xlfn.IFERROR(AR283/AR282,0)</f>
        <v>0</v>
      </c>
      <c r="AS284" s="864">
        <f>_xlfn.IFERROR(AS283/AS282,0)</f>
        <v>0</v>
      </c>
      <c r="AT284" s="864">
        <f>_xlfn.IFERROR(AT283/AT282,0)</f>
        <v>0</v>
      </c>
      <c r="AU284" s="864">
        <f>_xlfn.IFERROR(AU283/AU282,0)</f>
        <v>0</v>
      </c>
      <c r="AV284" s="864">
        <f>_xlfn.IFERROR(AV283/AV282,0)</f>
        <v>0</v>
      </c>
      <c r="AW284" s="864">
        <f>_xlfn.IFERROR(AW283/AW282,0)</f>
        <v>0</v>
      </c>
      <c r="AX284" s="864">
        <f>_xlfn.IFERROR(AX283/AX282,0)</f>
        <v>0</v>
      </c>
      <c r="AY284" s="864">
        <f>_xlfn.IFERROR(AY283/AY282,0)</f>
        <v>0</v>
      </c>
      <c r="AZ284" s="864">
        <f>_xlfn.IFERROR(AZ283/AZ282,0)</f>
        <v>0</v>
      </c>
      <c r="BA284" s="864">
        <f>_xlfn.IFERROR(BA283/BA282,0)</f>
        <v>0</v>
      </c>
      <c r="BB284" s="864">
        <f>_xlfn.IFERROR(BB283/BB282,0)</f>
        <v>0</v>
      </c>
      <c r="BC284" s="864">
        <f>_xlfn.IFERROR(BC283/BC282,0)</f>
        <v>0</v>
      </c>
      <c r="BD284" s="864">
        <f>_xlfn.IFERROR(BD283/BD282,0)</f>
        <v>0</v>
      </c>
      <c r="BE284" s="864">
        <f>_xlfn.IFERROR(BE283/BE282,0)</f>
        <v>0</v>
      </c>
      <c r="BF284" s="864">
        <f>_xlfn.IFERROR(BF283/BF282,0)</f>
        <v>0</v>
      </c>
      <c r="BG284" s="864">
        <f>_xlfn.IFERROR(BG283/BG282,0)</f>
        <v>0</v>
      </c>
      <c r="BH284" s="864">
        <f>_xlfn.IFERROR(BH283/BH282,0)</f>
        <v>0</v>
      </c>
      <c r="BI284" s="864">
        <f>_xlfn.IFERROR(BI283/BI282,0)</f>
        <v>0</v>
      </c>
      <c r="BJ284" s="864">
        <f>_xlfn.IFERROR(BJ283/BJ282,0)</f>
        <v>0</v>
      </c>
      <c r="BK284" s="864">
        <f>_xlfn.IFERROR(BK283/BK282,0)</f>
        <v>0</v>
      </c>
      <c r="BL284" s="864">
        <f>_xlfn.IFERROR(BL283/BL282,0)</f>
        <v>0</v>
      </c>
      <c r="BM284" s="864">
        <f>_xlfn.IFERROR(BM283/BM282,0)</f>
        <v>0</v>
      </c>
      <c r="BN284" s="864">
        <f>_xlfn.IFERROR(BN283/BN282,0)</f>
        <v>0</v>
      </c>
      <c r="BO284" s="864">
        <f>_xlfn.IFERROR(BO283/BO282,0)</f>
        <v>0</v>
      </c>
      <c r="BP284" s="864">
        <f>_xlfn.IFERROR(BP283/BP282,0)</f>
        <v>0</v>
      </c>
      <c r="BQ284" s="864">
        <f>_xlfn.IFERROR(BQ283/BQ282,0)</f>
        <v>0</v>
      </c>
      <c r="BR284" s="864">
        <f>_xlfn.IFERROR(BR283/BR282,0)</f>
        <v>0</v>
      </c>
      <c r="BS284" s="864">
        <f>_xlfn.IFERROR(BS283/BS282,0)</f>
        <v>0</v>
      </c>
      <c r="BT284" s="864">
        <f>_xlfn.IFERROR(BT283/BT282,0)</f>
        <v>0</v>
      </c>
      <c r="BU284" s="864">
        <f>_xlfn.IFERROR(BU283/BU282,0)</f>
        <v>0</v>
      </c>
      <c r="BV284" s="864">
        <f>_xlfn.IFERROR(BV283/BV282,0)</f>
        <v>0</v>
      </c>
      <c r="BW284" s="864">
        <f>_xlfn.IFERROR(BW283/BW282,0)</f>
        <v>0</v>
      </c>
      <c r="BX284" s="864">
        <f>_xlfn.IFERROR(BX283/BX282,0)</f>
        <v>0</v>
      </c>
      <c r="BY284" s="864">
        <f>_xlfn.IFERROR(BY283/BY282,0)</f>
        <v>0</v>
      </c>
      <c r="BZ284" s="864">
        <f>_xlfn.IFERROR(BZ283/BZ282,0)</f>
        <v>0</v>
      </c>
      <c r="CA284" s="864">
        <f>_xlfn.IFERROR(CA283/CA282,0)</f>
        <v>0</v>
      </c>
      <c r="CB284" s="864">
        <f>_xlfn.IFERROR(CB283/CB282,0)</f>
        <v>0</v>
      </c>
      <c r="CC284" s="864">
        <f>_xlfn.IFERROR(CC283/CC282,0)</f>
        <v>0</v>
      </c>
      <c r="CD284" s="864">
        <f>_xlfn.IFERROR(CD283/CD282,0)</f>
        <v>0</v>
      </c>
      <c r="CE284" s="864">
        <f>_xlfn.IFERROR(CE283/CE282,0)</f>
        <v>0</v>
      </c>
      <c r="CF284" s="864">
        <f>_xlfn.IFERROR(CF283/CF282,0)</f>
        <v>0</v>
      </c>
      <c r="CG284" s="864">
        <f>_xlfn.IFERROR(CG283/CG282,0)</f>
        <v>0</v>
      </c>
      <c r="CH284" s="864">
        <f>_xlfn.IFERROR(CH283/CH282,0)</f>
        <v>0</v>
      </c>
      <c r="CI284" s="864">
        <f>_xlfn.IFERROR(CI283/CI282,0)</f>
        <v>0</v>
      </c>
      <c r="CJ284" s="864">
        <f>_xlfn.IFERROR(CJ283/CJ282,0)</f>
        <v>0</v>
      </c>
      <c r="CK284" s="864">
        <f>_xlfn.IFERROR(CK283/CK282,0)</f>
        <v>0</v>
      </c>
      <c r="CL284" s="864">
        <f>_xlfn.IFERROR(CL283/CL282,0)</f>
        <v>0</v>
      </c>
      <c r="CM284" s="864">
        <f>_xlfn.IFERROR(CM283/CM282,0)</f>
        <v>0</v>
      </c>
      <c r="CN284" s="864">
        <f>_xlfn.IFERROR(CN283/CN282,0)</f>
        <v>0</v>
      </c>
      <c r="CO284" s="864">
        <f>_xlfn.IFERROR(CO283/CO282,0)</f>
        <v>0</v>
      </c>
      <c r="CP284" s="864">
        <f>_xlfn.IFERROR(CP283/CP282,0)</f>
        <v>0</v>
      </c>
      <c r="CQ284" s="864">
        <f>_xlfn.IFERROR(CQ283/CQ282,0)</f>
        <v>0</v>
      </c>
      <c r="CR284" s="864">
        <f>_xlfn.IFERROR(CR283/CR282,0)</f>
        <v>0</v>
      </c>
      <c r="CS284" s="864">
        <f>_xlfn.IFERROR(CS283/CS282,0)</f>
        <v>0</v>
      </c>
      <c r="CT284" s="73"/>
      <c r="CU284" s="1619"/>
      <c r="CV284" s="1619"/>
      <c r="CW284" s="1170" t="s">
        <v>748</v>
      </c>
      <c r="CX284" s="1175"/>
      <c r="CY284" s="1175"/>
      <c r="CZ284" s="1175"/>
      <c r="DA284" s="1176"/>
      <c r="DB284" s="1176"/>
    </row>
    <row s="1619" customFormat="1" customHeight="1" ht="16.5" hidden="1">
      <c r="A285" s="1440"/>
      <c r="B285" s="924"/>
      <c r="C285" s="1440"/>
      <c r="D285" s="1440"/>
      <c r="E285" s="794">
        <v>17.1</v>
      </c>
      <c r="F285" s="919" cm="1" t="str">
        <f t="array" ref="F285:F285">OFFSET(G285,-1,-1)</f>
        <v>2</v>
      </c>
      <c r="G285" s="962"/>
      <c r="H285" s="962"/>
      <c r="I285" s="962"/>
      <c r="J285" s="962"/>
      <c r="K285" s="962"/>
      <c r="L285" s="919" cm="1" t="str">
        <f t="array" ref="L285:L285">OFFSET(M285,-1,-1)</f>
        <v>false</v>
      </c>
      <c r="M285" s="962"/>
      <c r="N285" s="962"/>
      <c r="O285" s="962"/>
      <c r="P285" s="962"/>
      <c r="Q285" s="962"/>
      <c r="R285" s="919" t="s">
        <v>725</v>
      </c>
      <c r="S285" s="156" cm="1" t="str">
        <f t="array" ref="S285:S285">OFFSET(T285,-1,-1)</f>
        <v>true</v>
      </c>
      <c r="T285" s="156" cm="1" t="str">
        <f t="array" ref="T285:T285">T284</f>
        <v>false</v>
      </c>
      <c r="U285" s="816">
        <f>AND(S285,IF(ISBLANK(T285),TRUE,T285))</f>
        <v>0</v>
      </c>
      <c r="V285" s="1440"/>
      <c r="W285" s="1440"/>
      <c r="X285" s="1440"/>
      <c r="Y285" s="1440"/>
      <c r="Z285" s="1440"/>
      <c r="AA285" s="817"/>
      <c r="AB285" s="1520"/>
      <c r="AC285" s="1619"/>
      <c r="AD285" s="157">
        <v>5</v>
      </c>
      <c r="AE285" s="1514" t="s">
        <v>749</v>
      </c>
      <c r="AF285" s="1515"/>
      <c r="AG285" s="157" t="s">
        <v>728</v>
      </c>
      <c r="AH285" s="86"/>
      <c r="AI285" s="87"/>
      <c r="AJ285" s="87"/>
      <c r="AK285" s="87"/>
      <c r="AL285" s="859">
        <f>AM285+AN285</f>
        <v>0</v>
      </c>
      <c r="AM285" s="87"/>
      <c r="AN285" s="87"/>
      <c r="AO285" s="859">
        <f>AP285+AQ285</f>
        <v>0</v>
      </c>
      <c r="AP285" s="976"/>
      <c r="AQ285" s="976"/>
      <c r="AR285" s="859">
        <f>AS285+AT285</f>
        <v>0</v>
      </c>
      <c r="AS285" s="976"/>
      <c r="AT285" s="976"/>
      <c r="AU285" s="859">
        <f>AV285+AW285</f>
        <v>0</v>
      </c>
      <c r="AV285" s="976"/>
      <c r="AW285" s="976"/>
      <c r="AX285" s="859">
        <f>AY285+AZ285</f>
        <v>0</v>
      </c>
      <c r="AY285" s="976"/>
      <c r="AZ285" s="976"/>
      <c r="BA285" s="859">
        <f>BB285+BC285</f>
        <v>0</v>
      </c>
      <c r="BB285" s="87"/>
      <c r="BC285" s="87"/>
      <c r="BD285" s="859">
        <f>BE285+BF285</f>
        <v>0</v>
      </c>
      <c r="BE285" s="87"/>
      <c r="BF285" s="87"/>
      <c r="BG285" s="859">
        <f>BH285+BI285</f>
        <v>0</v>
      </c>
      <c r="BH285" s="87"/>
      <c r="BI285" s="87"/>
      <c r="BJ285" s="859">
        <f>BK285+BL285</f>
        <v>0</v>
      </c>
      <c r="BK285" s="87"/>
      <c r="BL285" s="87"/>
      <c r="BM285" s="859">
        <f>BN285+BO285</f>
        <v>0</v>
      </c>
      <c r="BN285" s="87"/>
      <c r="BO285" s="87"/>
      <c r="BP285" s="859">
        <f>BQ285+BR285</f>
        <v>0</v>
      </c>
      <c r="BQ285" s="976"/>
      <c r="BR285" s="976"/>
      <c r="BS285" s="859">
        <f>BT285+BU285</f>
        <v>0</v>
      </c>
      <c r="BT285" s="976"/>
      <c r="BU285" s="976"/>
      <c r="BV285" s="859">
        <f>BW285+BX285</f>
        <v>0</v>
      </c>
      <c r="BW285" s="976"/>
      <c r="BX285" s="976"/>
      <c r="BY285" s="859">
        <f>BZ285+CA285</f>
        <v>0</v>
      </c>
      <c r="BZ285" s="976"/>
      <c r="CA285" s="976"/>
      <c r="CB285" s="859">
        <f>CC285+CD285</f>
        <v>0</v>
      </c>
      <c r="CC285" s="976"/>
      <c r="CD285" s="976"/>
      <c r="CE285" s="859">
        <f>CF285+CG285</f>
        <v>0</v>
      </c>
      <c r="CF285" s="87"/>
      <c r="CG285" s="87"/>
      <c r="CH285" s="859">
        <f>CI285+CJ285</f>
        <v>0</v>
      </c>
      <c r="CI285" s="87"/>
      <c r="CJ285" s="87"/>
      <c r="CK285" s="859">
        <f>CL285+CM285</f>
        <v>0</v>
      </c>
      <c r="CL285" s="87"/>
      <c r="CM285" s="87"/>
      <c r="CN285" s="859">
        <f>CO285+CP285</f>
        <v>0</v>
      </c>
      <c r="CO285" s="87"/>
      <c r="CP285" s="87"/>
      <c r="CQ285" s="859">
        <f>CR285+CS285</f>
        <v>0</v>
      </c>
      <c r="CR285" s="87"/>
      <c r="CS285" s="87"/>
      <c r="CT285" s="73"/>
      <c r="CU285" s="1619"/>
      <c r="CV285" s="1619"/>
      <c r="CW285" s="1170" t="s">
        <v>750</v>
      </c>
      <c r="CX285" s="1175"/>
      <c r="CY285" s="1175"/>
      <c r="CZ285" s="1175"/>
      <c r="DA285" s="1176"/>
      <c r="DB285" s="1176"/>
    </row>
    <row s="1619" customFormat="1" customHeight="1" ht="16.5" hidden="1">
      <c r="A286" s="1440"/>
      <c r="B286" s="924"/>
      <c r="C286" s="1440"/>
      <c r="D286" s="1440"/>
      <c r="E286" s="794">
        <v>17.1</v>
      </c>
      <c r="F286" s="919" cm="1" t="str">
        <f t="array" ref="F286:F286">OFFSET(G286,-1,-1)</f>
        <v>2</v>
      </c>
      <c r="G286" s="962"/>
      <c r="H286" s="962"/>
      <c r="I286" s="962"/>
      <c r="J286" s="962"/>
      <c r="K286" s="962"/>
      <c r="L286" s="919" cm="1" t="str">
        <f t="array" ref="L286:L286">OFFSET(M286,-1,-1)</f>
        <v>false</v>
      </c>
      <c r="M286" s="962"/>
      <c r="N286" s="962"/>
      <c r="O286" s="962"/>
      <c r="P286" s="962"/>
      <c r="Q286" s="962"/>
      <c r="R286" s="919" t="s">
        <v>725</v>
      </c>
      <c r="S286" s="156" cm="1" t="str">
        <f t="array" ref="S286:S286">OFFSET(T286,-1,-1)</f>
        <v>true</v>
      </c>
      <c r="T286" s="156" cm="1" t="str">
        <f t="array" ref="T286:T286">T285</f>
        <v>false</v>
      </c>
      <c r="U286" s="816">
        <f>AND(S286,IF(ISBLANK(T286),TRUE,T286))</f>
        <v>0</v>
      </c>
      <c r="V286" s="1440"/>
      <c r="W286" s="1440"/>
      <c r="X286" s="1440"/>
      <c r="Y286" s="1440"/>
      <c r="Z286" s="1440"/>
      <c r="AA286" s="817"/>
      <c r="AB286" s="1520"/>
      <c r="AC286" s="1619"/>
      <c r="AD286" s="157" t="s">
        <v>751</v>
      </c>
      <c r="AE286" s="1507" t="s">
        <v>747</v>
      </c>
      <c r="AF286" s="162"/>
      <c r="AG286" s="157" t="s">
        <v>490</v>
      </c>
      <c r="AH286" s="863">
        <f>_xlfn.IFERROR(AH285/AH282,0)</f>
        <v>0</v>
      </c>
      <c r="AI286" s="864">
        <f>_xlfn.IFERROR(AI285/AI282,0)</f>
        <v>0</v>
      </c>
      <c r="AJ286" s="864">
        <f>_xlfn.IFERROR(AJ285/AJ282,0)</f>
        <v>0</v>
      </c>
      <c r="AK286" s="864">
        <f>_xlfn.IFERROR(AK285/AK282,0)</f>
        <v>0</v>
      </c>
      <c r="AL286" s="864">
        <f>_xlfn.IFERROR(AL285/AL282,0)</f>
        <v>0</v>
      </c>
      <c r="AM286" s="864">
        <f>_xlfn.IFERROR(AM285/AM282,0)</f>
        <v>0</v>
      </c>
      <c r="AN286" s="864">
        <f>_xlfn.IFERROR(AN285/AN282,0)</f>
        <v>0</v>
      </c>
      <c r="AO286" s="864">
        <f>_xlfn.IFERROR(AO285/AO282,0)</f>
        <v>0</v>
      </c>
      <c r="AP286" s="864">
        <f>_xlfn.IFERROR(AP285/AP282,0)</f>
        <v>0</v>
      </c>
      <c r="AQ286" s="864">
        <f>_xlfn.IFERROR(AQ285/AQ282,0)</f>
        <v>0</v>
      </c>
      <c r="AR286" s="864">
        <f>_xlfn.IFERROR(AR285/AR282,0)</f>
        <v>0</v>
      </c>
      <c r="AS286" s="864">
        <f>_xlfn.IFERROR(AS285/AS282,0)</f>
        <v>0</v>
      </c>
      <c r="AT286" s="864">
        <f>_xlfn.IFERROR(AT285/AT282,0)</f>
        <v>0</v>
      </c>
      <c r="AU286" s="864">
        <f>_xlfn.IFERROR(AU285/AU282,0)</f>
        <v>0</v>
      </c>
      <c r="AV286" s="864">
        <f>_xlfn.IFERROR(AV285/AV282,0)</f>
        <v>0</v>
      </c>
      <c r="AW286" s="864">
        <f>_xlfn.IFERROR(AW285/AW282,0)</f>
        <v>0</v>
      </c>
      <c r="AX286" s="864">
        <f>_xlfn.IFERROR(AX285/AX282,0)</f>
        <v>0</v>
      </c>
      <c r="AY286" s="864">
        <f>_xlfn.IFERROR(AY285/AY282,0)</f>
        <v>0</v>
      </c>
      <c r="AZ286" s="864">
        <f>_xlfn.IFERROR(AZ285/AZ282,0)</f>
        <v>0</v>
      </c>
      <c r="BA286" s="864">
        <f>_xlfn.IFERROR(BA285/BA282,0)</f>
        <v>0</v>
      </c>
      <c r="BB286" s="864">
        <f>_xlfn.IFERROR(BB285/BB282,0)</f>
        <v>0</v>
      </c>
      <c r="BC286" s="864">
        <f>_xlfn.IFERROR(BC285/BC282,0)</f>
        <v>0</v>
      </c>
      <c r="BD286" s="864">
        <f>_xlfn.IFERROR(BD285/BD282,0)</f>
        <v>0</v>
      </c>
      <c r="BE286" s="864">
        <f>_xlfn.IFERROR(BE285/BE282,0)</f>
        <v>0</v>
      </c>
      <c r="BF286" s="864">
        <f>_xlfn.IFERROR(BF285/BF282,0)</f>
        <v>0</v>
      </c>
      <c r="BG286" s="864">
        <f>_xlfn.IFERROR(BG285/BG282,0)</f>
        <v>0</v>
      </c>
      <c r="BH286" s="864">
        <f>_xlfn.IFERROR(BH285/BH282,0)</f>
        <v>0</v>
      </c>
      <c r="BI286" s="864">
        <f>_xlfn.IFERROR(BI285/BI282,0)</f>
        <v>0</v>
      </c>
      <c r="BJ286" s="864">
        <f>_xlfn.IFERROR(BJ285/BJ282,0)</f>
        <v>0</v>
      </c>
      <c r="BK286" s="864">
        <f>_xlfn.IFERROR(BK285/BK282,0)</f>
        <v>0</v>
      </c>
      <c r="BL286" s="864">
        <f>_xlfn.IFERROR(BL285/BL282,0)</f>
        <v>0</v>
      </c>
      <c r="BM286" s="864">
        <f>_xlfn.IFERROR(BM285/BM282,0)</f>
        <v>0</v>
      </c>
      <c r="BN286" s="864">
        <f>_xlfn.IFERROR(BN285/BN282,0)</f>
        <v>0</v>
      </c>
      <c r="BO286" s="864">
        <f>_xlfn.IFERROR(BO285/BO282,0)</f>
        <v>0</v>
      </c>
      <c r="BP286" s="864">
        <f>_xlfn.IFERROR(BP285/BP282,0)</f>
        <v>0</v>
      </c>
      <c r="BQ286" s="864">
        <f>_xlfn.IFERROR(BQ285/BQ282,0)</f>
        <v>0</v>
      </c>
      <c r="BR286" s="864">
        <f>_xlfn.IFERROR(BR285/BR282,0)</f>
        <v>0</v>
      </c>
      <c r="BS286" s="864">
        <f>_xlfn.IFERROR(BS285/BS282,0)</f>
        <v>0</v>
      </c>
      <c r="BT286" s="864">
        <f>_xlfn.IFERROR(BT285/BT282,0)</f>
        <v>0</v>
      </c>
      <c r="BU286" s="864">
        <f>_xlfn.IFERROR(BU285/BU282,0)</f>
        <v>0</v>
      </c>
      <c r="BV286" s="864">
        <f>_xlfn.IFERROR(BV285/BV282,0)</f>
        <v>0</v>
      </c>
      <c r="BW286" s="864">
        <f>_xlfn.IFERROR(BW285/BW282,0)</f>
        <v>0</v>
      </c>
      <c r="BX286" s="864">
        <f>_xlfn.IFERROR(BX285/BX282,0)</f>
        <v>0</v>
      </c>
      <c r="BY286" s="864">
        <f>_xlfn.IFERROR(BY285/BY282,0)</f>
        <v>0</v>
      </c>
      <c r="BZ286" s="864">
        <f>_xlfn.IFERROR(BZ285/BZ282,0)</f>
        <v>0</v>
      </c>
      <c r="CA286" s="864">
        <f>_xlfn.IFERROR(CA285/CA282,0)</f>
        <v>0</v>
      </c>
      <c r="CB286" s="864">
        <f>_xlfn.IFERROR(CB285/CB282,0)</f>
        <v>0</v>
      </c>
      <c r="CC286" s="864">
        <f>_xlfn.IFERROR(CC285/CC282,0)</f>
        <v>0</v>
      </c>
      <c r="CD286" s="864">
        <f>_xlfn.IFERROR(CD285/CD282,0)</f>
        <v>0</v>
      </c>
      <c r="CE286" s="864">
        <f>_xlfn.IFERROR(CE285/CE282,0)</f>
        <v>0</v>
      </c>
      <c r="CF286" s="864">
        <f>_xlfn.IFERROR(CF285/CF282,0)</f>
        <v>0</v>
      </c>
      <c r="CG286" s="864">
        <f>_xlfn.IFERROR(CG285/CG282,0)</f>
        <v>0</v>
      </c>
      <c r="CH286" s="864">
        <f>_xlfn.IFERROR(CH285/CH282,0)</f>
        <v>0</v>
      </c>
      <c r="CI286" s="864">
        <f>_xlfn.IFERROR(CI285/CI282,0)</f>
        <v>0</v>
      </c>
      <c r="CJ286" s="864">
        <f>_xlfn.IFERROR(CJ285/CJ282,0)</f>
        <v>0</v>
      </c>
      <c r="CK286" s="864">
        <f>_xlfn.IFERROR(CK285/CK282,0)</f>
        <v>0</v>
      </c>
      <c r="CL286" s="864">
        <f>_xlfn.IFERROR(CL285/CL282,0)</f>
        <v>0</v>
      </c>
      <c r="CM286" s="864">
        <f>_xlfn.IFERROR(CM285/CM282,0)</f>
        <v>0</v>
      </c>
      <c r="CN286" s="864">
        <f>_xlfn.IFERROR(CN285/CN282,0)</f>
        <v>0</v>
      </c>
      <c r="CO286" s="864">
        <f>_xlfn.IFERROR(CO285/CO282,0)</f>
        <v>0</v>
      </c>
      <c r="CP286" s="864">
        <f>_xlfn.IFERROR(CP285/CP282,0)</f>
        <v>0</v>
      </c>
      <c r="CQ286" s="864">
        <f>_xlfn.IFERROR(CQ285/CQ282,0)</f>
        <v>0</v>
      </c>
      <c r="CR286" s="864">
        <f>_xlfn.IFERROR(CR285/CR282,0)</f>
        <v>0</v>
      </c>
      <c r="CS286" s="864">
        <f>_xlfn.IFERROR(CS285/CS282,0)</f>
        <v>0</v>
      </c>
      <c r="CT286" s="73"/>
      <c r="CU286" s="1619"/>
      <c r="CV286" s="1619"/>
      <c r="CW286" s="1170" t="s">
        <v>752</v>
      </c>
      <c r="CX286" s="1175"/>
      <c r="CY286" s="1175"/>
      <c r="CZ286" s="1175"/>
      <c r="DA286" s="1176"/>
      <c r="DB286" s="1176"/>
    </row>
    <row s="1619" customFormat="1" customHeight="1" ht="16.5" hidden="1">
      <c r="A287" s="1440"/>
      <c r="B287" s="924"/>
      <c r="C287" s="1440"/>
      <c r="D287" s="1440"/>
      <c r="E287" s="794">
        <v>17.1</v>
      </c>
      <c r="F287" s="919" cm="1" t="str">
        <f t="array" ref="F287:F287">OFFSET(G287,-1,-1)</f>
        <v>2</v>
      </c>
      <c r="G287" s="962"/>
      <c r="H287" s="962"/>
      <c r="I287" s="962"/>
      <c r="J287" s="962"/>
      <c r="K287" s="962"/>
      <c r="L287" s="919" cm="1" t="str">
        <f t="array" ref="L287:L287">OFFSET(M287,-1,-1)</f>
        <v>false</v>
      </c>
      <c r="M287" s="962"/>
      <c r="N287" s="962"/>
      <c r="O287" s="962"/>
      <c r="P287" s="962"/>
      <c r="Q287" s="962"/>
      <c r="R287" s="919" t="s">
        <v>725</v>
      </c>
      <c r="S287" s="156" cm="1" t="str">
        <f t="array" ref="S287:S287">OFFSET(T287,-1,-1)</f>
        <v>true</v>
      </c>
      <c r="T287" s="156" cm="1" t="str">
        <f t="array" ref="T287:T287">T286</f>
        <v>false</v>
      </c>
      <c r="U287" s="816">
        <f>AND(S287,IF(ISBLANK(T287),TRUE,T287))</f>
        <v>0</v>
      </c>
      <c r="V287" s="1440"/>
      <c r="W287" s="1440"/>
      <c r="X287" s="1440"/>
      <c r="Y287" s="1440"/>
      <c r="Z287" s="1440"/>
      <c r="AA287" s="817"/>
      <c r="AB287" s="1520"/>
      <c r="AC287" s="1619"/>
      <c r="AD287" s="157">
        <v>6</v>
      </c>
      <c r="AE287" s="1514" t="s">
        <v>753</v>
      </c>
      <c r="AF287" s="1515"/>
      <c r="AG287" s="157" t="s">
        <v>728</v>
      </c>
      <c r="AH287" s="857">
        <f>AH282-AH283-AH285</f>
        <v>0</v>
      </c>
      <c r="AI287" s="859">
        <f>AI282-AI283-AI285</f>
        <v>0</v>
      </c>
      <c r="AJ287" s="859">
        <f>AJ282-AJ283-AJ285</f>
        <v>0</v>
      </c>
      <c r="AK287" s="859">
        <f>AK282-AK283-AK285</f>
        <v>0</v>
      </c>
      <c r="AL287" s="859">
        <f>AL282-AL283-AL285</f>
        <v>0</v>
      </c>
      <c r="AM287" s="859">
        <f>AM282-AM283-AM285</f>
        <v>0</v>
      </c>
      <c r="AN287" s="859">
        <f>AN282-AN283-AN285</f>
        <v>0</v>
      </c>
      <c r="AO287" s="859">
        <f>AO282-AO283-AO285</f>
        <v>0</v>
      </c>
      <c r="AP287" s="859">
        <f>AP282-AP283-AP285</f>
        <v>0</v>
      </c>
      <c r="AQ287" s="859">
        <f>AQ282-AQ283-AQ285</f>
        <v>0</v>
      </c>
      <c r="AR287" s="859">
        <f>AR282-AR283-AR285</f>
        <v>0</v>
      </c>
      <c r="AS287" s="859">
        <f>AS282-AS283-AS285</f>
        <v>0</v>
      </c>
      <c r="AT287" s="859">
        <f>AT282-AT283-AT285</f>
        <v>0</v>
      </c>
      <c r="AU287" s="859">
        <f>AU282-AU283-AU285</f>
        <v>0</v>
      </c>
      <c r="AV287" s="859">
        <f>AV282-AV283-AV285</f>
        <v>0</v>
      </c>
      <c r="AW287" s="859">
        <f>AW282-AW283-AW285</f>
        <v>0</v>
      </c>
      <c r="AX287" s="859">
        <f>AX282-AX283-AX285</f>
        <v>0</v>
      </c>
      <c r="AY287" s="859">
        <f>AY282-AY283-AY285</f>
        <v>0</v>
      </c>
      <c r="AZ287" s="859">
        <f>AZ282-AZ283-AZ285</f>
        <v>0</v>
      </c>
      <c r="BA287" s="859">
        <f>BA282-BA283-BA285</f>
        <v>0</v>
      </c>
      <c r="BB287" s="859">
        <f>BB282-BB283-BB285</f>
        <v>0</v>
      </c>
      <c r="BC287" s="859">
        <f>BC282-BC283-BC285</f>
        <v>0</v>
      </c>
      <c r="BD287" s="859">
        <f>BD282-BD283-BD285</f>
        <v>0</v>
      </c>
      <c r="BE287" s="859">
        <f>BE282-BE283-BE285</f>
        <v>0</v>
      </c>
      <c r="BF287" s="859">
        <f>BF282-BF283-BF285</f>
        <v>0</v>
      </c>
      <c r="BG287" s="859">
        <f>BG282-BG283-BG285</f>
        <v>0</v>
      </c>
      <c r="BH287" s="859">
        <f>BH282-BH283-BH285</f>
        <v>0</v>
      </c>
      <c r="BI287" s="859">
        <f>BI282-BI283-BI285</f>
        <v>0</v>
      </c>
      <c r="BJ287" s="859">
        <f>BJ282-BJ283-BJ285</f>
        <v>0</v>
      </c>
      <c r="BK287" s="859">
        <f>BK282-BK283-BK285</f>
        <v>0</v>
      </c>
      <c r="BL287" s="859">
        <f>BL282-BL283-BL285</f>
        <v>0</v>
      </c>
      <c r="BM287" s="859">
        <f>BM282-BM283-BM285</f>
        <v>0</v>
      </c>
      <c r="BN287" s="859">
        <f>BN282-BN283-BN285</f>
        <v>0</v>
      </c>
      <c r="BO287" s="859">
        <f>BO282-BO283-BO285</f>
        <v>0</v>
      </c>
      <c r="BP287" s="859">
        <f>BP282-BP283-BP285</f>
        <v>0</v>
      </c>
      <c r="BQ287" s="859">
        <f>BQ282-BQ283-BQ285</f>
        <v>0</v>
      </c>
      <c r="BR287" s="859">
        <f>BR282-BR283-BR285</f>
        <v>0</v>
      </c>
      <c r="BS287" s="859">
        <f>BS282-BS283-BS285</f>
        <v>0</v>
      </c>
      <c r="BT287" s="859">
        <f>BT282-BT283-BT285</f>
        <v>0</v>
      </c>
      <c r="BU287" s="859">
        <f>BU282-BU283-BU285</f>
        <v>0</v>
      </c>
      <c r="BV287" s="859">
        <f>BV282-BV283-BV285</f>
        <v>0</v>
      </c>
      <c r="BW287" s="859">
        <f>BW282-BW283-BW285</f>
        <v>0</v>
      </c>
      <c r="BX287" s="859">
        <f>BX282-BX283-BX285</f>
        <v>0</v>
      </c>
      <c r="BY287" s="859">
        <f>BY282-BY283-BY285</f>
        <v>0</v>
      </c>
      <c r="BZ287" s="859">
        <f>BZ282-BZ283-BZ285</f>
        <v>0</v>
      </c>
      <c r="CA287" s="859">
        <f>CA282-CA283-CA285</f>
        <v>0</v>
      </c>
      <c r="CB287" s="859">
        <f>CB282-CB283-CB285</f>
        <v>0</v>
      </c>
      <c r="CC287" s="859">
        <f>CC282-CC283-CC285</f>
        <v>0</v>
      </c>
      <c r="CD287" s="859">
        <f>CD282-CD283-CD285</f>
        <v>0</v>
      </c>
      <c r="CE287" s="859">
        <f>CE282-CE283-CE285</f>
        <v>0</v>
      </c>
      <c r="CF287" s="859">
        <f>CF282-CF283-CF285</f>
        <v>0</v>
      </c>
      <c r="CG287" s="859">
        <f>CG282-CG283-CG285</f>
        <v>0</v>
      </c>
      <c r="CH287" s="859">
        <f>CH282-CH283-CH285</f>
        <v>0</v>
      </c>
      <c r="CI287" s="859">
        <f>CI282-CI283-CI285</f>
        <v>0</v>
      </c>
      <c r="CJ287" s="859">
        <f>CJ282-CJ283-CJ285</f>
        <v>0</v>
      </c>
      <c r="CK287" s="859">
        <f>CK282-CK283-CK285</f>
        <v>0</v>
      </c>
      <c r="CL287" s="859">
        <f>CL282-CL283-CL285</f>
        <v>0</v>
      </c>
      <c r="CM287" s="859">
        <f>CM282-CM283-CM285</f>
        <v>0</v>
      </c>
      <c r="CN287" s="859">
        <f>CN282-CN283-CN285</f>
        <v>0</v>
      </c>
      <c r="CO287" s="859">
        <f>CO282-CO283-CO285</f>
        <v>0</v>
      </c>
      <c r="CP287" s="859">
        <f>CP282-CP283-CP285</f>
        <v>0</v>
      </c>
      <c r="CQ287" s="859">
        <f>CQ282-CQ283-CQ285</f>
        <v>0</v>
      </c>
      <c r="CR287" s="859">
        <f>CR282-CR283-CR285</f>
        <v>0</v>
      </c>
      <c r="CS287" s="859">
        <f>CS282-CS283-CS285</f>
        <v>0</v>
      </c>
      <c r="CT287" s="73"/>
      <c r="CU287" s="1619"/>
      <c r="CV287" s="1619"/>
      <c r="CW287" s="1170" t="s">
        <v>754</v>
      </c>
      <c r="CX287" s="1175"/>
      <c r="CY287" s="1175"/>
      <c r="CZ287" s="1175"/>
      <c r="DA287" s="1176"/>
      <c r="DB287" s="1176"/>
    </row>
    <row s="1619" customFormat="1" customHeight="1" ht="29.25">
      <c r="A288" s="1440"/>
      <c r="B288" s="924"/>
      <c r="C288" s="1440"/>
      <c r="D288" s="1440"/>
      <c r="E288" s="794">
        <v>30</v>
      </c>
      <c r="F288" s="919" cm="1" t="str">
        <f t="array" ref="F288:F288">OFFSET(G288,-1,-1)</f>
        <v>2</v>
      </c>
      <c r="G288" s="962"/>
      <c r="H288" s="962"/>
      <c r="I288" s="962"/>
      <c r="J288" s="962"/>
      <c r="K288" s="962"/>
      <c r="L288" s="919" cm="1" t="str">
        <f t="array" ref="L288:L288">OFFSET(M288,-1,-1)</f>
        <v>false</v>
      </c>
      <c r="M288" s="962"/>
      <c r="N288" s="962"/>
      <c r="O288" s="962"/>
      <c r="P288" s="962"/>
      <c r="Q288" s="962"/>
      <c r="R288" s="1440"/>
      <c r="S288" s="156" cm="1" t="str">
        <f t="array" ref="S288:S288">OFFSET(T288,-1,-1)</f>
        <v>true</v>
      </c>
      <c r="T288" s="1440"/>
      <c r="U288" s="816">
        <f>AND(S288,IF(ISBLANK(T288),TRUE,T288))</f>
        <v>1</v>
      </c>
      <c r="V288" s="1440"/>
      <c r="W288" s="1440"/>
      <c r="X288" s="1440"/>
      <c r="Y288" s="1440"/>
      <c r="Z288" s="1440"/>
      <c r="AA288" s="817"/>
      <c r="AB288" s="1520"/>
      <c r="AC288" s="1619"/>
      <c r="AD288" s="157">
        <v>7</v>
      </c>
      <c r="AE288" s="1510" t="s">
        <v>755</v>
      </c>
      <c r="AF288" s="164"/>
      <c r="AG288" s="869" t="s">
        <v>591</v>
      </c>
      <c r="AH288" s="857">
        <f>_xlfn.SUMIFS('Баланс Пр'!AE$27:AE$233,'Баланс Пр'!$AB$27:$AB$233,"3.1",'Баланс Пр'!$F$27:$F$233,$F288)+_xlfn.SUMIFS('Баланс Пр'!AE$27:AE$233,'Баланс Пр'!$AB$27:$AB$233,"3.2",'Баланс Пр'!$F$27:$F$233,$F288)</f>
        <v>0</v>
      </c>
      <c r="AI288" s="857">
        <f>_xlfn.SUMIFS('Баланс Пр'!AF$27:AF$233,'Баланс Пр'!$AB$27:$AB$233,"3.1",'Баланс Пр'!$F$27:$F$233,$F288)+_xlfn.SUMIFS('Баланс Пр'!AF$27:AF$233,'Баланс Пр'!$AB$27:$AB$233,"3.2",'Баланс Пр'!$F$27:$F$233,$F288)</f>
        <v>0</v>
      </c>
      <c r="AJ288" s="857">
        <f>_xlfn.SUMIFS('Баланс Пр'!AG$27:AG$233,'Баланс Пр'!$AB$27:$AB$233,"3.1",'Баланс Пр'!$F$27:$F$233,$F288)+_xlfn.SUMIFS('Баланс Пр'!AG$27:AG$233,'Баланс Пр'!$AB$27:$AB$233,"3.2",'Баланс Пр'!$F$27:$F$233,$F288)</f>
        <v>0</v>
      </c>
      <c r="AK288" s="857">
        <f>_xlfn.SUMIFS('Баланс Пр'!AH$27:AH$233,'Баланс Пр'!$AB$27:$AB$233,"3.1",'Баланс Пр'!$F$27:$F$233,$F288)+_xlfn.SUMIFS('Баланс Пр'!AH$27:AH$233,'Баланс Пр'!$AB$27:$AB$233,"3.2",'Баланс Пр'!$F$27:$F$233,$F288)</f>
        <v>0</v>
      </c>
      <c r="AL288" s="857">
        <f>_xlfn.SUMIFS('Баланс Пр'!AI$27:AI$233,'Баланс Пр'!$AB$27:$AB$233,"3.1",'Баланс Пр'!$F$27:$F$233,$F288)+_xlfn.SUMIFS('Баланс Пр'!AI$27:AI$233,'Баланс Пр'!$AB$27:$AB$233,"3.2",'Баланс Пр'!$F$27:$F$233,$F288)</f>
        <v>1370</v>
      </c>
      <c r="AM288" s="1766">
        <v>1024</v>
      </c>
      <c r="AN288" s="859">
        <f>AL288-AM288</f>
        <v>346</v>
      </c>
      <c r="AO288" s="857">
        <f>_xlfn.SUMIFS('Баланс Пр'!AJ$27:AJ$233,'Баланс Пр'!$AB$27:$AB$233,"3.1",'Баланс Пр'!$F$27:$F$233,$F288)+_xlfn.SUMIFS('Баланс Пр'!AJ$27:AJ$233,'Баланс Пр'!$AB$27:$AB$233,"3.2",'Баланс Пр'!$F$27:$F$233,$F288)</f>
        <v>1370</v>
      </c>
      <c r="AP288" s="976">
        <v>1024</v>
      </c>
      <c r="AQ288" s="859">
        <f>AO288-AP288</f>
        <v>346</v>
      </c>
      <c r="AR288" s="857">
        <f>_xlfn.SUMIFS('Баланс Пр'!AK$27:AK$233,'Баланс Пр'!$AB$27:$AB$233,"3.1",'Баланс Пр'!$F$27:$F$233,$F288)+_xlfn.SUMIFS('Баланс Пр'!AK$27:AK$233,'Баланс Пр'!$AB$27:$AB$233,"3.2",'Баланс Пр'!$F$27:$F$233,$F288)</f>
        <v>1370</v>
      </c>
      <c r="AS288" s="976">
        <v>1024</v>
      </c>
      <c r="AT288" s="859">
        <f>AR288-AS288</f>
        <v>346</v>
      </c>
      <c r="AU288" s="857">
        <f>_xlfn.SUMIFS('Баланс Пр'!AL$27:AL$233,'Баланс Пр'!$AB$27:$AB$233,"3.1",'Баланс Пр'!$F$27:$F$233,$F288)+_xlfn.SUMIFS('Баланс Пр'!AL$27:AL$233,'Баланс Пр'!$AB$27:$AB$233,"3.2",'Баланс Пр'!$F$27:$F$233,$F288)</f>
        <v>1370</v>
      </c>
      <c r="AV288" s="976">
        <v>1024</v>
      </c>
      <c r="AW288" s="859">
        <f>AU288-AV288</f>
        <v>346</v>
      </c>
      <c r="AX288" s="857">
        <f>_xlfn.SUMIFS('Баланс Пр'!AM$27:AM$233,'Баланс Пр'!$AB$27:$AB$233,"3.1",'Баланс Пр'!$F$27:$F$233,$F288)+_xlfn.SUMIFS('Баланс Пр'!AM$27:AM$233,'Баланс Пр'!$AB$27:$AB$233,"3.2",'Баланс Пр'!$F$27:$F$233,$F288)</f>
        <v>1370</v>
      </c>
      <c r="AY288" s="976">
        <v>1024</v>
      </c>
      <c r="AZ288" s="859">
        <f>AX288-AY288</f>
        <v>346</v>
      </c>
      <c r="BA288" s="857">
        <f>_xlfn.SUMIFS('Баланс Пр'!AN$27:AN$233,'Баланс Пр'!$AB$27:$AB$233,"3.1",'Баланс Пр'!$F$27:$F$233,$F288)+_xlfn.SUMIFS('Баланс Пр'!AN$27:AN$233,'Баланс Пр'!$AB$27:$AB$233,"3.2",'Баланс Пр'!$F$27:$F$233,$F288)</f>
        <v>1370</v>
      </c>
      <c r="BB288" s="1766"/>
      <c r="BC288" s="859">
        <f>BA288-BB288</f>
        <v>1370</v>
      </c>
      <c r="BD288" s="857">
        <f>_xlfn.SUMIFS('Баланс Пр'!AO$27:AO$233,'Баланс Пр'!$AB$27:$AB$233,"3.1",'Баланс Пр'!$F$27:$F$233,$F288)+_xlfn.SUMIFS('Баланс Пр'!AO$27:AO$233,'Баланс Пр'!$AB$27:$AB$233,"3.2",'Баланс Пр'!$F$27:$F$233,$F288)</f>
        <v>1370</v>
      </c>
      <c r="BE288" s="1766"/>
      <c r="BF288" s="859">
        <f>BD288-BE288</f>
        <v>1370</v>
      </c>
      <c r="BG288" s="857">
        <f>_xlfn.SUMIFS('Баланс Пр'!AP$27:AP$233,'Баланс Пр'!$AB$27:$AB$233,"3.1",'Баланс Пр'!$F$27:$F$233,$F288)+_xlfn.SUMIFS('Баланс Пр'!AP$27:AP$233,'Баланс Пр'!$AB$27:$AB$233,"3.2",'Баланс Пр'!$F$27:$F$233,$F288)</f>
        <v>1370</v>
      </c>
      <c r="BH288" s="1766"/>
      <c r="BI288" s="859">
        <f>BG288-BH288</f>
        <v>1370</v>
      </c>
      <c r="BJ288" s="857">
        <f>_xlfn.SUMIFS('Баланс Пр'!AQ$27:AQ$233,'Баланс Пр'!$AB$27:$AB$233,"3.1",'Баланс Пр'!$F$27:$F$233,$F288)+_xlfn.SUMIFS('Баланс Пр'!AQ$27:AQ$233,'Баланс Пр'!$AB$27:$AB$233,"3.2",'Баланс Пр'!$F$27:$F$233,$F288)</f>
        <v>1370</v>
      </c>
      <c r="BK288" s="1766"/>
      <c r="BL288" s="859">
        <f>BJ288-BK288</f>
        <v>1370</v>
      </c>
      <c r="BM288" s="857">
        <f>_xlfn.SUMIFS('Баланс Пр'!AR$27:AR$233,'Баланс Пр'!$AB$27:$AB$233,"3.1",'Баланс Пр'!$F$27:$F$233,$F288)+_xlfn.SUMIFS('Баланс Пр'!AR$27:AR$233,'Баланс Пр'!$AB$27:$AB$233,"3.2",'Баланс Пр'!$F$27:$F$233,$F288)</f>
        <v>1370</v>
      </c>
      <c r="BN288" s="1766"/>
      <c r="BO288" s="859">
        <f>BM288-BN288</f>
        <v>1370</v>
      </c>
      <c r="BP288" s="857">
        <f>_xlfn.SUMIFS('Баланс Пр'!AS$27:AS$233,'Баланс Пр'!$AB$27:$AB$233,"3.1",'Баланс Пр'!$F$27:$F$233,$F288)+_xlfn.SUMIFS('Баланс Пр'!AS$27:AS$233,'Баланс Пр'!$AB$27:$AB$233,"3.2",'Баланс Пр'!$F$27:$F$233,$F288)</f>
        <v>1370</v>
      </c>
      <c r="BQ288" s="976">
        <v>1024</v>
      </c>
      <c r="BR288" s="859">
        <f>BP288-BQ288</f>
        <v>346</v>
      </c>
      <c r="BS288" s="857">
        <f>_xlfn.SUMIFS('Баланс Пр'!AT$27:AT$233,'Баланс Пр'!$AB$27:$AB$233,"3.1",'Баланс Пр'!$F$27:$F$233,$F288)+_xlfn.SUMIFS('Баланс Пр'!AT$27:AT$233,'Баланс Пр'!$AB$27:$AB$233,"3.2",'Баланс Пр'!$F$27:$F$233,$F288)</f>
        <v>1370</v>
      </c>
      <c r="BT288" s="976">
        <v>1024</v>
      </c>
      <c r="BU288" s="859">
        <f>BS288-BT288</f>
        <v>346</v>
      </c>
      <c r="BV288" s="857">
        <f>_xlfn.SUMIFS('Баланс Пр'!AU$27:AU$233,'Баланс Пр'!$AB$27:$AB$233,"3.1",'Баланс Пр'!$F$27:$F$233,$F288)+_xlfn.SUMIFS('Баланс Пр'!AU$27:AU$233,'Баланс Пр'!$AB$27:$AB$233,"3.2",'Баланс Пр'!$F$27:$F$233,$F288)</f>
        <v>1370</v>
      </c>
      <c r="BW288" s="976">
        <v>1024</v>
      </c>
      <c r="BX288" s="859">
        <f>BV288-BW288</f>
        <v>346</v>
      </c>
      <c r="BY288" s="857">
        <f>_xlfn.SUMIFS('Баланс Пр'!AV$27:AV$233,'Баланс Пр'!$AB$27:$AB$233,"3.1",'Баланс Пр'!$F$27:$F$233,$F288)+_xlfn.SUMIFS('Баланс Пр'!AV$27:AV$233,'Баланс Пр'!$AB$27:$AB$233,"3.2",'Баланс Пр'!$F$27:$F$233,$F288)</f>
        <v>1370</v>
      </c>
      <c r="BZ288" s="976">
        <v>1024</v>
      </c>
      <c r="CA288" s="859">
        <f>BY288-BZ288</f>
        <v>346</v>
      </c>
      <c r="CB288" s="857">
        <f>_xlfn.SUMIFS('Баланс Пр'!AW$27:AW$233,'Баланс Пр'!$AB$27:$AB$233,"3.1",'Баланс Пр'!$F$27:$F$233,$F288)+_xlfn.SUMIFS('Баланс Пр'!AW$27:AW$233,'Баланс Пр'!$AB$27:$AB$233,"3.2",'Баланс Пр'!$F$27:$F$233,$F288)</f>
        <v>1370</v>
      </c>
      <c r="CC288" s="976">
        <v>1024</v>
      </c>
      <c r="CD288" s="859">
        <f>CB288-CC288</f>
        <v>346</v>
      </c>
      <c r="CE288" s="857">
        <f>_xlfn.SUMIFS('Баланс Пр'!AX$27:AX$233,'Баланс Пр'!$AB$27:$AB$233,"3.1",'Баланс Пр'!$F$27:$F$233,$F288)+_xlfn.SUMIFS('Баланс Пр'!AX$27:AX$233,'Баланс Пр'!$AB$27:$AB$233,"3.2",'Баланс Пр'!$F$27:$F$233,$F288)</f>
        <v>0</v>
      </c>
      <c r="CF288" s="1766"/>
      <c r="CG288" s="859">
        <f>CE288-CF288</f>
        <v>0</v>
      </c>
      <c r="CH288" s="857">
        <f>_xlfn.SUMIFS('Баланс Пр'!AY$27:AY$233,'Баланс Пр'!$AB$27:$AB$233,"3.1",'Баланс Пр'!$F$27:$F$233,$F288)+_xlfn.SUMIFS('Баланс Пр'!AY$27:AY$233,'Баланс Пр'!$AB$27:$AB$233,"3.2",'Баланс Пр'!$F$27:$F$233,$F288)</f>
        <v>0</v>
      </c>
      <c r="CI288" s="1766"/>
      <c r="CJ288" s="859">
        <f>CH288-CI288</f>
        <v>0</v>
      </c>
      <c r="CK288" s="857">
        <f>_xlfn.SUMIFS('Баланс Пр'!AZ$27:AZ$233,'Баланс Пр'!$AB$27:$AB$233,"3.1",'Баланс Пр'!$F$27:$F$233,$F288)+_xlfn.SUMIFS('Баланс Пр'!AZ$27:AZ$233,'Баланс Пр'!$AB$27:$AB$233,"3.2",'Баланс Пр'!$F$27:$F$233,$F288)</f>
        <v>0</v>
      </c>
      <c r="CL288" s="1766"/>
      <c r="CM288" s="859">
        <f>CK288-CL288</f>
        <v>0</v>
      </c>
      <c r="CN288" s="857">
        <f>_xlfn.SUMIFS('Баланс Пр'!BA$27:BA$233,'Баланс Пр'!$AB$27:$AB$233,"3.1",'Баланс Пр'!$F$27:$F$233,$F288)+_xlfn.SUMIFS('Баланс Пр'!BA$27:BA$233,'Баланс Пр'!$AB$27:$AB$233,"3.2",'Баланс Пр'!$F$27:$F$233,$F288)</f>
        <v>0</v>
      </c>
      <c r="CO288" s="1766"/>
      <c r="CP288" s="859">
        <f>CN288-CO288</f>
        <v>0</v>
      </c>
      <c r="CQ288" s="857">
        <f>_xlfn.SUMIFS('Баланс Пр'!BB$27:BB$233,'Баланс Пр'!$AB$27:$AB$233,"3.1",'Баланс Пр'!$F$27:$F$233,$F288)+_xlfn.SUMIFS('Баланс Пр'!BB$27:BB$233,'Баланс Пр'!$AB$27:$AB$233,"3.2",'Баланс Пр'!$F$27:$F$233,$F288)</f>
        <v>0</v>
      </c>
      <c r="CR288" s="1766"/>
      <c r="CS288" s="859">
        <f>CQ288-CR288</f>
        <v>0</v>
      </c>
      <c r="CT288" s="1730"/>
      <c r="CU288" s="1619"/>
      <c r="CV288" s="1619"/>
      <c r="CW288" s="1170" t="s">
        <v>756</v>
      </c>
      <c r="CX288" s="1175"/>
      <c r="CY288" s="1175"/>
      <c r="CZ288" s="1175"/>
      <c r="DA288" s="1176"/>
      <c r="DB288" s="1176"/>
    </row>
    <row s="1619" customFormat="1" customHeight="1" ht="16.5">
      <c r="A289" s="1440"/>
      <c r="B289" s="924"/>
      <c r="C289" s="1440"/>
      <c r="D289" s="1440"/>
      <c r="E289" s="794">
        <v>17.1</v>
      </c>
      <c r="F289" s="919" cm="1" t="str">
        <f t="array" ref="F289:F289">OFFSET(G289,-1,-1)</f>
        <v>2</v>
      </c>
      <c r="G289" s="962"/>
      <c r="H289" s="962"/>
      <c r="I289" s="962"/>
      <c r="J289" s="962"/>
      <c r="K289" s="962"/>
      <c r="L289" s="919" cm="1" t="str">
        <f t="array" ref="L289:L289">OFFSET(M289,-1,-1)</f>
        <v>false</v>
      </c>
      <c r="M289" s="962"/>
      <c r="N289" s="962"/>
      <c r="O289" s="962"/>
      <c r="P289" s="962"/>
      <c r="Q289" s="962"/>
      <c r="R289" s="1440"/>
      <c r="S289" s="156" cm="1" t="str">
        <f t="array" ref="S289:S289">OFFSET(T289,-1,-1)</f>
        <v>true</v>
      </c>
      <c r="T289" s="1440"/>
      <c r="U289" s="816">
        <f>AND(S289,IF(ISBLANK(T289),TRUE,T289))</f>
        <v>1</v>
      </c>
      <c r="V289" s="1440"/>
      <c r="W289" s="1440"/>
      <c r="X289" s="1440"/>
      <c r="Y289" s="1440"/>
      <c r="Z289" s="1440"/>
      <c r="AA289" s="817"/>
      <c r="AB289" s="1520"/>
      <c r="AC289" s="1619"/>
      <c r="AD289" s="157">
        <v>8</v>
      </c>
      <c r="AE289" s="1510" t="s">
        <v>757</v>
      </c>
      <c r="AF289" s="164"/>
      <c r="AG289" s="869" t="s">
        <v>591</v>
      </c>
      <c r="AH289" s="857">
        <f>_xlfn.SUMIFS('Баланс Пр'!AE$27:AE$233,'Баланс Пр'!$AB$27:$AB$233,"5",'Баланс Пр'!$F$27:$F$233,$F288)</f>
        <v>0</v>
      </c>
      <c r="AI289" s="857">
        <f>_xlfn.SUMIFS('Баланс Пр'!AF$27:AF$233,'Баланс Пр'!$AB$27:$AB$233,"5",'Баланс Пр'!$F$27:$F$233,$F288)</f>
        <v>0</v>
      </c>
      <c r="AJ289" s="857">
        <f>_xlfn.SUMIFS('Баланс Пр'!AG$27:AG$233,'Баланс Пр'!$AB$27:$AB$233,"5",'Баланс Пр'!$F$27:$F$233,$F288)</f>
        <v>0</v>
      </c>
      <c r="AK289" s="857">
        <f>_xlfn.SUMIFS('Баланс Пр'!AH$27:AH$233,'Баланс Пр'!$AB$27:$AB$233,"5",'Баланс Пр'!$F$27:$F$233,$F288)</f>
        <v>0</v>
      </c>
      <c r="AL289" s="857">
        <f>_xlfn.SUMIFS('Баланс Пр'!AI$27:AI$233,'Баланс Пр'!$AB$27:$AB$233,"5",'Баланс Пр'!$F$27:$F$233,$F288)</f>
        <v>0</v>
      </c>
      <c r="AM289" s="1766">
        <v>14</v>
      </c>
      <c r="AN289" s="859">
        <f>AL289-AM289</f>
        <v>-14</v>
      </c>
      <c r="AO289" s="857">
        <f>_xlfn.SUMIFS('Баланс Пр'!AJ$27:AJ$233,'Баланс Пр'!$AB$27:$AB$233,"5",'Баланс Пр'!$F$27:$F$233,$F288)</f>
        <v>0</v>
      </c>
      <c r="AP289" s="976">
        <v>14</v>
      </c>
      <c r="AQ289" s="859">
        <f>AO289-AP289</f>
        <v>-14</v>
      </c>
      <c r="AR289" s="857">
        <f>_xlfn.SUMIFS('Баланс Пр'!AK$27:AK$233,'Баланс Пр'!$AB$27:$AB$233,"5",'Баланс Пр'!$F$27:$F$233,$F288)</f>
        <v>0</v>
      </c>
      <c r="AS289" s="976">
        <v>14</v>
      </c>
      <c r="AT289" s="859">
        <f>AR289-AS289</f>
        <v>-14</v>
      </c>
      <c r="AU289" s="857">
        <f>_xlfn.SUMIFS('Баланс Пр'!AL$27:AL$233,'Баланс Пр'!$AB$27:$AB$233,"5",'Баланс Пр'!$F$27:$F$233,$F288)</f>
        <v>0</v>
      </c>
      <c r="AV289" s="976">
        <v>14</v>
      </c>
      <c r="AW289" s="859">
        <f>AU289-AV289</f>
        <v>-14</v>
      </c>
      <c r="AX289" s="857">
        <f>_xlfn.SUMIFS('Баланс Пр'!AM$27:AM$233,'Баланс Пр'!$AB$27:$AB$233,"5",'Баланс Пр'!$F$27:$F$233,$F288)</f>
        <v>0</v>
      </c>
      <c r="AY289" s="976">
        <v>14</v>
      </c>
      <c r="AZ289" s="859">
        <f>AX289-AY289</f>
        <v>-14</v>
      </c>
      <c r="BA289" s="857">
        <f>_xlfn.SUMIFS('Баланс Пр'!AN$27:AN$233,'Баланс Пр'!$AB$27:$AB$233,"5",'Баланс Пр'!$F$27:$F$233,$F288)</f>
        <v>0</v>
      </c>
      <c r="BB289" s="1766"/>
      <c r="BC289" s="859">
        <f>BA289-BB289</f>
        <v>0</v>
      </c>
      <c r="BD289" s="857">
        <f>_xlfn.SUMIFS('Баланс Пр'!AO$27:AO$233,'Баланс Пр'!$AB$27:$AB$233,"5",'Баланс Пр'!$F$27:$F$233,$F288)</f>
        <v>0</v>
      </c>
      <c r="BE289" s="1766"/>
      <c r="BF289" s="859">
        <f>BD289-BE289</f>
        <v>0</v>
      </c>
      <c r="BG289" s="857">
        <f>_xlfn.SUMIFS('Баланс Пр'!AP$27:AP$233,'Баланс Пр'!$AB$27:$AB$233,"5",'Баланс Пр'!$F$27:$F$233,$F288)</f>
        <v>0</v>
      </c>
      <c r="BH289" s="1766"/>
      <c r="BI289" s="859">
        <f>BG289-BH289</f>
        <v>0</v>
      </c>
      <c r="BJ289" s="857">
        <f>_xlfn.SUMIFS('Баланс Пр'!AQ$27:AQ$233,'Баланс Пр'!$AB$27:$AB$233,"5",'Баланс Пр'!$F$27:$F$233,$F288)</f>
        <v>0</v>
      </c>
      <c r="BK289" s="1766"/>
      <c r="BL289" s="859">
        <f>BJ289-BK289</f>
        <v>0</v>
      </c>
      <c r="BM289" s="857">
        <f>_xlfn.SUMIFS('Баланс Пр'!AR$27:AR$233,'Баланс Пр'!$AB$27:$AB$233,"5",'Баланс Пр'!$F$27:$F$233,$F288)</f>
        <v>0</v>
      </c>
      <c r="BN289" s="1766"/>
      <c r="BO289" s="859">
        <f>BM289-BN289</f>
        <v>0</v>
      </c>
      <c r="BP289" s="857">
        <f>_xlfn.SUMIFS('Баланс Пр'!AS$27:AS$233,'Баланс Пр'!$AB$27:$AB$233,"5",'Баланс Пр'!$F$27:$F$233,$F288)</f>
        <v>0</v>
      </c>
      <c r="BQ289" s="976">
        <v>14</v>
      </c>
      <c r="BR289" s="859">
        <f>BP289-BQ289</f>
        <v>-14</v>
      </c>
      <c r="BS289" s="857">
        <f>_xlfn.SUMIFS('Баланс Пр'!AT$27:AT$233,'Баланс Пр'!$AB$27:$AB$233,"5",'Баланс Пр'!$F$27:$F$233,$F288)</f>
        <v>0</v>
      </c>
      <c r="BT289" s="976">
        <v>14</v>
      </c>
      <c r="BU289" s="859">
        <f>BS289-BT289</f>
        <v>-14</v>
      </c>
      <c r="BV289" s="857">
        <f>_xlfn.SUMIFS('Баланс Пр'!AU$27:AU$233,'Баланс Пр'!$AB$27:$AB$233,"5",'Баланс Пр'!$F$27:$F$233,$F288)</f>
        <v>0</v>
      </c>
      <c r="BW289" s="976">
        <v>14</v>
      </c>
      <c r="BX289" s="859">
        <f>BV289-BW289</f>
        <v>-14</v>
      </c>
      <c r="BY289" s="857">
        <f>_xlfn.SUMIFS('Баланс Пр'!AV$27:AV$233,'Баланс Пр'!$AB$27:$AB$233,"5",'Баланс Пр'!$F$27:$F$233,$F288)</f>
        <v>0</v>
      </c>
      <c r="BZ289" s="976">
        <v>14</v>
      </c>
      <c r="CA289" s="859">
        <f>BY289-BZ289</f>
        <v>-14</v>
      </c>
      <c r="CB289" s="857">
        <f>_xlfn.SUMIFS('Баланс Пр'!AW$27:AW$233,'Баланс Пр'!$AB$27:$AB$233,"5",'Баланс Пр'!$F$27:$F$233,$F288)</f>
        <v>0</v>
      </c>
      <c r="CC289" s="976">
        <v>14</v>
      </c>
      <c r="CD289" s="859">
        <f>CB289-CC289</f>
        <v>-14</v>
      </c>
      <c r="CE289" s="857">
        <f>_xlfn.SUMIFS('Баланс Пр'!AX$27:AX$233,'Баланс Пр'!$AB$27:$AB$233,"5",'Баланс Пр'!$F$27:$F$233,$F288)</f>
        <v>0</v>
      </c>
      <c r="CF289" s="1766"/>
      <c r="CG289" s="859">
        <f>CE289-CF289</f>
        <v>0</v>
      </c>
      <c r="CH289" s="857">
        <f>_xlfn.SUMIFS('Баланс Пр'!AY$27:AY$233,'Баланс Пр'!$AB$27:$AB$233,"5",'Баланс Пр'!$F$27:$F$233,$F288)</f>
        <v>0</v>
      </c>
      <c r="CI289" s="1766"/>
      <c r="CJ289" s="859">
        <f>CH289-CI289</f>
        <v>0</v>
      </c>
      <c r="CK289" s="857">
        <f>_xlfn.SUMIFS('Баланс Пр'!AZ$27:AZ$233,'Баланс Пр'!$AB$27:$AB$233,"5",'Баланс Пр'!$F$27:$F$233,$F288)</f>
        <v>0</v>
      </c>
      <c r="CL289" s="1766"/>
      <c r="CM289" s="859">
        <f>CK289-CL289</f>
        <v>0</v>
      </c>
      <c r="CN289" s="857">
        <f>_xlfn.SUMIFS('Баланс Пр'!BA$27:BA$233,'Баланс Пр'!$AB$27:$AB$233,"5",'Баланс Пр'!$F$27:$F$233,$F288)</f>
        <v>0</v>
      </c>
      <c r="CO289" s="1766"/>
      <c r="CP289" s="859">
        <f>CN289-CO289</f>
        <v>0</v>
      </c>
      <c r="CQ289" s="857">
        <f>_xlfn.SUMIFS('Баланс Пр'!BB$27:BB$233,'Баланс Пр'!$AB$27:$AB$233,"5",'Баланс Пр'!$F$27:$F$233,$F288)</f>
        <v>0</v>
      </c>
      <c r="CR289" s="1766"/>
      <c r="CS289" s="859">
        <f>CQ289-CR289</f>
        <v>0</v>
      </c>
      <c r="CT289" s="1730"/>
      <c r="CU289" s="1619"/>
      <c r="CV289" s="1619"/>
      <c r="CW289" s="1170" t="s">
        <v>758</v>
      </c>
      <c r="CX289" s="1175"/>
      <c r="CY289" s="1175"/>
      <c r="CZ289" s="1175"/>
      <c r="DA289" s="1176"/>
      <c r="DB289" s="1176"/>
    </row>
    <row s="1619" customFormat="1" customHeight="1" ht="16.5">
      <c r="A290" s="1440"/>
      <c r="B290" s="924"/>
      <c r="C290" s="1440"/>
      <c r="D290" s="1440"/>
      <c r="E290" s="794">
        <v>17.1</v>
      </c>
      <c r="F290" s="919" cm="1" t="str">
        <f t="array" ref="F290:F290">OFFSET(G290,-1,-1)</f>
        <v>2</v>
      </c>
      <c r="G290" s="962"/>
      <c r="H290" s="962"/>
      <c r="I290" s="962"/>
      <c r="J290" s="962"/>
      <c r="K290" s="962"/>
      <c r="L290" s="919" cm="1" t="str">
        <f t="array" ref="L290:L290">OFFSET(M290,-1,-1)</f>
        <v>false</v>
      </c>
      <c r="M290" s="962"/>
      <c r="N290" s="962"/>
      <c r="O290" s="962"/>
      <c r="P290" s="962"/>
      <c r="Q290" s="962"/>
      <c r="R290" s="1440"/>
      <c r="S290" s="156" cm="1" t="str">
        <f t="array" ref="S290:S290">OFFSET(T290,-1,-1)</f>
        <v>true</v>
      </c>
      <c r="T290" s="1440"/>
      <c r="U290" s="816">
        <f>AND(S290,IF(ISBLANK(T290),TRUE,T290))</f>
        <v>1</v>
      </c>
      <c r="V290" s="1440"/>
      <c r="W290" s="1440"/>
      <c r="X290" s="1440"/>
      <c r="Y290" s="1440"/>
      <c r="Z290" s="1440"/>
      <c r="AA290" s="817"/>
      <c r="AB290" s="1520"/>
      <c r="AC290" s="1619"/>
      <c r="AD290" s="157" t="s">
        <v>759</v>
      </c>
      <c r="AE290" s="1516" t="s">
        <v>760</v>
      </c>
      <c r="AF290" s="1517"/>
      <c r="AG290" s="648" t="s">
        <v>490</v>
      </c>
      <c r="AH290" s="863">
        <f>_xlfn.IFERROR(AH289/AH288,0)</f>
        <v>0</v>
      </c>
      <c r="AI290" s="864">
        <f>_xlfn.IFERROR(AI289/AI288,0)</f>
        <v>0</v>
      </c>
      <c r="AJ290" s="864">
        <f>_xlfn.IFERROR(AJ289/AJ288,0)</f>
        <v>0</v>
      </c>
      <c r="AK290" s="864">
        <f>_xlfn.IFERROR(AK289/AK288,0)</f>
        <v>0</v>
      </c>
      <c r="AL290" s="864">
        <f>_xlfn.IFERROR(AL289/AL288,0)</f>
        <v>0</v>
      </c>
      <c r="AM290" s="864">
        <f>_xlfn.IFERROR(AM289/AM288,0)</f>
        <v>0.013671875</v>
      </c>
      <c r="AN290" s="864">
        <f>_xlfn.IFERROR(AN289/AN288,0)</f>
        <v>-0.0404624277456647</v>
      </c>
      <c r="AO290" s="864">
        <f>_xlfn.IFERROR(AO289/AO288,0)</f>
        <v>0</v>
      </c>
      <c r="AP290" s="864">
        <f>_xlfn.IFERROR(AP289/AP288,0)</f>
        <v>0.013671875</v>
      </c>
      <c r="AQ290" s="864">
        <f>_xlfn.IFERROR(AQ289/AQ288,0)</f>
        <v>-0.0404624277456647</v>
      </c>
      <c r="AR290" s="864">
        <f>_xlfn.IFERROR(AR289/AR288,0)</f>
        <v>0</v>
      </c>
      <c r="AS290" s="864">
        <f>_xlfn.IFERROR(AS289/AS288,0)</f>
        <v>0.013671875</v>
      </c>
      <c r="AT290" s="864">
        <f>_xlfn.IFERROR(AT289/AT288,0)</f>
        <v>-0.0404624277456647</v>
      </c>
      <c r="AU290" s="864">
        <f>_xlfn.IFERROR(AU289/AU288,0)</f>
        <v>0</v>
      </c>
      <c r="AV290" s="864">
        <f>_xlfn.IFERROR(AV289/AV288,0)</f>
        <v>0.013671875</v>
      </c>
      <c r="AW290" s="864">
        <f>_xlfn.IFERROR(AW289/AW288,0)</f>
        <v>-0.0404624277456647</v>
      </c>
      <c r="AX290" s="864">
        <f>_xlfn.IFERROR(AX289/AX288,0)</f>
        <v>0</v>
      </c>
      <c r="AY290" s="864">
        <f>_xlfn.IFERROR(AY289/AY288,0)</f>
        <v>0.013671875</v>
      </c>
      <c r="AZ290" s="864">
        <f>_xlfn.IFERROR(AZ289/AZ288,0)</f>
        <v>-0.0404624277456647</v>
      </c>
      <c r="BA290" s="864">
        <f>_xlfn.IFERROR(BA289/BA288,0)</f>
        <v>0</v>
      </c>
      <c r="BB290" s="864">
        <f>_xlfn.IFERROR(BB289/BB288,0)</f>
        <v>0</v>
      </c>
      <c r="BC290" s="864">
        <f>_xlfn.IFERROR(BC289/BC288,0)</f>
        <v>0</v>
      </c>
      <c r="BD290" s="864">
        <f>_xlfn.IFERROR(BD289/BD288,0)</f>
        <v>0</v>
      </c>
      <c r="BE290" s="864">
        <f>_xlfn.IFERROR(BE289/BE288,0)</f>
        <v>0</v>
      </c>
      <c r="BF290" s="864">
        <f>_xlfn.IFERROR(BF289/BF288,0)</f>
        <v>0</v>
      </c>
      <c r="BG290" s="864">
        <f>_xlfn.IFERROR(BG289/BG288,0)</f>
        <v>0</v>
      </c>
      <c r="BH290" s="864">
        <f>_xlfn.IFERROR(BH289/BH288,0)</f>
        <v>0</v>
      </c>
      <c r="BI290" s="864">
        <f>_xlfn.IFERROR(BI289/BI288,0)</f>
        <v>0</v>
      </c>
      <c r="BJ290" s="864">
        <f>_xlfn.IFERROR(BJ289/BJ288,0)</f>
        <v>0</v>
      </c>
      <c r="BK290" s="864">
        <f>_xlfn.IFERROR(BK289/BK288,0)</f>
        <v>0</v>
      </c>
      <c r="BL290" s="864">
        <f>_xlfn.IFERROR(BL289/BL288,0)</f>
        <v>0</v>
      </c>
      <c r="BM290" s="864">
        <f>_xlfn.IFERROR(BM289/BM288,0)</f>
        <v>0</v>
      </c>
      <c r="BN290" s="864">
        <f>_xlfn.IFERROR(BN289/BN288,0)</f>
        <v>0</v>
      </c>
      <c r="BO290" s="864">
        <f>_xlfn.IFERROR(BO289/BO288,0)</f>
        <v>0</v>
      </c>
      <c r="BP290" s="864">
        <f>_xlfn.IFERROR(BP289/BP288,0)</f>
        <v>0</v>
      </c>
      <c r="BQ290" s="864">
        <f>_xlfn.IFERROR(BQ289/BQ288,0)</f>
        <v>0.013671875</v>
      </c>
      <c r="BR290" s="864">
        <f>_xlfn.IFERROR(BR289/BR288,0)</f>
        <v>-0.0404624277456647</v>
      </c>
      <c r="BS290" s="864">
        <f>_xlfn.IFERROR(BS289/BS288,0)</f>
        <v>0</v>
      </c>
      <c r="BT290" s="864">
        <f>_xlfn.IFERROR(BT289/BT288,0)</f>
        <v>0.013671875</v>
      </c>
      <c r="BU290" s="864">
        <f>_xlfn.IFERROR(BU289/BU288,0)</f>
        <v>-0.0404624277456647</v>
      </c>
      <c r="BV290" s="864">
        <f>_xlfn.IFERROR(BV289/BV288,0)</f>
        <v>0</v>
      </c>
      <c r="BW290" s="864">
        <f>_xlfn.IFERROR(BW289/BW288,0)</f>
        <v>0.013671875</v>
      </c>
      <c r="BX290" s="864">
        <f>_xlfn.IFERROR(BX289/BX288,0)</f>
        <v>-0.0404624277456647</v>
      </c>
      <c r="BY290" s="864">
        <f>_xlfn.IFERROR(BY289/BY288,0)</f>
        <v>0</v>
      </c>
      <c r="BZ290" s="864">
        <f>_xlfn.IFERROR(BZ289/BZ288,0)</f>
        <v>0.013671875</v>
      </c>
      <c r="CA290" s="864">
        <f>_xlfn.IFERROR(CA289/CA288,0)</f>
        <v>-0.0404624277456647</v>
      </c>
      <c r="CB290" s="864">
        <f>_xlfn.IFERROR(CB289/CB288,0)</f>
        <v>0</v>
      </c>
      <c r="CC290" s="864">
        <f>_xlfn.IFERROR(CC289/CC288,0)</f>
        <v>0.013671875</v>
      </c>
      <c r="CD290" s="864">
        <f>_xlfn.IFERROR(CD289/CD288,0)</f>
        <v>-0.0404624277456647</v>
      </c>
      <c r="CE290" s="864">
        <f>_xlfn.IFERROR(CE289/CE288,0)</f>
        <v>0</v>
      </c>
      <c r="CF290" s="864">
        <f>_xlfn.IFERROR(CF289/CF288,0)</f>
        <v>0</v>
      </c>
      <c r="CG290" s="864">
        <f>_xlfn.IFERROR(CG289/CG288,0)</f>
        <v>0</v>
      </c>
      <c r="CH290" s="864">
        <f>_xlfn.IFERROR(CH289/CH288,0)</f>
        <v>0</v>
      </c>
      <c r="CI290" s="864">
        <f>_xlfn.IFERROR(CI289/CI288,0)</f>
        <v>0</v>
      </c>
      <c r="CJ290" s="864">
        <f>_xlfn.IFERROR(CJ289/CJ288,0)</f>
        <v>0</v>
      </c>
      <c r="CK290" s="864">
        <f>_xlfn.IFERROR(CK289/CK288,0)</f>
        <v>0</v>
      </c>
      <c r="CL290" s="864">
        <f>_xlfn.IFERROR(CL289/CL288,0)</f>
        <v>0</v>
      </c>
      <c r="CM290" s="864">
        <f>_xlfn.IFERROR(CM289/CM288,0)</f>
        <v>0</v>
      </c>
      <c r="CN290" s="864">
        <f>_xlfn.IFERROR(CN289/CN288,0)</f>
        <v>0</v>
      </c>
      <c r="CO290" s="864">
        <f>_xlfn.IFERROR(CO289/CO288,0)</f>
        <v>0</v>
      </c>
      <c r="CP290" s="864">
        <f>_xlfn.IFERROR(CP289/CP288,0)</f>
        <v>0</v>
      </c>
      <c r="CQ290" s="864">
        <f>_xlfn.IFERROR(CQ289/CQ288,0)</f>
        <v>0</v>
      </c>
      <c r="CR290" s="864">
        <f>_xlfn.IFERROR(CR289/CR288,0)</f>
        <v>0</v>
      </c>
      <c r="CS290" s="864">
        <f>_xlfn.IFERROR(CS289/CS288,0)</f>
        <v>0</v>
      </c>
      <c r="CT290" s="1730"/>
      <c r="CU290" s="1619"/>
      <c r="CV290" s="1619"/>
      <c r="CW290" s="1170" t="s">
        <v>761</v>
      </c>
      <c r="CX290" s="1175"/>
      <c r="CY290" s="1175"/>
      <c r="CZ290" s="1175"/>
      <c r="DA290" s="1176"/>
      <c r="DB290" s="1176"/>
    </row>
    <row s="1619" customFormat="1" customHeight="1" ht="29.25">
      <c r="A291" s="1440"/>
      <c r="B291" s="924"/>
      <c r="C291" s="1440"/>
      <c r="D291" s="1440"/>
      <c r="E291" s="794">
        <v>30</v>
      </c>
      <c r="F291" s="919" cm="1" t="str">
        <f t="array" ref="F291:F291">OFFSET(G291,-1,-1)</f>
        <v>2</v>
      </c>
      <c r="G291" s="962"/>
      <c r="H291" s="962"/>
      <c r="I291" s="962"/>
      <c r="J291" s="962"/>
      <c r="K291" s="962"/>
      <c r="L291" s="919" cm="1" t="str">
        <f t="array" ref="L291:L291">OFFSET(M291,-1,-1)</f>
        <v>false</v>
      </c>
      <c r="M291" s="962"/>
      <c r="N291" s="962"/>
      <c r="O291" s="962"/>
      <c r="P291" s="962"/>
      <c r="Q291" s="962"/>
      <c r="R291" s="1440"/>
      <c r="S291" s="156" cm="1" t="str">
        <f t="array" ref="S291:S291">OFFSET(T291,-1,-1)</f>
        <v>true</v>
      </c>
      <c r="T291" s="1440"/>
      <c r="U291" s="816">
        <f>AND(S291,IF(ISBLANK(T291),TRUE,T291))</f>
        <v>1</v>
      </c>
      <c r="V291" s="1440"/>
      <c r="W291" s="1440"/>
      <c r="X291" s="1440"/>
      <c r="Y291" s="1440"/>
      <c r="Z291" s="1440"/>
      <c r="AA291" s="817"/>
      <c r="AB291" s="1520"/>
      <c r="AC291" s="1619"/>
      <c r="AD291" s="157">
        <v>9</v>
      </c>
      <c r="AE291" s="1495" t="s">
        <v>762</v>
      </c>
      <c r="AF291" s="165"/>
      <c r="AG291" s="869" t="s">
        <v>591</v>
      </c>
      <c r="AH291" s="857">
        <f>AH288-AH289</f>
        <v>0</v>
      </c>
      <c r="AI291" s="859">
        <f>AI288-AI289</f>
        <v>0</v>
      </c>
      <c r="AJ291" s="859">
        <f>AJ288-AJ289</f>
        <v>0</v>
      </c>
      <c r="AK291" s="859">
        <f>AK288-AK289</f>
        <v>0</v>
      </c>
      <c r="AL291" s="859">
        <f>AL288-AL289</f>
        <v>1370</v>
      </c>
      <c r="AM291" s="859">
        <f>AM288-AM289</f>
        <v>1010</v>
      </c>
      <c r="AN291" s="859">
        <f>AN288-AN289</f>
        <v>360</v>
      </c>
      <c r="AO291" s="859">
        <f>AO288-AO289</f>
        <v>1370</v>
      </c>
      <c r="AP291" s="859">
        <f>AP288-AP289</f>
        <v>1010</v>
      </c>
      <c r="AQ291" s="859">
        <f>AQ288-AQ289</f>
        <v>360</v>
      </c>
      <c r="AR291" s="859">
        <f>AR288-AR289</f>
        <v>1370</v>
      </c>
      <c r="AS291" s="859">
        <f>AS288-AS289</f>
        <v>1010</v>
      </c>
      <c r="AT291" s="859">
        <f>AT288-AT289</f>
        <v>360</v>
      </c>
      <c r="AU291" s="859">
        <f>AU288-AU289</f>
        <v>1370</v>
      </c>
      <c r="AV291" s="859">
        <f>AV288-AV289</f>
        <v>1010</v>
      </c>
      <c r="AW291" s="859">
        <f>AW288-AW289</f>
        <v>360</v>
      </c>
      <c r="AX291" s="859">
        <f>AX288-AX289</f>
        <v>1370</v>
      </c>
      <c r="AY291" s="859">
        <f>AY288-AY289</f>
        <v>1010</v>
      </c>
      <c r="AZ291" s="859">
        <f>AZ288-AZ289</f>
        <v>360</v>
      </c>
      <c r="BA291" s="859">
        <f>BA288-BA289</f>
        <v>1370</v>
      </c>
      <c r="BB291" s="859">
        <f>BB288-BB289</f>
        <v>0</v>
      </c>
      <c r="BC291" s="859">
        <f>BC288-BC289</f>
        <v>1370</v>
      </c>
      <c r="BD291" s="859">
        <f>BD288-BD289</f>
        <v>1370</v>
      </c>
      <c r="BE291" s="859">
        <f>BE288-BE289</f>
        <v>0</v>
      </c>
      <c r="BF291" s="859">
        <f>BF288-BF289</f>
        <v>1370</v>
      </c>
      <c r="BG291" s="859">
        <f>BG288-BG289</f>
        <v>1370</v>
      </c>
      <c r="BH291" s="859">
        <f>BH288-BH289</f>
        <v>0</v>
      </c>
      <c r="BI291" s="859">
        <f>BI288-BI289</f>
        <v>1370</v>
      </c>
      <c r="BJ291" s="859">
        <f>BJ288-BJ289</f>
        <v>1370</v>
      </c>
      <c r="BK291" s="859">
        <f>BK288-BK289</f>
        <v>0</v>
      </c>
      <c r="BL291" s="859">
        <f>BL288-BL289</f>
        <v>1370</v>
      </c>
      <c r="BM291" s="859">
        <f>BM288-BM289</f>
        <v>1370</v>
      </c>
      <c r="BN291" s="859">
        <f>BN288-BN289</f>
        <v>0</v>
      </c>
      <c r="BO291" s="859">
        <f>BO288-BO289</f>
        <v>1370</v>
      </c>
      <c r="BP291" s="859">
        <f>BP288-BP289</f>
        <v>1370</v>
      </c>
      <c r="BQ291" s="859">
        <f>BQ288-BQ289</f>
        <v>1010</v>
      </c>
      <c r="BR291" s="859">
        <f>BR288-BR289</f>
        <v>360</v>
      </c>
      <c r="BS291" s="859">
        <f>BS288-BS289</f>
        <v>1370</v>
      </c>
      <c r="BT291" s="859">
        <f>BT288-BT289</f>
        <v>1010</v>
      </c>
      <c r="BU291" s="859">
        <f>BU288-BU289</f>
        <v>360</v>
      </c>
      <c r="BV291" s="859">
        <f>BV288-BV289</f>
        <v>1370</v>
      </c>
      <c r="BW291" s="859">
        <f>BW288-BW289</f>
        <v>1010</v>
      </c>
      <c r="BX291" s="859">
        <f>BX288-BX289</f>
        <v>360</v>
      </c>
      <c r="BY291" s="859">
        <f>BY288-BY289</f>
        <v>1370</v>
      </c>
      <c r="BZ291" s="859">
        <f>BZ288-BZ289</f>
        <v>1010</v>
      </c>
      <c r="CA291" s="859">
        <f>CA288-CA289</f>
        <v>360</v>
      </c>
      <c r="CB291" s="859">
        <f>CB288-CB289</f>
        <v>1370</v>
      </c>
      <c r="CC291" s="859">
        <f>CC288-CC289</f>
        <v>1010</v>
      </c>
      <c r="CD291" s="859">
        <f>CD288-CD289</f>
        <v>360</v>
      </c>
      <c r="CE291" s="859">
        <f>CE288-CE289</f>
        <v>0</v>
      </c>
      <c r="CF291" s="859">
        <f>CF288-CF289</f>
        <v>0</v>
      </c>
      <c r="CG291" s="859">
        <f>CG288-CG289</f>
        <v>0</v>
      </c>
      <c r="CH291" s="859">
        <f>CH288-CH289</f>
        <v>0</v>
      </c>
      <c r="CI291" s="859">
        <f>CI288-CI289</f>
        <v>0</v>
      </c>
      <c r="CJ291" s="859">
        <f>CJ288-CJ289</f>
        <v>0</v>
      </c>
      <c r="CK291" s="859">
        <f>CK288-CK289</f>
        <v>0</v>
      </c>
      <c r="CL291" s="859">
        <f>CL288-CL289</f>
        <v>0</v>
      </c>
      <c r="CM291" s="859">
        <f>CM288-CM289</f>
        <v>0</v>
      </c>
      <c r="CN291" s="859">
        <f>CN288-CN289</f>
        <v>0</v>
      </c>
      <c r="CO291" s="859">
        <f>CO288-CO289</f>
        <v>0</v>
      </c>
      <c r="CP291" s="859">
        <f>CP288-CP289</f>
        <v>0</v>
      </c>
      <c r="CQ291" s="859">
        <f>CQ288-CQ289</f>
        <v>0</v>
      </c>
      <c r="CR291" s="859">
        <f>CR288-CR289</f>
        <v>0</v>
      </c>
      <c r="CS291" s="859">
        <f>CS288-CS289</f>
        <v>0</v>
      </c>
      <c r="CT291" s="1730"/>
      <c r="CU291" s="1619"/>
      <c r="CV291" s="1619"/>
      <c r="CW291" s="1170" t="s">
        <v>763</v>
      </c>
      <c r="CX291" s="1175"/>
      <c r="CY291" s="1175"/>
      <c r="CZ291" s="1175"/>
      <c r="DA291" s="1176"/>
      <c r="DB291" s="1176"/>
    </row>
    <row s="1619" customFormat="1" customHeight="1" ht="16.5" hidden="1">
      <c r="A292" s="1440"/>
      <c r="B292" s="924"/>
      <c r="C292" s="1440"/>
      <c r="D292" s="1440"/>
      <c r="E292" s="794">
        <v>17.1</v>
      </c>
      <c r="F292" s="919" cm="1" t="str">
        <f t="array" ref="F292:F292">OFFSET(G292,-1,-1)</f>
        <v>2</v>
      </c>
      <c r="G292" s="962"/>
      <c r="H292" s="962"/>
      <c r="I292" s="962"/>
      <c r="J292" s="962"/>
      <c r="K292" s="962"/>
      <c r="L292" s="919" cm="1" t="str">
        <f t="array" ref="L292:L292">OFFSET(M292,-1,-1)</f>
        <v>false</v>
      </c>
      <c r="M292" s="962"/>
      <c r="N292" s="962"/>
      <c r="O292" s="962"/>
      <c r="P292" s="962"/>
      <c r="Q292" s="962"/>
      <c r="R292" s="919" t="s">
        <v>725</v>
      </c>
      <c r="S292" s="156" cm="1" t="str">
        <f t="array" ref="S292:S292">OFFSET(T292,-1,-1)</f>
        <v>true</v>
      </c>
      <c r="T292" s="156" cm="1" t="str">
        <f t="array" ref="T292:T292">L292</f>
        <v>false</v>
      </c>
      <c r="U292" s="816">
        <f>AND(S292,IF(ISBLANK(T292),TRUE,T292))</f>
        <v>0</v>
      </c>
      <c r="V292" s="1440"/>
      <c r="W292" s="1440"/>
      <c r="X292" s="1440"/>
      <c r="Y292" s="1440"/>
      <c r="Z292" s="1440"/>
      <c r="AA292" s="817"/>
      <c r="AB292" s="1520"/>
      <c r="AC292" s="1619"/>
      <c r="AD292" s="157">
        <v>10</v>
      </c>
      <c r="AE292" s="1495" t="s">
        <v>742</v>
      </c>
      <c r="AF292" s="165"/>
      <c r="AG292" s="648" t="s">
        <v>728</v>
      </c>
      <c r="AH292" s="86"/>
      <c r="AI292" s="87"/>
      <c r="AJ292" s="87"/>
      <c r="AK292" s="87"/>
      <c r="AL292" s="859">
        <f>AM292+AN292</f>
        <v>0</v>
      </c>
      <c r="AM292" s="87"/>
      <c r="AN292" s="87"/>
      <c r="AO292" s="859">
        <f>AP292+AQ292</f>
        <v>0</v>
      </c>
      <c r="AP292" s="976"/>
      <c r="AQ292" s="976"/>
      <c r="AR292" s="859">
        <f>AS292+AT292</f>
        <v>0</v>
      </c>
      <c r="AS292" s="976"/>
      <c r="AT292" s="976"/>
      <c r="AU292" s="859">
        <f>AV292+AW292</f>
        <v>0</v>
      </c>
      <c r="AV292" s="976"/>
      <c r="AW292" s="976"/>
      <c r="AX292" s="859">
        <f>AY292+AZ292</f>
        <v>0</v>
      </c>
      <c r="AY292" s="976"/>
      <c r="AZ292" s="976"/>
      <c r="BA292" s="859">
        <f>BB292+BC292</f>
        <v>0</v>
      </c>
      <c r="BB292" s="87"/>
      <c r="BC292" s="87"/>
      <c r="BD292" s="859">
        <f>BE292+BF292</f>
        <v>0</v>
      </c>
      <c r="BE292" s="87"/>
      <c r="BF292" s="87"/>
      <c r="BG292" s="859">
        <f>BH292+BI292</f>
        <v>0</v>
      </c>
      <c r="BH292" s="87"/>
      <c r="BI292" s="87"/>
      <c r="BJ292" s="859">
        <f>BK292+BL292</f>
        <v>0</v>
      </c>
      <c r="BK292" s="87"/>
      <c r="BL292" s="87"/>
      <c r="BM292" s="859">
        <f>BN292+BO292</f>
        <v>0</v>
      </c>
      <c r="BN292" s="87"/>
      <c r="BO292" s="87"/>
      <c r="BP292" s="859">
        <f>BQ292+BR292</f>
        <v>0</v>
      </c>
      <c r="BQ292" s="976"/>
      <c r="BR292" s="976"/>
      <c r="BS292" s="859">
        <f>BT292+BU292</f>
        <v>0</v>
      </c>
      <c r="BT292" s="976"/>
      <c r="BU292" s="976"/>
      <c r="BV292" s="859">
        <f>BW292+BX292</f>
        <v>0</v>
      </c>
      <c r="BW292" s="976"/>
      <c r="BX292" s="976"/>
      <c r="BY292" s="859">
        <f>BZ292+CA292</f>
        <v>0</v>
      </c>
      <c r="BZ292" s="976"/>
      <c r="CA292" s="976"/>
      <c r="CB292" s="859">
        <f>CC292+CD292</f>
        <v>0</v>
      </c>
      <c r="CC292" s="976"/>
      <c r="CD292" s="976"/>
      <c r="CE292" s="859">
        <f>CF292+CG292</f>
        <v>0</v>
      </c>
      <c r="CF292" s="87"/>
      <c r="CG292" s="87"/>
      <c r="CH292" s="859">
        <f>CI292+CJ292</f>
        <v>0</v>
      </c>
      <c r="CI292" s="87"/>
      <c r="CJ292" s="87"/>
      <c r="CK292" s="859">
        <f>CL292+CM292</f>
        <v>0</v>
      </c>
      <c r="CL292" s="87"/>
      <c r="CM292" s="87"/>
      <c r="CN292" s="859">
        <f>CO292+CP292</f>
        <v>0</v>
      </c>
      <c r="CO292" s="87"/>
      <c r="CP292" s="87"/>
      <c r="CQ292" s="859">
        <f>CR292+CS292</f>
        <v>0</v>
      </c>
      <c r="CR292" s="87"/>
      <c r="CS292" s="87"/>
      <c r="CT292" s="73"/>
      <c r="CU292" s="1619"/>
      <c r="CV292" s="1619"/>
      <c r="CW292" s="1170" t="s">
        <v>764</v>
      </c>
      <c r="CX292" s="1175"/>
      <c r="CY292" s="1175"/>
      <c r="CZ292" s="1175"/>
      <c r="DA292" s="1176"/>
      <c r="DB292" s="1176"/>
    </row>
    <row s="1619" customFormat="1" customHeight="1" ht="29.25" hidden="1">
      <c r="A293" s="1440"/>
      <c r="B293" s="924"/>
      <c r="C293" s="1440"/>
      <c r="D293" s="1440"/>
      <c r="E293" s="794">
        <v>30</v>
      </c>
      <c r="F293" s="919" cm="1" t="str">
        <f t="array" ref="F293:F293">OFFSET(G293,-1,-1)</f>
        <v>2</v>
      </c>
      <c r="G293" s="962"/>
      <c r="H293" s="962"/>
      <c r="I293" s="962"/>
      <c r="J293" s="962"/>
      <c r="K293" s="962"/>
      <c r="L293" s="919" cm="1" t="str">
        <f t="array" ref="L293:L293">OFFSET(M293,-1,-1)</f>
        <v>false</v>
      </c>
      <c r="M293" s="962"/>
      <c r="N293" s="962"/>
      <c r="O293" s="962"/>
      <c r="P293" s="962"/>
      <c r="Q293" s="962"/>
      <c r="R293" s="919" t="s">
        <v>725</v>
      </c>
      <c r="S293" s="156" cm="1" t="str">
        <f t="array" ref="S293:S293">OFFSET(T293,-1,-1)</f>
        <v>true</v>
      </c>
      <c r="T293" s="156" cm="1" t="str">
        <f t="array" ref="T293:T293">L293</f>
        <v>false</v>
      </c>
      <c r="U293" s="816">
        <f>AND(S293,IF(ISBLANK(T293),TRUE,T293))</f>
        <v>0</v>
      </c>
      <c r="V293" s="1440"/>
      <c r="W293" s="1440"/>
      <c r="X293" s="1440"/>
      <c r="Y293" s="1440"/>
      <c r="Z293" s="1440"/>
      <c r="AA293" s="817"/>
      <c r="AB293" s="1520"/>
      <c r="AC293" s="1619"/>
      <c r="AD293" s="157">
        <v>11</v>
      </c>
      <c r="AE293" s="1495" t="s">
        <v>765</v>
      </c>
      <c r="AF293" s="165"/>
      <c r="AG293" s="648" t="s">
        <v>766</v>
      </c>
      <c r="AH293" s="86"/>
      <c r="AI293" s="87"/>
      <c r="AJ293" s="87"/>
      <c r="AK293" s="87"/>
      <c r="AL293" s="859">
        <f>_xlfn.IFERROR(AL294*1000/AL292,0)</f>
        <v>0</v>
      </c>
      <c r="AM293" s="87"/>
      <c r="AN293" s="87" cm="1" t="str">
        <f t="array" ref="AN293:AN293">AM293</f>
        <v>0</v>
      </c>
      <c r="AO293" s="859">
        <f>_xlfn.IFERROR(AO294*1000/AO292,0)</f>
        <v>0</v>
      </c>
      <c r="AP293" s="976"/>
      <c r="AQ293" s="976" cm="1" t="str">
        <f t="array" ref="AQ293:AQ293">AP293</f>
        <v>0</v>
      </c>
      <c r="AR293" s="859">
        <f>_xlfn.IFERROR(AR294*1000/AR292,0)</f>
        <v>0</v>
      </c>
      <c r="AS293" s="976"/>
      <c r="AT293" s="976" cm="1" t="str">
        <f t="array" ref="AT293:AT293">AS293</f>
        <v>0</v>
      </c>
      <c r="AU293" s="859">
        <f>_xlfn.IFERROR(AU294*1000/AU292,0)</f>
        <v>0</v>
      </c>
      <c r="AV293" s="976"/>
      <c r="AW293" s="976" cm="1" t="str">
        <f t="array" ref="AW293:AW293">AV293</f>
        <v>0</v>
      </c>
      <c r="AX293" s="859">
        <f>_xlfn.IFERROR(AX294*1000/AX292,0)</f>
        <v>0</v>
      </c>
      <c r="AY293" s="976"/>
      <c r="AZ293" s="976" cm="1" t="str">
        <f t="array" ref="AZ293:AZ293">AY293</f>
        <v>0</v>
      </c>
      <c r="BA293" s="859">
        <f>_xlfn.IFERROR(BA294*1000/BA292,0)</f>
        <v>0</v>
      </c>
      <c r="BB293" s="87"/>
      <c r="BC293" s="87" cm="1" t="str">
        <f t="array" ref="BC293:BC293">BB293</f>
        <v>0</v>
      </c>
      <c r="BD293" s="859">
        <f>_xlfn.IFERROR(BD294*1000/BD292,0)</f>
        <v>0</v>
      </c>
      <c r="BE293" s="87"/>
      <c r="BF293" s="87" cm="1" t="str">
        <f t="array" ref="BF293:BF293">BE293</f>
        <v>0</v>
      </c>
      <c r="BG293" s="859">
        <f>_xlfn.IFERROR(BG294*1000/BG292,0)</f>
        <v>0</v>
      </c>
      <c r="BH293" s="87"/>
      <c r="BI293" s="87" cm="1" t="str">
        <f t="array" ref="BI293:BI293">BH293</f>
        <v>0</v>
      </c>
      <c r="BJ293" s="859">
        <f>_xlfn.IFERROR(BJ294*1000/BJ292,0)</f>
        <v>0</v>
      </c>
      <c r="BK293" s="87"/>
      <c r="BL293" s="87" cm="1" t="str">
        <f t="array" ref="BL293:BL293">BK293</f>
        <v>0</v>
      </c>
      <c r="BM293" s="859">
        <f>_xlfn.IFERROR(BM294*1000/BM292,0)</f>
        <v>0</v>
      </c>
      <c r="BN293" s="87"/>
      <c r="BO293" s="87" cm="1" t="str">
        <f t="array" ref="BO293:BO293">BN293</f>
        <v>0</v>
      </c>
      <c r="BP293" s="859">
        <f>_xlfn.IFERROR(BP294*1000/BP292,0)</f>
        <v>0</v>
      </c>
      <c r="BQ293" s="976"/>
      <c r="BR293" s="976" cm="1" t="str">
        <f t="array" ref="BR293:BR293">BQ293</f>
        <v>0</v>
      </c>
      <c r="BS293" s="859">
        <f>_xlfn.IFERROR(BS294*1000/BS292,0)</f>
        <v>0</v>
      </c>
      <c r="BT293" s="976"/>
      <c r="BU293" s="976" cm="1" t="str">
        <f t="array" ref="BU293:BU293">BT293</f>
        <v>0</v>
      </c>
      <c r="BV293" s="859">
        <f>_xlfn.IFERROR(BV294*1000/BV292,0)</f>
        <v>0</v>
      </c>
      <c r="BW293" s="976"/>
      <c r="BX293" s="976" cm="1" t="str">
        <f t="array" ref="BX293:BX293">BW293</f>
        <v>0</v>
      </c>
      <c r="BY293" s="859">
        <f>_xlfn.IFERROR(BY294*1000/BY292,0)</f>
        <v>0</v>
      </c>
      <c r="BZ293" s="976"/>
      <c r="CA293" s="976" cm="1" t="str">
        <f t="array" ref="CA293:CA293">BZ293</f>
        <v>0</v>
      </c>
      <c r="CB293" s="859">
        <f>_xlfn.IFERROR(CB294*1000/CB292,0)</f>
        <v>0</v>
      </c>
      <c r="CC293" s="976"/>
      <c r="CD293" s="976" cm="1" t="str">
        <f t="array" ref="CD293:CD293">CC293</f>
        <v>0</v>
      </c>
      <c r="CE293" s="859">
        <f>_xlfn.IFERROR(CE294*1000/CE292,0)</f>
        <v>0</v>
      </c>
      <c r="CF293" s="87"/>
      <c r="CG293" s="87" cm="1" t="str">
        <f t="array" ref="CG293:CG293">CF293</f>
        <v>0</v>
      </c>
      <c r="CH293" s="859">
        <f>_xlfn.IFERROR(CH294*1000/CH292,0)</f>
        <v>0</v>
      </c>
      <c r="CI293" s="87"/>
      <c r="CJ293" s="87" cm="1" t="str">
        <f t="array" ref="CJ293:CJ293">CI293</f>
        <v>0</v>
      </c>
      <c r="CK293" s="859">
        <f>_xlfn.IFERROR(CK294*1000/CK292,0)</f>
        <v>0</v>
      </c>
      <c r="CL293" s="87"/>
      <c r="CM293" s="87" cm="1" t="str">
        <f t="array" ref="CM293:CM293">CL293</f>
        <v>0</v>
      </c>
      <c r="CN293" s="859">
        <f>_xlfn.IFERROR(CN294*1000/CN292,0)</f>
        <v>0</v>
      </c>
      <c r="CO293" s="87"/>
      <c r="CP293" s="87" cm="1" t="str">
        <f t="array" ref="CP293:CP293">CO293</f>
        <v>0</v>
      </c>
      <c r="CQ293" s="859">
        <f>_xlfn.IFERROR(CQ294*1000/CQ292,0)</f>
        <v>0</v>
      </c>
      <c r="CR293" s="87"/>
      <c r="CS293" s="87" cm="1" t="str">
        <f t="array" ref="CS293:CS293">CR293</f>
        <v>0</v>
      </c>
      <c r="CT293" s="73"/>
      <c r="CU293" s="1619"/>
      <c r="CV293" s="1619"/>
      <c r="CW293" s="1170" t="s">
        <v>767</v>
      </c>
      <c r="CX293" s="1175"/>
      <c r="CY293" s="1175"/>
      <c r="CZ293" s="1175"/>
      <c r="DA293" s="1176"/>
      <c r="DB293" s="1176"/>
    </row>
    <row s="1619" customFormat="1" customHeight="1" ht="16.5" hidden="1">
      <c r="A294" s="1440"/>
      <c r="B294" s="924"/>
      <c r="C294" s="1440"/>
      <c r="D294" s="1440"/>
      <c r="E294" s="794">
        <v>17.1</v>
      </c>
      <c r="F294" s="919" cm="1" t="str">
        <f t="array" ref="F294:F294">OFFSET(G294,-1,-1)</f>
        <v>2</v>
      </c>
      <c r="G294" s="962"/>
      <c r="H294" s="962"/>
      <c r="I294" s="962"/>
      <c r="J294" s="962"/>
      <c r="K294" s="962"/>
      <c r="L294" s="919" cm="1" t="str">
        <f t="array" ref="L294:L294">OFFSET(M294,-1,-1)</f>
        <v>false</v>
      </c>
      <c r="M294" s="962"/>
      <c r="N294" s="962"/>
      <c r="O294" s="962"/>
      <c r="P294" s="962"/>
      <c r="Q294" s="962"/>
      <c r="R294" s="919" t="s">
        <v>725</v>
      </c>
      <c r="S294" s="156" cm="1" t="str">
        <f t="array" ref="S294:S294">OFFSET(T294,-1,-1)</f>
        <v>true</v>
      </c>
      <c r="T294" s="156" cm="1" t="str">
        <f t="array" ref="T294:T294">L294</f>
        <v>false</v>
      </c>
      <c r="U294" s="816">
        <f>AND(S294,IF(ISBLANK(T294),TRUE,T294))</f>
        <v>0</v>
      </c>
      <c r="V294" s="1440"/>
      <c r="W294" s="1440"/>
      <c r="X294" s="1440"/>
      <c r="Y294" s="1440"/>
      <c r="Z294" s="1440"/>
      <c r="AA294" s="817"/>
      <c r="AB294" s="1520"/>
      <c r="AC294" s="1619"/>
      <c r="AD294" s="157">
        <v>12</v>
      </c>
      <c r="AE294" s="1495" t="s">
        <v>768</v>
      </c>
      <c r="AF294" s="165"/>
      <c r="AG294" s="648" t="s">
        <v>769</v>
      </c>
      <c r="AH294" s="554">
        <f>AH292*AH293/1000</f>
        <v>0</v>
      </c>
      <c r="AI294" s="364">
        <f>AI292*AI293/1000</f>
        <v>0</v>
      </c>
      <c r="AJ294" s="364">
        <f>AJ292*AJ293/1000</f>
        <v>0</v>
      </c>
      <c r="AK294" s="364">
        <f>AK292*AK293/1000</f>
        <v>0</v>
      </c>
      <c r="AL294" s="859">
        <f>AM294+AN294</f>
        <v>0</v>
      </c>
      <c r="AM294" s="364">
        <f>AM292*AM293/1000</f>
        <v>0</v>
      </c>
      <c r="AN294" s="364">
        <f>AN292*AN293/1000</f>
        <v>0</v>
      </c>
      <c r="AO294" s="859">
        <f>AP294+AQ294</f>
        <v>0</v>
      </c>
      <c r="AP294" s="364">
        <f>AP292*AP293/1000</f>
        <v>0</v>
      </c>
      <c r="AQ294" s="364">
        <f>AQ292*AQ293/1000</f>
        <v>0</v>
      </c>
      <c r="AR294" s="859">
        <f>AS294+AT294</f>
        <v>0</v>
      </c>
      <c r="AS294" s="364">
        <f>AS292*AS293/1000</f>
        <v>0</v>
      </c>
      <c r="AT294" s="364">
        <f>AT292*AT293/1000</f>
        <v>0</v>
      </c>
      <c r="AU294" s="859">
        <f>AV294+AW294</f>
        <v>0</v>
      </c>
      <c r="AV294" s="364">
        <f>AV292*AV293/1000</f>
        <v>0</v>
      </c>
      <c r="AW294" s="364">
        <f>AW292*AW293/1000</f>
        <v>0</v>
      </c>
      <c r="AX294" s="859">
        <f>AY294+AZ294</f>
        <v>0</v>
      </c>
      <c r="AY294" s="364">
        <f>AY292*AY293/1000</f>
        <v>0</v>
      </c>
      <c r="AZ294" s="364">
        <f>AZ292*AZ293/1000</f>
        <v>0</v>
      </c>
      <c r="BA294" s="859">
        <f>BB294+BC294</f>
        <v>0</v>
      </c>
      <c r="BB294" s="364">
        <f>BB292*BB293/1000</f>
        <v>0</v>
      </c>
      <c r="BC294" s="364">
        <f>BC292*BC293/1000</f>
        <v>0</v>
      </c>
      <c r="BD294" s="859">
        <f>BE294+BF294</f>
        <v>0</v>
      </c>
      <c r="BE294" s="364">
        <f>BE292*BE293/1000</f>
        <v>0</v>
      </c>
      <c r="BF294" s="364">
        <f>BF292*BF293/1000</f>
        <v>0</v>
      </c>
      <c r="BG294" s="859">
        <f>BH294+BI294</f>
        <v>0</v>
      </c>
      <c r="BH294" s="364">
        <f>BH292*BH293/1000</f>
        <v>0</v>
      </c>
      <c r="BI294" s="364">
        <f>BI292*BI293/1000</f>
        <v>0</v>
      </c>
      <c r="BJ294" s="859">
        <f>BK294+BL294</f>
        <v>0</v>
      </c>
      <c r="BK294" s="364">
        <f>BK292*BK293/1000</f>
        <v>0</v>
      </c>
      <c r="BL294" s="364">
        <f>BL292*BL293/1000</f>
        <v>0</v>
      </c>
      <c r="BM294" s="859">
        <f>BN294+BO294</f>
        <v>0</v>
      </c>
      <c r="BN294" s="364">
        <f>BN292*BN293/1000</f>
        <v>0</v>
      </c>
      <c r="BO294" s="364">
        <f>BO292*BO293/1000</f>
        <v>0</v>
      </c>
      <c r="BP294" s="859">
        <f>BQ294+BR294</f>
        <v>0</v>
      </c>
      <c r="BQ294" s="364">
        <f>BQ292*BQ293/1000</f>
        <v>0</v>
      </c>
      <c r="BR294" s="364">
        <f>BR292*BR293/1000</f>
        <v>0</v>
      </c>
      <c r="BS294" s="859">
        <f>BT294+BU294</f>
        <v>0</v>
      </c>
      <c r="BT294" s="364">
        <f>BT292*BT293/1000</f>
        <v>0</v>
      </c>
      <c r="BU294" s="364">
        <f>BU292*BU293/1000</f>
        <v>0</v>
      </c>
      <c r="BV294" s="859">
        <f>BW294+BX294</f>
        <v>0</v>
      </c>
      <c r="BW294" s="364">
        <f>BW292*BW293/1000</f>
        <v>0</v>
      </c>
      <c r="BX294" s="364">
        <f>BX292*BX293/1000</f>
        <v>0</v>
      </c>
      <c r="BY294" s="859">
        <f>BZ294+CA294</f>
        <v>0</v>
      </c>
      <c r="BZ294" s="364">
        <f>BZ292*BZ293/1000</f>
        <v>0</v>
      </c>
      <c r="CA294" s="364">
        <f>CA292*CA293/1000</f>
        <v>0</v>
      </c>
      <c r="CB294" s="859">
        <f>CC294+CD294</f>
        <v>0</v>
      </c>
      <c r="CC294" s="364">
        <f>CC292*CC293/1000</f>
        <v>0</v>
      </c>
      <c r="CD294" s="364">
        <f>CD292*CD293/1000</f>
        <v>0</v>
      </c>
      <c r="CE294" s="859">
        <f>CF294+CG294</f>
        <v>0</v>
      </c>
      <c r="CF294" s="364">
        <f>CF292*CF293/1000</f>
        <v>0</v>
      </c>
      <c r="CG294" s="364">
        <f>CG292*CG293/1000</f>
        <v>0</v>
      </c>
      <c r="CH294" s="859">
        <f>CI294+CJ294</f>
        <v>0</v>
      </c>
      <c r="CI294" s="364">
        <f>CI292*CI293/1000</f>
        <v>0</v>
      </c>
      <c r="CJ294" s="364">
        <f>CJ292*CJ293/1000</f>
        <v>0</v>
      </c>
      <c r="CK294" s="859">
        <f>CL294+CM294</f>
        <v>0</v>
      </c>
      <c r="CL294" s="364">
        <f>CL292*CL293/1000</f>
        <v>0</v>
      </c>
      <c r="CM294" s="364">
        <f>CM292*CM293/1000</f>
        <v>0</v>
      </c>
      <c r="CN294" s="859">
        <f>CO294+CP294</f>
        <v>0</v>
      </c>
      <c r="CO294" s="364">
        <f>CO292*CO293/1000</f>
        <v>0</v>
      </c>
      <c r="CP294" s="364">
        <f>CP292*CP293/1000</f>
        <v>0</v>
      </c>
      <c r="CQ294" s="859">
        <f>CR294+CS294</f>
        <v>0</v>
      </c>
      <c r="CR294" s="364">
        <f>CR292*CR293/1000</f>
        <v>0</v>
      </c>
      <c r="CS294" s="364">
        <f>CS292*CS293/1000</f>
        <v>0</v>
      </c>
      <c r="CT294" s="73"/>
      <c r="CU294" s="1619"/>
      <c r="CV294" s="1619"/>
      <c r="CW294" s="1170" t="s">
        <v>770</v>
      </c>
      <c r="CX294" s="1175"/>
      <c r="CY294" s="1175"/>
      <c r="CZ294" s="1175"/>
      <c r="DA294" s="1176"/>
      <c r="DB294" s="1176"/>
    </row>
    <row s="1619" customFormat="1" customHeight="1" ht="29.25">
      <c r="A295" s="1440"/>
      <c r="B295" s="924"/>
      <c r="C295" s="1440"/>
      <c r="D295" s="1440"/>
      <c r="E295" s="794">
        <v>30</v>
      </c>
      <c r="F295" s="919" cm="1" t="str">
        <f t="array" ref="F295:F295">OFFSET(G295,-1,-1)</f>
        <v>2</v>
      </c>
      <c r="G295" s="962"/>
      <c r="H295" s="962"/>
      <c r="I295" s="962"/>
      <c r="J295" s="962"/>
      <c r="K295" s="962"/>
      <c r="L295" s="919" cm="1" t="str">
        <f t="array" ref="L295:L295">OFFSET(M295,-1,-1)</f>
        <v>false</v>
      </c>
      <c r="M295" s="962"/>
      <c r="N295" s="962"/>
      <c r="O295" s="962"/>
      <c r="P295" s="962"/>
      <c r="Q295" s="962"/>
      <c r="R295" s="1440"/>
      <c r="S295" s="156" cm="1" t="str">
        <f t="array" ref="S295:S295">OFFSET(T295,-1,-1)</f>
        <v>true</v>
      </c>
      <c r="T295" s="1440"/>
      <c r="U295" s="816">
        <f>AND(S295,IF(ISBLANK(T295),TRUE,T295))</f>
        <v>1</v>
      </c>
      <c r="V295" s="1440"/>
      <c r="W295" s="1440"/>
      <c r="X295" s="1440"/>
      <c r="Y295" s="1440"/>
      <c r="Z295" s="1440"/>
      <c r="AA295" s="817"/>
      <c r="AB295" s="1520"/>
      <c r="AC295" s="1619"/>
      <c r="AD295" s="157">
        <v>13</v>
      </c>
      <c r="AE295" s="1495" t="s">
        <v>755</v>
      </c>
      <c r="AF295" s="165"/>
      <c r="AG295" s="648" t="s">
        <v>591</v>
      </c>
      <c r="AH295" s="1768" cm="1" t="str">
        <f t="array" ref="AH295:AH295">AH288</f>
        <v>0</v>
      </c>
      <c r="AI295" s="1768" cm="1" t="str">
        <f t="array" ref="AI295:AI295">AI288</f>
        <v>0</v>
      </c>
      <c r="AJ295" s="1768" cm="1" t="str">
        <f t="array" ref="AJ295:AJ295">AJ288</f>
        <v>0</v>
      </c>
      <c r="AK295" s="1768" cm="1" t="str">
        <f t="array" ref="AK295:AK295">AK288</f>
        <v>0</v>
      </c>
      <c r="AL295" s="1768" cm="1" t="str">
        <f t="array" ref="AL295:AL295">AL288</f>
        <v>1370</v>
      </c>
      <c r="AM295" s="1768" cm="1" t="str">
        <f t="array" ref="AM295:AM295">AM288</f>
        <v>1024</v>
      </c>
      <c r="AN295" s="1768" cm="1" t="str">
        <f t="array" ref="AN295:AN295">AN288</f>
        <v>346</v>
      </c>
      <c r="AO295" s="977" cm="1" t="str">
        <f t="array" ref="AO295:AO295">AO288</f>
        <v>1370</v>
      </c>
      <c r="AP295" s="977" cm="1" t="str">
        <f t="array" ref="AP295:AP295">AP288</f>
        <v>1024</v>
      </c>
      <c r="AQ295" s="977" cm="1" t="str">
        <f t="array" ref="AQ295:AQ295">AQ288</f>
        <v>346</v>
      </c>
      <c r="AR295" s="977" cm="1" t="str">
        <f t="array" ref="AR295:AR295">AR288</f>
        <v>1370</v>
      </c>
      <c r="AS295" s="977" cm="1" t="str">
        <f t="array" ref="AS295:AS295">AS288</f>
        <v>1024</v>
      </c>
      <c r="AT295" s="977" cm="1" t="str">
        <f t="array" ref="AT295:AT295">AT288</f>
        <v>346</v>
      </c>
      <c r="AU295" s="977" cm="1" t="str">
        <f t="array" ref="AU295:AU295">AU288</f>
        <v>1370</v>
      </c>
      <c r="AV295" s="977" cm="1" t="str">
        <f t="array" ref="AV295:AV295">AV288</f>
        <v>1024</v>
      </c>
      <c r="AW295" s="977" cm="1" t="str">
        <f t="array" ref="AW295:AW295">AW288</f>
        <v>346</v>
      </c>
      <c r="AX295" s="977" cm="1" t="str">
        <f t="array" ref="AX295:AX295">AX288</f>
        <v>1370</v>
      </c>
      <c r="AY295" s="977" cm="1" t="str">
        <f t="array" ref="AY295:AY295">AY288</f>
        <v>1024</v>
      </c>
      <c r="AZ295" s="977" cm="1" t="str">
        <f t="array" ref="AZ295:AZ295">AZ288</f>
        <v>346</v>
      </c>
      <c r="BA295" s="1768" cm="1" t="str">
        <f t="array" ref="BA295:BA295">BA288</f>
        <v>1370</v>
      </c>
      <c r="BB295" s="1768" cm="1" t="str">
        <f t="array" ref="BB295:BB295">BB288</f>
        <v>0</v>
      </c>
      <c r="BC295" s="1768" cm="1" t="str">
        <f t="array" ref="BC295:BC295">BC288</f>
        <v>1370</v>
      </c>
      <c r="BD295" s="1768" cm="1" t="str">
        <f t="array" ref="BD295:BD295">BD288</f>
        <v>1370</v>
      </c>
      <c r="BE295" s="1768" cm="1" t="str">
        <f t="array" ref="BE295:BE295">BE288</f>
        <v>0</v>
      </c>
      <c r="BF295" s="1768" cm="1" t="str">
        <f t="array" ref="BF295:BF295">BF288</f>
        <v>1370</v>
      </c>
      <c r="BG295" s="1768" cm="1" t="str">
        <f t="array" ref="BG295:BG295">BG288</f>
        <v>1370</v>
      </c>
      <c r="BH295" s="1768" cm="1" t="str">
        <f t="array" ref="BH295:BH295">BH288</f>
        <v>0</v>
      </c>
      <c r="BI295" s="1768" cm="1" t="str">
        <f t="array" ref="BI295:BI295">BI288</f>
        <v>1370</v>
      </c>
      <c r="BJ295" s="1768" cm="1" t="str">
        <f t="array" ref="BJ295:BJ295">BJ288</f>
        <v>1370</v>
      </c>
      <c r="BK295" s="1768" cm="1" t="str">
        <f t="array" ref="BK295:BK295">BK288</f>
        <v>0</v>
      </c>
      <c r="BL295" s="1768" cm="1" t="str">
        <f t="array" ref="BL295:BL295">BL288</f>
        <v>1370</v>
      </c>
      <c r="BM295" s="1768" cm="1" t="str">
        <f t="array" ref="BM295:BM295">BM288</f>
        <v>1370</v>
      </c>
      <c r="BN295" s="1768" cm="1" t="str">
        <f t="array" ref="BN295:BN295">BN288</f>
        <v>0</v>
      </c>
      <c r="BO295" s="1768" cm="1" t="str">
        <f t="array" ref="BO295:BO295">BO288</f>
        <v>1370</v>
      </c>
      <c r="BP295" s="977" cm="1" t="str">
        <f t="array" ref="BP295:BP295">BP288</f>
        <v>1370</v>
      </c>
      <c r="BQ295" s="977" cm="1" t="str">
        <f t="array" ref="BQ295:BQ295">BQ288</f>
        <v>1024</v>
      </c>
      <c r="BR295" s="977" cm="1" t="str">
        <f t="array" ref="BR295:BR295">BR288</f>
        <v>346</v>
      </c>
      <c r="BS295" s="977" cm="1" t="str">
        <f t="array" ref="BS295:BS295">BS288</f>
        <v>1370</v>
      </c>
      <c r="BT295" s="977" cm="1" t="str">
        <f t="array" ref="BT295:BT295">BT288</f>
        <v>1024</v>
      </c>
      <c r="BU295" s="977" cm="1" t="str">
        <f t="array" ref="BU295:BU295">BU288</f>
        <v>346</v>
      </c>
      <c r="BV295" s="977" cm="1" t="str">
        <f t="array" ref="BV295:BV295">BV288</f>
        <v>1370</v>
      </c>
      <c r="BW295" s="977" cm="1" t="str">
        <f t="array" ref="BW295:BW295">BW288</f>
        <v>1024</v>
      </c>
      <c r="BX295" s="977" cm="1" t="str">
        <f t="array" ref="BX295:BX295">BX288</f>
        <v>346</v>
      </c>
      <c r="BY295" s="977" cm="1" t="str">
        <f t="array" ref="BY295:BY295">BY288</f>
        <v>1370</v>
      </c>
      <c r="BZ295" s="977" cm="1" t="str">
        <f t="array" ref="BZ295:BZ295">BZ288</f>
        <v>1024</v>
      </c>
      <c r="CA295" s="977" cm="1" t="str">
        <f t="array" ref="CA295:CA295">CA288</f>
        <v>346</v>
      </c>
      <c r="CB295" s="977" cm="1" t="str">
        <f t="array" ref="CB295:CB295">CB288</f>
        <v>1370</v>
      </c>
      <c r="CC295" s="977" cm="1" t="str">
        <f t="array" ref="CC295:CC295">CC288</f>
        <v>1024</v>
      </c>
      <c r="CD295" s="977" cm="1" t="str">
        <f t="array" ref="CD295:CD295">CD288</f>
        <v>346</v>
      </c>
      <c r="CE295" s="1768" cm="1" t="str">
        <f t="array" ref="CE295:CE295">CE288</f>
        <v>0</v>
      </c>
      <c r="CF295" s="1768" cm="1" t="str">
        <f t="array" ref="CF295:CF295">CF288</f>
        <v>0</v>
      </c>
      <c r="CG295" s="1768" cm="1" t="str">
        <f t="array" ref="CG295:CG295">CG288</f>
        <v>0</v>
      </c>
      <c r="CH295" s="1768" cm="1" t="str">
        <f t="array" ref="CH295:CH295">CH288</f>
        <v>0</v>
      </c>
      <c r="CI295" s="1768" cm="1" t="str">
        <f t="array" ref="CI295:CI295">CI288</f>
        <v>0</v>
      </c>
      <c r="CJ295" s="1768" cm="1" t="str">
        <f t="array" ref="CJ295:CJ295">CJ288</f>
        <v>0</v>
      </c>
      <c r="CK295" s="1768" cm="1" t="str">
        <f t="array" ref="CK295:CK295">CK288</f>
        <v>0</v>
      </c>
      <c r="CL295" s="1768" cm="1" t="str">
        <f t="array" ref="CL295:CL295">CL288</f>
        <v>0</v>
      </c>
      <c r="CM295" s="1768" cm="1" t="str">
        <f t="array" ref="CM295:CM295">CM288</f>
        <v>0</v>
      </c>
      <c r="CN295" s="1768" cm="1" t="str">
        <f t="array" ref="CN295:CN295">CN288</f>
        <v>0</v>
      </c>
      <c r="CO295" s="1768" cm="1" t="str">
        <f t="array" ref="CO295:CO295">CO288</f>
        <v>0</v>
      </c>
      <c r="CP295" s="1768" cm="1" t="str">
        <f t="array" ref="CP295:CP295">CP288</f>
        <v>0</v>
      </c>
      <c r="CQ295" s="1768" cm="1" t="str">
        <f t="array" ref="CQ295:CQ295">CQ288</f>
        <v>0</v>
      </c>
      <c r="CR295" s="1768" cm="1" t="str">
        <f t="array" ref="CR295:CR295">CR288</f>
        <v>0</v>
      </c>
      <c r="CS295" s="1768" cm="1" t="str">
        <f t="array" ref="CS295:CS295">CS288</f>
        <v>0</v>
      </c>
      <c r="CT295" s="1730"/>
      <c r="CU295" s="1619"/>
      <c r="CV295" s="1619"/>
      <c r="CW295" s="1170" t="s">
        <v>771</v>
      </c>
      <c r="CX295" s="1175"/>
      <c r="CY295" s="1175"/>
      <c r="CZ295" s="1175"/>
      <c r="DA295" s="1176"/>
      <c r="DB295" s="1176"/>
    </row>
    <row s="1619" customFormat="1" customHeight="1" ht="29.25">
      <c r="A296" s="1440"/>
      <c r="B296" s="924"/>
      <c r="C296" s="1440"/>
      <c r="D296" s="1440"/>
      <c r="E296" s="794">
        <v>30</v>
      </c>
      <c r="F296" s="919" cm="1" t="str">
        <f t="array" ref="F296:F296">OFFSET(G296,-1,-1)</f>
        <v>2</v>
      </c>
      <c r="G296" s="962"/>
      <c r="H296" s="962"/>
      <c r="I296" s="962"/>
      <c r="J296" s="962"/>
      <c r="K296" s="962"/>
      <c r="L296" s="919" cm="1" t="str">
        <f t="array" ref="L296:L296">OFFSET(M296,-1,-1)</f>
        <v>false</v>
      </c>
      <c r="M296" s="962"/>
      <c r="N296" s="962"/>
      <c r="O296" s="962"/>
      <c r="P296" s="962"/>
      <c r="Q296" s="962"/>
      <c r="R296" s="1440"/>
      <c r="S296" s="156" cm="1" t="str">
        <f t="array" ref="S296:S296">OFFSET(T296,-1,-1)</f>
        <v>true</v>
      </c>
      <c r="T296" s="1440"/>
      <c r="U296" s="816">
        <f>AND(S296,IF(ISBLANK(T296),TRUE,T296))</f>
        <v>1</v>
      </c>
      <c r="V296" s="1440"/>
      <c r="W296" s="1440"/>
      <c r="X296" s="1440"/>
      <c r="Y296" s="1440"/>
      <c r="Z296" s="1440"/>
      <c r="AA296" s="817"/>
      <c r="AB296" s="1520"/>
      <c r="AC296" s="1619"/>
      <c r="AD296" s="157">
        <v>14</v>
      </c>
      <c r="AE296" s="1495" t="s">
        <v>772</v>
      </c>
      <c r="AF296" s="165"/>
      <c r="AG296" s="157" t="s">
        <v>773</v>
      </c>
      <c r="AH296" s="1768">
        <f>_xlfn.IFERROR(AH297/AH295*1000,0)</f>
        <v>0</v>
      </c>
      <c r="AI296" s="1768">
        <f>_xlfn.IFERROR(AI297/AI295*1000,0)</f>
        <v>0</v>
      </c>
      <c r="AJ296" s="1768">
        <f>_xlfn.IFERROR(AJ297/AJ295*1000,0)</f>
        <v>0</v>
      </c>
      <c r="AK296" s="1768">
        <f>_xlfn.IFERROR(AK297/AK295*1000,0)</f>
        <v>0</v>
      </c>
      <c r="AL296" s="1768">
        <v>213</v>
      </c>
      <c r="AM296" s="1768" cm="1" t="str">
        <f t="array" ref="AM296:AM296">AL296</f>
        <v>213</v>
      </c>
      <c r="AN296" s="1768" cm="1" t="str">
        <f t="array" ref="AN296:AN296">AL296</f>
        <v>213</v>
      </c>
      <c r="AO296" s="977">
        <v>213</v>
      </c>
      <c r="AP296" s="977" cm="1" t="str">
        <f t="array" ref="AP296:AP296">AO296</f>
        <v>213</v>
      </c>
      <c r="AQ296" s="977" cm="1" t="str">
        <f t="array" ref="AQ296:AQ296">AO296</f>
        <v>213</v>
      </c>
      <c r="AR296" s="977">
        <v>213</v>
      </c>
      <c r="AS296" s="977" cm="1" t="str">
        <f t="array" ref="AS296:AS296">AR296</f>
        <v>213</v>
      </c>
      <c r="AT296" s="977" cm="1" t="str">
        <f t="array" ref="AT296:AT296">AR296</f>
        <v>213</v>
      </c>
      <c r="AU296" s="977">
        <v>213</v>
      </c>
      <c r="AV296" s="977" cm="1" t="str">
        <f t="array" ref="AV296:AV296">AU296</f>
        <v>213</v>
      </c>
      <c r="AW296" s="977" cm="1" t="str">
        <f t="array" ref="AW296:AW296">AU296</f>
        <v>213</v>
      </c>
      <c r="AX296" s="977">
        <v>213</v>
      </c>
      <c r="AY296" s="977" cm="1" t="str">
        <f t="array" ref="AY296:AY296">AX296</f>
        <v>213</v>
      </c>
      <c r="AZ296" s="977" cm="1" t="str">
        <f t="array" ref="AZ296:AZ296">AX296</f>
        <v>213</v>
      </c>
      <c r="BA296" s="1768"/>
      <c r="BB296" s="1768" cm="1" t="str">
        <f t="array" ref="BB296:BB296">BA296</f>
        <v>0</v>
      </c>
      <c r="BC296" s="1768" cm="1" t="str">
        <f t="array" ref="BC296:BC296">BA296</f>
        <v>0</v>
      </c>
      <c r="BD296" s="1768"/>
      <c r="BE296" s="1768" cm="1" t="str">
        <f t="array" ref="BE296:BE296">BD296</f>
        <v>0</v>
      </c>
      <c r="BF296" s="1768" cm="1" t="str">
        <f t="array" ref="BF296:BF296">BD296</f>
        <v>0</v>
      </c>
      <c r="BG296" s="1768"/>
      <c r="BH296" s="1768" cm="1" t="str">
        <f t="array" ref="BH296:BH296">BG296</f>
        <v>0</v>
      </c>
      <c r="BI296" s="1768" cm="1" t="str">
        <f t="array" ref="BI296:BI296">BG296</f>
        <v>0</v>
      </c>
      <c r="BJ296" s="1768"/>
      <c r="BK296" s="1768" cm="1" t="str">
        <f t="array" ref="BK296:BK296">BJ296</f>
        <v>0</v>
      </c>
      <c r="BL296" s="1768" cm="1" t="str">
        <f t="array" ref="BL296:BL296">BJ296</f>
        <v>0</v>
      </c>
      <c r="BM296" s="1768"/>
      <c r="BN296" s="1768" cm="1" t="str">
        <f t="array" ref="BN296:BN296">BM296</f>
        <v>0</v>
      </c>
      <c r="BO296" s="1768" cm="1" t="str">
        <f t="array" ref="BO296:BO296">BM296</f>
        <v>0</v>
      </c>
      <c r="BP296" s="977">
        <v>213</v>
      </c>
      <c r="BQ296" s="977" cm="1" t="str">
        <f t="array" ref="BQ296:BQ296">BP296</f>
        <v>213</v>
      </c>
      <c r="BR296" s="977" cm="1" t="str">
        <f t="array" ref="BR296:BR296">BP296</f>
        <v>213</v>
      </c>
      <c r="BS296" s="977">
        <v>213</v>
      </c>
      <c r="BT296" s="977" cm="1" t="str">
        <f t="array" ref="BT296:BT296">BS296</f>
        <v>213</v>
      </c>
      <c r="BU296" s="977" cm="1" t="str">
        <f t="array" ref="BU296:BU296">BS296</f>
        <v>213</v>
      </c>
      <c r="BV296" s="977">
        <v>213</v>
      </c>
      <c r="BW296" s="977" cm="1" t="str">
        <f t="array" ref="BW296:BW296">BV296</f>
        <v>213</v>
      </c>
      <c r="BX296" s="977" cm="1" t="str">
        <f t="array" ref="BX296:BX296">BV296</f>
        <v>213</v>
      </c>
      <c r="BY296" s="977">
        <v>213</v>
      </c>
      <c r="BZ296" s="977" cm="1" t="str">
        <f t="array" ref="BZ296:BZ296">BY296</f>
        <v>213</v>
      </c>
      <c r="CA296" s="977" cm="1" t="str">
        <f t="array" ref="CA296:CA296">BY296</f>
        <v>213</v>
      </c>
      <c r="CB296" s="977">
        <v>213</v>
      </c>
      <c r="CC296" s="977" cm="1" t="str">
        <f t="array" ref="CC296:CC296">CB296</f>
        <v>213</v>
      </c>
      <c r="CD296" s="977" cm="1" t="str">
        <f t="array" ref="CD296:CD296">CB296</f>
        <v>213</v>
      </c>
      <c r="CE296" s="1768"/>
      <c r="CF296" s="1768" cm="1" t="str">
        <f t="array" ref="CF296:CF296">CE296</f>
        <v>0</v>
      </c>
      <c r="CG296" s="1768" cm="1" t="str">
        <f t="array" ref="CG296:CG296">CE296</f>
        <v>0</v>
      </c>
      <c r="CH296" s="1768"/>
      <c r="CI296" s="1768" cm="1" t="str">
        <f t="array" ref="CI296:CI296">CH296</f>
        <v>0</v>
      </c>
      <c r="CJ296" s="1768" cm="1" t="str">
        <f t="array" ref="CJ296:CJ296">CH296</f>
        <v>0</v>
      </c>
      <c r="CK296" s="1768"/>
      <c r="CL296" s="1768" cm="1" t="str">
        <f t="array" ref="CL296:CL296">CK296</f>
        <v>0</v>
      </c>
      <c r="CM296" s="1768" cm="1" t="str">
        <f t="array" ref="CM296:CM296">CK296</f>
        <v>0</v>
      </c>
      <c r="CN296" s="1768"/>
      <c r="CO296" s="1768" cm="1" t="str">
        <f t="array" ref="CO296:CO296">CN296</f>
        <v>0</v>
      </c>
      <c r="CP296" s="1768" cm="1" t="str">
        <f t="array" ref="CP296:CP296">CN296</f>
        <v>0</v>
      </c>
      <c r="CQ296" s="1768"/>
      <c r="CR296" s="1768" cm="1" t="str">
        <f t="array" ref="CR296:CR296">CQ296</f>
        <v>0</v>
      </c>
      <c r="CS296" s="1768" cm="1" t="str">
        <f t="array" ref="CS296:CS296">CQ296</f>
        <v>0</v>
      </c>
      <c r="CT296" s="1730"/>
      <c r="CU296" s="1619"/>
      <c r="CV296" s="1619"/>
      <c r="CW296" s="1170" t="s">
        <v>774</v>
      </c>
      <c r="CX296" s="1175"/>
      <c r="CY296" s="1175"/>
      <c r="CZ296" s="1175"/>
      <c r="DA296" s="1176"/>
      <c r="DB296" s="1176"/>
    </row>
    <row s="1619" customFormat="1" customHeight="1" ht="16.5">
      <c r="A297" s="1440"/>
      <c r="B297" s="924"/>
      <c r="C297" s="1440"/>
      <c r="D297" s="1440"/>
      <c r="E297" s="794">
        <v>17.1</v>
      </c>
      <c r="F297" s="919" cm="1" t="str">
        <f t="array" ref="F297:F297">OFFSET(G297,-1,-1)</f>
        <v>2</v>
      </c>
      <c r="G297" s="962"/>
      <c r="H297" s="962"/>
      <c r="I297" s="962"/>
      <c r="J297" s="962"/>
      <c r="K297" s="962"/>
      <c r="L297" s="919" cm="1" t="str">
        <f t="array" ref="L297:L297">OFFSET(M297,-1,-1)</f>
        <v>false</v>
      </c>
      <c r="M297" s="962"/>
      <c r="N297" s="962"/>
      <c r="O297" s="962"/>
      <c r="P297" s="962"/>
      <c r="Q297" s="962"/>
      <c r="R297" s="1440"/>
      <c r="S297" s="156" cm="1" t="str">
        <f t="array" ref="S297:S297">OFFSET(T297,-1,-1)</f>
        <v>true</v>
      </c>
      <c r="T297" s="1440"/>
      <c r="U297" s="816">
        <f>AND(S297,IF(ISBLANK(T297),TRUE,T297))</f>
        <v>1</v>
      </c>
      <c r="V297" s="1440"/>
      <c r="W297" s="1440"/>
      <c r="X297" s="1440"/>
      <c r="Y297" s="1440"/>
      <c r="Z297" s="1440"/>
      <c r="AA297" s="817"/>
      <c r="AB297" s="1485" t="s">
        <v>775</v>
      </c>
      <c r="AC297" s="1619"/>
      <c r="AD297" s="157">
        <v>15</v>
      </c>
      <c r="AE297" s="1495" t="s">
        <v>776</v>
      </c>
      <c r="AF297" s="165"/>
      <c r="AG297" s="157" t="s">
        <v>769</v>
      </c>
      <c r="AH297" s="1768"/>
      <c r="AI297" s="1768"/>
      <c r="AJ297" s="1768"/>
      <c r="AK297" s="1768"/>
      <c r="AL297" s="857">
        <f>AM297+AN297</f>
        <v>291.81</v>
      </c>
      <c r="AM297" s="1768">
        <f>AM296*AM295/1000</f>
        <v>218.112</v>
      </c>
      <c r="AN297" s="1768">
        <f>AN296*AN295/1000</f>
        <v>73.698</v>
      </c>
      <c r="AO297" s="857">
        <f>AP297+AQ297</f>
        <v>291.81</v>
      </c>
      <c r="AP297" s="977">
        <f>AP296*AP295/1000</f>
        <v>218.112</v>
      </c>
      <c r="AQ297" s="977">
        <f>AQ296*AQ295/1000</f>
        <v>73.698</v>
      </c>
      <c r="AR297" s="857">
        <f>AS297+AT297</f>
        <v>291.81</v>
      </c>
      <c r="AS297" s="977">
        <f>AS296*AS295/1000</f>
        <v>218.112</v>
      </c>
      <c r="AT297" s="977">
        <f>AT296*AT295/1000</f>
        <v>73.698</v>
      </c>
      <c r="AU297" s="857">
        <f>AV297+AW297</f>
        <v>291.81</v>
      </c>
      <c r="AV297" s="977">
        <f>AV296*AV295/1000</f>
        <v>218.112</v>
      </c>
      <c r="AW297" s="977">
        <f>AW296*AW295/1000</f>
        <v>73.698</v>
      </c>
      <c r="AX297" s="857">
        <f>AY297+AZ297</f>
        <v>291.81</v>
      </c>
      <c r="AY297" s="977">
        <f>AY296*AY295/1000</f>
        <v>218.112</v>
      </c>
      <c r="AZ297" s="977">
        <f>AZ296*AZ295/1000</f>
        <v>73.698</v>
      </c>
      <c r="BA297" s="857">
        <f>BB297+BC297</f>
        <v>0</v>
      </c>
      <c r="BB297" s="1768">
        <f>BB296*BB295/1000</f>
        <v>0</v>
      </c>
      <c r="BC297" s="1768">
        <f>BC296*BC295/1000</f>
        <v>0</v>
      </c>
      <c r="BD297" s="857">
        <f>BE297+BF297</f>
        <v>0</v>
      </c>
      <c r="BE297" s="1768">
        <f>BE296*BE295/1000</f>
        <v>0</v>
      </c>
      <c r="BF297" s="1768">
        <f>BF296*BF295/1000</f>
        <v>0</v>
      </c>
      <c r="BG297" s="857">
        <f>BH297+BI297</f>
        <v>0</v>
      </c>
      <c r="BH297" s="1768">
        <f>BH296*BH295/1000</f>
        <v>0</v>
      </c>
      <c r="BI297" s="1768">
        <f>BI296*BI295/1000</f>
        <v>0</v>
      </c>
      <c r="BJ297" s="857">
        <f>BK297+BL297</f>
        <v>0</v>
      </c>
      <c r="BK297" s="1768">
        <f>BK296*BK295/1000</f>
        <v>0</v>
      </c>
      <c r="BL297" s="1768">
        <f>BL296*BL295/1000</f>
        <v>0</v>
      </c>
      <c r="BM297" s="857">
        <f>BN297+BO297</f>
        <v>0</v>
      </c>
      <c r="BN297" s="1768">
        <f>BN296*BN295/1000</f>
        <v>0</v>
      </c>
      <c r="BO297" s="1768">
        <f>BO296*BO295/1000</f>
        <v>0</v>
      </c>
      <c r="BP297" s="857">
        <f>BQ297+BR297</f>
        <v>291.81</v>
      </c>
      <c r="BQ297" s="977">
        <f>BQ296*BQ295/1000</f>
        <v>218.112</v>
      </c>
      <c r="BR297" s="977">
        <f>BR296*BR295/1000</f>
        <v>73.698</v>
      </c>
      <c r="BS297" s="857">
        <f>BT297+BU297</f>
        <v>291.81</v>
      </c>
      <c r="BT297" s="977">
        <f>BT296*BT295/1000</f>
        <v>218.112</v>
      </c>
      <c r="BU297" s="977">
        <f>BU296*BU295/1000</f>
        <v>73.698</v>
      </c>
      <c r="BV297" s="857">
        <f>BW297+BX297</f>
        <v>291.81</v>
      </c>
      <c r="BW297" s="977">
        <f>BW296*BW295/1000</f>
        <v>218.112</v>
      </c>
      <c r="BX297" s="977">
        <f>BX296*BX295/1000</f>
        <v>73.698</v>
      </c>
      <c r="BY297" s="857">
        <f>BZ297+CA297</f>
        <v>291.81</v>
      </c>
      <c r="BZ297" s="977">
        <f>BZ296*BZ295/1000</f>
        <v>218.112</v>
      </c>
      <c r="CA297" s="977">
        <f>CA296*CA295/1000</f>
        <v>73.698</v>
      </c>
      <c r="CB297" s="857">
        <f>CC297+CD297</f>
        <v>291.81</v>
      </c>
      <c r="CC297" s="977">
        <f>CC296*CC295/1000</f>
        <v>218.112</v>
      </c>
      <c r="CD297" s="977">
        <f>CD296*CD295/1000</f>
        <v>73.698</v>
      </c>
      <c r="CE297" s="857">
        <f>CF297+CG297</f>
        <v>0</v>
      </c>
      <c r="CF297" s="1768">
        <f>CF296*CF295/1000</f>
        <v>0</v>
      </c>
      <c r="CG297" s="1768">
        <f>CG296*CG295/1000</f>
        <v>0</v>
      </c>
      <c r="CH297" s="857">
        <f>CI297+CJ297</f>
        <v>0</v>
      </c>
      <c r="CI297" s="1768">
        <f>CI296*CI295/1000</f>
        <v>0</v>
      </c>
      <c r="CJ297" s="1768">
        <f>CJ296*CJ295/1000</f>
        <v>0</v>
      </c>
      <c r="CK297" s="857">
        <f>CL297+CM297</f>
        <v>0</v>
      </c>
      <c r="CL297" s="1768">
        <f>CL296*CL295/1000</f>
        <v>0</v>
      </c>
      <c r="CM297" s="1768">
        <f>CM296*CM295/1000</f>
        <v>0</v>
      </c>
      <c r="CN297" s="857">
        <f>CO297+CP297</f>
        <v>0</v>
      </c>
      <c r="CO297" s="1768">
        <f>CO296*CO295/1000</f>
        <v>0</v>
      </c>
      <c r="CP297" s="1768">
        <f>CP296*CP295/1000</f>
        <v>0</v>
      </c>
      <c r="CQ297" s="857">
        <f>CR297+CS297</f>
        <v>0</v>
      </c>
      <c r="CR297" s="1768">
        <f>CR296*CR295/1000</f>
        <v>0</v>
      </c>
      <c r="CS297" s="1768">
        <f>CS296*CS295/1000</f>
        <v>0</v>
      </c>
      <c r="CT297" s="1730"/>
      <c r="CU297" s="1619"/>
      <c r="CV297" s="1619"/>
      <c r="CW297" s="1170" t="s">
        <v>777</v>
      </c>
      <c r="CX297" s="1175"/>
      <c r="CY297" s="1175"/>
      <c r="CZ297" s="1175"/>
      <c r="DA297" s="1176"/>
      <c r="DB297" s="1176"/>
    </row>
    <row s="1619" customFormat="1" customHeight="1" ht="16.5">
      <c r="A298" s="1440"/>
      <c r="B298" s="924"/>
      <c r="C298" s="1440"/>
      <c r="D298" s="1440"/>
      <c r="E298" s="794">
        <v>17.1</v>
      </c>
      <c r="F298" s="919" cm="1" t="str">
        <f t="array" ref="F298:F298">OFFSET(G298,-1,-1)</f>
        <v>2</v>
      </c>
      <c r="G298" s="962"/>
      <c r="H298" s="962"/>
      <c r="I298" s="962"/>
      <c r="J298" s="962"/>
      <c r="K298" s="962"/>
      <c r="L298" s="919" cm="1" t="str">
        <f t="array" ref="L298:L298">OFFSET(M298,-1,-1)</f>
        <v>false</v>
      </c>
      <c r="M298" s="962"/>
      <c r="N298" s="962"/>
      <c r="O298" s="962"/>
      <c r="P298" s="962"/>
      <c r="Q298" s="962"/>
      <c r="R298" s="1440"/>
      <c r="S298" s="156" cm="1" t="str">
        <f t="array" ref="S298:S298">OFFSET(T298,-1,-1)</f>
        <v>true</v>
      </c>
      <c r="T298" s="1440"/>
      <c r="U298" s="816">
        <f>AND(S298,IF(ISBLANK(T298),TRUE,T298))</f>
        <v>1</v>
      </c>
      <c r="V298" s="1440"/>
      <c r="W298" s="1440"/>
      <c r="X298" s="1440"/>
      <c r="Y298" s="1440"/>
      <c r="Z298" s="1440"/>
      <c r="AA298" s="817"/>
      <c r="AB298" s="1486"/>
      <c r="AC298" s="1619"/>
      <c r="AD298" s="157">
        <v>16</v>
      </c>
      <c r="AE298" s="1495" t="s">
        <v>778</v>
      </c>
      <c r="AF298" s="165"/>
      <c r="AG298" s="157" t="s">
        <v>769</v>
      </c>
      <c r="AH298" s="857">
        <f>AH297+AH294</f>
        <v>0</v>
      </c>
      <c r="AI298" s="857">
        <f>AI297+AI294</f>
        <v>0</v>
      </c>
      <c r="AJ298" s="857">
        <f>AJ297+AJ294</f>
        <v>0</v>
      </c>
      <c r="AK298" s="857">
        <f>AK297+AK294</f>
        <v>0</v>
      </c>
      <c r="AL298" s="857">
        <f>AM298+AN298</f>
        <v>291.81</v>
      </c>
      <c r="AM298" s="857">
        <f>AM297+AM294</f>
        <v>218.112</v>
      </c>
      <c r="AN298" s="857">
        <f>AN297+AN294</f>
        <v>73.698</v>
      </c>
      <c r="AO298" s="857">
        <f>AP298+AQ298</f>
        <v>291.81</v>
      </c>
      <c r="AP298" s="857">
        <f>AP297+AP294</f>
        <v>218.112</v>
      </c>
      <c r="AQ298" s="857">
        <f>AQ297+AQ294</f>
        <v>73.698</v>
      </c>
      <c r="AR298" s="857">
        <f>AS298+AT298</f>
        <v>291.81</v>
      </c>
      <c r="AS298" s="857">
        <f>AS297+AS294</f>
        <v>218.112</v>
      </c>
      <c r="AT298" s="857">
        <f>AT297+AT294</f>
        <v>73.698</v>
      </c>
      <c r="AU298" s="857">
        <f>AV298+AW298</f>
        <v>291.81</v>
      </c>
      <c r="AV298" s="857">
        <f>AV297+AV294</f>
        <v>218.112</v>
      </c>
      <c r="AW298" s="857">
        <f>AW297+AW294</f>
        <v>73.698</v>
      </c>
      <c r="AX298" s="857">
        <f>AY298+AZ298</f>
        <v>291.81</v>
      </c>
      <c r="AY298" s="857">
        <f>AY297+AY294</f>
        <v>218.112</v>
      </c>
      <c r="AZ298" s="857">
        <f>AZ297+AZ294</f>
        <v>73.698</v>
      </c>
      <c r="BA298" s="857">
        <f>BB298+BC298</f>
        <v>0</v>
      </c>
      <c r="BB298" s="857">
        <f>BB297+BB294</f>
        <v>0</v>
      </c>
      <c r="BC298" s="857">
        <f>BC297+BC294</f>
        <v>0</v>
      </c>
      <c r="BD298" s="857">
        <f>BE298+BF298</f>
        <v>0</v>
      </c>
      <c r="BE298" s="857">
        <f>BE297+BE294</f>
        <v>0</v>
      </c>
      <c r="BF298" s="857">
        <f>BF297+BF294</f>
        <v>0</v>
      </c>
      <c r="BG298" s="857">
        <f>BH298+BI298</f>
        <v>0</v>
      </c>
      <c r="BH298" s="857">
        <f>BH297+BH294</f>
        <v>0</v>
      </c>
      <c r="BI298" s="857">
        <f>BI297+BI294</f>
        <v>0</v>
      </c>
      <c r="BJ298" s="857">
        <f>BK298+BL298</f>
        <v>0</v>
      </c>
      <c r="BK298" s="857">
        <f>BK297+BK294</f>
        <v>0</v>
      </c>
      <c r="BL298" s="857">
        <f>BL297+BL294</f>
        <v>0</v>
      </c>
      <c r="BM298" s="857">
        <f>BN298+BO298</f>
        <v>0</v>
      </c>
      <c r="BN298" s="857">
        <f>BN297+BN294</f>
        <v>0</v>
      </c>
      <c r="BO298" s="857">
        <f>BO297+BO294</f>
        <v>0</v>
      </c>
      <c r="BP298" s="857">
        <f>BQ298+BR298</f>
        <v>291.81</v>
      </c>
      <c r="BQ298" s="857">
        <f>BQ297+BQ294</f>
        <v>218.112</v>
      </c>
      <c r="BR298" s="857">
        <f>BR297+BR294</f>
        <v>73.698</v>
      </c>
      <c r="BS298" s="857">
        <f>BT298+BU298</f>
        <v>291.81</v>
      </c>
      <c r="BT298" s="857">
        <f>BT297+BT294</f>
        <v>218.112</v>
      </c>
      <c r="BU298" s="857">
        <f>BU297+BU294</f>
        <v>73.698</v>
      </c>
      <c r="BV298" s="857">
        <f>BW298+BX298</f>
        <v>291.81</v>
      </c>
      <c r="BW298" s="857">
        <f>BW297+BW294</f>
        <v>218.112</v>
      </c>
      <c r="BX298" s="857">
        <f>BX297+BX294</f>
        <v>73.698</v>
      </c>
      <c r="BY298" s="857">
        <f>BZ298+CA298</f>
        <v>291.81</v>
      </c>
      <c r="BZ298" s="857">
        <f>BZ297+BZ294</f>
        <v>218.112</v>
      </c>
      <c r="CA298" s="857">
        <f>CA297+CA294</f>
        <v>73.698</v>
      </c>
      <c r="CB298" s="857">
        <f>CC298+CD298</f>
        <v>291.81</v>
      </c>
      <c r="CC298" s="857">
        <f>CC297+CC294</f>
        <v>218.112</v>
      </c>
      <c r="CD298" s="857">
        <f>CD297+CD294</f>
        <v>73.698</v>
      </c>
      <c r="CE298" s="857">
        <f>CF298+CG298</f>
        <v>0</v>
      </c>
      <c r="CF298" s="857">
        <f>CF297+CF294</f>
        <v>0</v>
      </c>
      <c r="CG298" s="857">
        <f>CG297+CG294</f>
        <v>0</v>
      </c>
      <c r="CH298" s="857">
        <f>CI298+CJ298</f>
        <v>0</v>
      </c>
      <c r="CI298" s="857">
        <f>CI297+CI294</f>
        <v>0</v>
      </c>
      <c r="CJ298" s="857">
        <f>CJ297+CJ294</f>
        <v>0</v>
      </c>
      <c r="CK298" s="857">
        <f>CL298+CM298</f>
        <v>0</v>
      </c>
      <c r="CL298" s="857">
        <f>CL297+CL294</f>
        <v>0</v>
      </c>
      <c r="CM298" s="857">
        <f>CM297+CM294</f>
        <v>0</v>
      </c>
      <c r="CN298" s="857">
        <f>CO298+CP298</f>
        <v>0</v>
      </c>
      <c r="CO298" s="857">
        <f>CO297+CO294</f>
        <v>0</v>
      </c>
      <c r="CP298" s="857">
        <f>CP297+CP294</f>
        <v>0</v>
      </c>
      <c r="CQ298" s="857">
        <f>CR298+CS298</f>
        <v>0</v>
      </c>
      <c r="CR298" s="857">
        <f>CR297+CR294</f>
        <v>0</v>
      </c>
      <c r="CS298" s="857">
        <f>CS297+CS294</f>
        <v>0</v>
      </c>
      <c r="CT298" s="1730"/>
      <c r="CU298" s="1619"/>
      <c r="CV298" s="1619"/>
      <c r="CW298" s="1170" t="s">
        <v>779</v>
      </c>
      <c r="CX298" s="1175"/>
      <c r="CY298" s="1175"/>
      <c r="CZ298" s="1175"/>
      <c r="DA298" s="1176"/>
      <c r="DB298" s="1176"/>
    </row>
    <row s="1619" customFormat="1" customHeight="1" ht="16.5" hidden="1">
      <c r="A299" s="1440"/>
      <c r="B299" s="924"/>
      <c r="C299" s="1440"/>
      <c r="D299" s="1440"/>
      <c r="E299" s="794">
        <v>17.1</v>
      </c>
      <c r="F299" s="919" cm="1" t="str">
        <f t="array" ref="F299:F299">OFFSET(G299,-1,-1)</f>
        <v>2</v>
      </c>
      <c r="G299" s="962"/>
      <c r="H299" s="962"/>
      <c r="I299" s="962"/>
      <c r="J299" s="962"/>
      <c r="K299" s="962"/>
      <c r="L299" s="919" cm="1" t="str">
        <f t="array" ref="L299:L299">OFFSET(M299,-1,-1)</f>
        <v>false</v>
      </c>
      <c r="M299" s="962"/>
      <c r="N299" s="962"/>
      <c r="O299" s="962"/>
      <c r="P299" s="962"/>
      <c r="Q299" s="962"/>
      <c r="R299" s="919" t="s">
        <v>725</v>
      </c>
      <c r="S299" s="156" cm="1" t="str">
        <f t="array" ref="S299:S299">OFFSET(T299,-1,-1)</f>
        <v>true</v>
      </c>
      <c r="T299" s="156" cm="1" t="str">
        <f t="array" ref="T299:T299">L299</f>
        <v>false</v>
      </c>
      <c r="U299" s="816">
        <f>AND(S299,IF(ISBLANK(T299),TRUE,T299))</f>
        <v>0</v>
      </c>
      <c r="V299" s="1440"/>
      <c r="W299" s="1440"/>
      <c r="X299" s="1440"/>
      <c r="Y299" s="1440"/>
      <c r="Z299" s="1440"/>
      <c r="AA299" s="817"/>
      <c r="AB299" s="1486"/>
      <c r="AC299" s="1619"/>
      <c r="AD299" s="157">
        <v>17</v>
      </c>
      <c r="AE299" s="1495" t="s">
        <v>780</v>
      </c>
      <c r="AF299" s="165"/>
      <c r="AG299" s="157" t="s">
        <v>490</v>
      </c>
      <c r="AH299" s="863">
        <f>_xlfn.IFERROR(AH297/AH298,0)</f>
        <v>0</v>
      </c>
      <c r="AI299" s="864">
        <f>_xlfn.IFERROR(AI297/AI298,0)</f>
        <v>0</v>
      </c>
      <c r="AJ299" s="864">
        <f>_xlfn.IFERROR(AJ297/AJ298,0)</f>
        <v>0</v>
      </c>
      <c r="AK299" s="864">
        <f>_xlfn.IFERROR(AK297/AK298,0)</f>
        <v>0</v>
      </c>
      <c r="AL299" s="864">
        <f>_xlfn.IFERROR(AL297/AL298,0)</f>
        <v>1</v>
      </c>
      <c r="AM299" s="864">
        <f>_xlfn.IFERROR(AM297/AM298,0)</f>
        <v>1</v>
      </c>
      <c r="AN299" s="864">
        <f>_xlfn.IFERROR(AN297/AN298,0)</f>
        <v>1</v>
      </c>
      <c r="AO299" s="864">
        <f>_xlfn.IFERROR(AO297/AO298,0)</f>
        <v>1</v>
      </c>
      <c r="AP299" s="864">
        <f>_xlfn.IFERROR(AP297/AP298,0)</f>
        <v>1</v>
      </c>
      <c r="AQ299" s="864">
        <f>_xlfn.IFERROR(AQ297/AQ298,0)</f>
        <v>1</v>
      </c>
      <c r="AR299" s="864">
        <f>_xlfn.IFERROR(AR297/AR298,0)</f>
        <v>1</v>
      </c>
      <c r="AS299" s="864">
        <f>_xlfn.IFERROR(AS297/AS298,0)</f>
        <v>1</v>
      </c>
      <c r="AT299" s="864">
        <f>_xlfn.IFERROR(AT297/AT298,0)</f>
        <v>1</v>
      </c>
      <c r="AU299" s="864">
        <f>_xlfn.IFERROR(AU297/AU298,0)</f>
        <v>1</v>
      </c>
      <c r="AV299" s="864">
        <f>_xlfn.IFERROR(AV297/AV298,0)</f>
        <v>1</v>
      </c>
      <c r="AW299" s="864">
        <f>_xlfn.IFERROR(AW297/AW298,0)</f>
        <v>1</v>
      </c>
      <c r="AX299" s="864">
        <f>_xlfn.IFERROR(AX297/AX298,0)</f>
        <v>1</v>
      </c>
      <c r="AY299" s="864">
        <f>_xlfn.IFERROR(AY297/AY298,0)</f>
        <v>1</v>
      </c>
      <c r="AZ299" s="864">
        <f>_xlfn.IFERROR(AZ297/AZ298,0)</f>
        <v>1</v>
      </c>
      <c r="BA299" s="864">
        <f>_xlfn.IFERROR(BA297/BA298,0)</f>
        <v>0</v>
      </c>
      <c r="BB299" s="864">
        <f>_xlfn.IFERROR(BB297/BB298,0)</f>
        <v>0</v>
      </c>
      <c r="BC299" s="864">
        <f>_xlfn.IFERROR(BC297/BC298,0)</f>
        <v>0</v>
      </c>
      <c r="BD299" s="864">
        <f>_xlfn.IFERROR(BD297/BD298,0)</f>
        <v>0</v>
      </c>
      <c r="BE299" s="864">
        <f>_xlfn.IFERROR(BE297/BE298,0)</f>
        <v>0</v>
      </c>
      <c r="BF299" s="864">
        <f>_xlfn.IFERROR(BF297/BF298,0)</f>
        <v>0</v>
      </c>
      <c r="BG299" s="864">
        <f>_xlfn.IFERROR(BG297/BG298,0)</f>
        <v>0</v>
      </c>
      <c r="BH299" s="864">
        <f>_xlfn.IFERROR(BH297/BH298,0)</f>
        <v>0</v>
      </c>
      <c r="BI299" s="864">
        <f>_xlfn.IFERROR(BI297/BI298,0)</f>
        <v>0</v>
      </c>
      <c r="BJ299" s="864">
        <f>_xlfn.IFERROR(BJ297/BJ298,0)</f>
        <v>0</v>
      </c>
      <c r="BK299" s="864">
        <f>_xlfn.IFERROR(BK297/BK298,0)</f>
        <v>0</v>
      </c>
      <c r="BL299" s="864">
        <f>_xlfn.IFERROR(BL297/BL298,0)</f>
        <v>0</v>
      </c>
      <c r="BM299" s="864">
        <f>_xlfn.IFERROR(BM297/BM298,0)</f>
        <v>0</v>
      </c>
      <c r="BN299" s="864">
        <f>_xlfn.IFERROR(BN297/BN298,0)</f>
        <v>0</v>
      </c>
      <c r="BO299" s="864">
        <f>_xlfn.IFERROR(BO297/BO298,0)</f>
        <v>0</v>
      </c>
      <c r="BP299" s="864">
        <f>_xlfn.IFERROR(BP297/BP298,0)</f>
        <v>1</v>
      </c>
      <c r="BQ299" s="864">
        <f>_xlfn.IFERROR(BQ297/BQ298,0)</f>
        <v>1</v>
      </c>
      <c r="BR299" s="864">
        <f>_xlfn.IFERROR(BR297/BR298,0)</f>
        <v>1</v>
      </c>
      <c r="BS299" s="864">
        <f>_xlfn.IFERROR(BS297/BS298,0)</f>
        <v>1</v>
      </c>
      <c r="BT299" s="864">
        <f>_xlfn.IFERROR(BT297/BT298,0)</f>
        <v>1</v>
      </c>
      <c r="BU299" s="864">
        <f>_xlfn.IFERROR(BU297/BU298,0)</f>
        <v>1</v>
      </c>
      <c r="BV299" s="864">
        <f>_xlfn.IFERROR(BV297/BV298,0)</f>
        <v>1</v>
      </c>
      <c r="BW299" s="864">
        <f>_xlfn.IFERROR(BW297/BW298,0)</f>
        <v>1</v>
      </c>
      <c r="BX299" s="864">
        <f>_xlfn.IFERROR(BX297/BX298,0)</f>
        <v>1</v>
      </c>
      <c r="BY299" s="864">
        <f>_xlfn.IFERROR(BY297/BY298,0)</f>
        <v>1</v>
      </c>
      <c r="BZ299" s="864">
        <f>_xlfn.IFERROR(BZ297/BZ298,0)</f>
        <v>1</v>
      </c>
      <c r="CA299" s="864">
        <f>_xlfn.IFERROR(CA297/CA298,0)</f>
        <v>1</v>
      </c>
      <c r="CB299" s="864">
        <f>_xlfn.IFERROR(CB297/CB298,0)</f>
        <v>1</v>
      </c>
      <c r="CC299" s="864">
        <f>_xlfn.IFERROR(CC297/CC298,0)</f>
        <v>1</v>
      </c>
      <c r="CD299" s="864">
        <f>_xlfn.IFERROR(CD297/CD298,0)</f>
        <v>1</v>
      </c>
      <c r="CE299" s="864">
        <f>_xlfn.IFERROR(CE297/CE298,0)</f>
        <v>0</v>
      </c>
      <c r="CF299" s="864">
        <f>_xlfn.IFERROR(CF297/CF298,0)</f>
        <v>0</v>
      </c>
      <c r="CG299" s="864">
        <f>_xlfn.IFERROR(CG297/CG298,0)</f>
        <v>0</v>
      </c>
      <c r="CH299" s="864">
        <f>_xlfn.IFERROR(CH297/CH298,0)</f>
        <v>0</v>
      </c>
      <c r="CI299" s="864">
        <f>_xlfn.IFERROR(CI297/CI298,0)</f>
        <v>0</v>
      </c>
      <c r="CJ299" s="864">
        <f>_xlfn.IFERROR(CJ297/CJ298,0)</f>
        <v>0</v>
      </c>
      <c r="CK299" s="864">
        <f>_xlfn.IFERROR(CK297/CK298,0)</f>
        <v>0</v>
      </c>
      <c r="CL299" s="864">
        <f>_xlfn.IFERROR(CL297/CL298,0)</f>
        <v>0</v>
      </c>
      <c r="CM299" s="864">
        <f>_xlfn.IFERROR(CM297/CM298,0)</f>
        <v>0</v>
      </c>
      <c r="CN299" s="864">
        <f>_xlfn.IFERROR(CN297/CN298,0)</f>
        <v>0</v>
      </c>
      <c r="CO299" s="864">
        <f>_xlfn.IFERROR(CO297/CO298,0)</f>
        <v>0</v>
      </c>
      <c r="CP299" s="864">
        <f>_xlfn.IFERROR(CP297/CP298,0)</f>
        <v>0</v>
      </c>
      <c r="CQ299" s="864">
        <f>_xlfn.IFERROR(CQ297/CQ298,0)</f>
        <v>0</v>
      </c>
      <c r="CR299" s="864">
        <f>_xlfn.IFERROR(CR297/CR298,0)</f>
        <v>0</v>
      </c>
      <c r="CS299" s="864">
        <f>_xlfn.IFERROR(CS297/CS298,0)</f>
        <v>0</v>
      </c>
      <c r="CT299" s="73"/>
      <c r="CU299" s="1619"/>
      <c r="CV299" s="1619"/>
      <c r="CW299" s="1170" t="s">
        <v>781</v>
      </c>
      <c r="CX299" s="1175"/>
      <c r="CY299" s="1175"/>
      <c r="CZ299" s="1175"/>
      <c r="DA299" s="1176"/>
      <c r="DB299" s="1176"/>
    </row>
    <row s="1619" customFormat="1" customHeight="1" ht="16.5">
      <c r="A300" s="1440"/>
      <c r="B300" s="924"/>
      <c r="C300" s="1440"/>
      <c r="D300" s="1440"/>
      <c r="E300" s="794">
        <v>17.1</v>
      </c>
      <c r="F300" s="919" cm="1" t="str">
        <f t="array" ref="F300:F300">OFFSET(G300,-1,-1)</f>
        <v>2</v>
      </c>
      <c r="G300" s="962"/>
      <c r="H300" s="962"/>
      <c r="I300" s="962"/>
      <c r="J300" s="962"/>
      <c r="K300" s="962"/>
      <c r="L300" s="919" cm="1" t="str">
        <f t="array" ref="L300:L300">OFFSET(M300,-1,-1)</f>
        <v>false</v>
      </c>
      <c r="M300" s="962"/>
      <c r="N300" s="962"/>
      <c r="O300" s="962"/>
      <c r="P300" s="962"/>
      <c r="Q300" s="962"/>
      <c r="R300" s="1440"/>
      <c r="S300" s="156" cm="1" t="str">
        <f t="array" ref="S300:S300">OFFSET(T300,-1,-1)</f>
        <v>true</v>
      </c>
      <c r="T300" s="1440"/>
      <c r="U300" s="816">
        <f>AND(S300,IF(ISBLANK(T300),TRUE,T300))</f>
        <v>1</v>
      </c>
      <c r="V300" s="1440"/>
      <c r="W300" s="1440"/>
      <c r="X300" s="1440"/>
      <c r="Y300" s="1440"/>
      <c r="Z300" s="1440"/>
      <c r="AA300" s="817"/>
      <c r="AB300" s="1486"/>
      <c r="AC300" s="1619"/>
      <c r="AD300" s="157">
        <v>18</v>
      </c>
      <c r="AE300" s="1495" t="s">
        <v>782</v>
      </c>
      <c r="AF300" s="165"/>
      <c r="AG300" s="157" t="s">
        <v>769</v>
      </c>
      <c r="AH300" s="857">
        <f>SUM(AH302:AH304)</f>
        <v>0</v>
      </c>
      <c r="AI300" s="857">
        <f>SUM(AI302:AI304)</f>
        <v>0</v>
      </c>
      <c r="AJ300" s="857">
        <f>SUM(AJ302:AJ304)</f>
        <v>0</v>
      </c>
      <c r="AK300" s="857">
        <f>SUM(AK302:AK304)</f>
        <v>0</v>
      </c>
      <c r="AL300" s="857">
        <f>SUM(AL302:AL304)</f>
        <v>291.81</v>
      </c>
      <c r="AM300" s="857">
        <f>SUM(AM302:AM304)</f>
        <v>218.112</v>
      </c>
      <c r="AN300" s="857">
        <f>SUM(AN302:AN304)</f>
        <v>73.698</v>
      </c>
      <c r="AO300" s="857">
        <f>SUM(AO302:AO304)</f>
        <v>291.81</v>
      </c>
      <c r="AP300" s="857">
        <f>SUM(AP302:AP304)</f>
        <v>218.112</v>
      </c>
      <c r="AQ300" s="857">
        <f>SUM(AQ302:AQ304)</f>
        <v>73.698</v>
      </c>
      <c r="AR300" s="857">
        <f>SUM(AR302:AR304)</f>
        <v>291.81</v>
      </c>
      <c r="AS300" s="857">
        <f>SUM(AS302:AS304)</f>
        <v>218.112</v>
      </c>
      <c r="AT300" s="857">
        <f>SUM(AT302:AT304)</f>
        <v>73.698</v>
      </c>
      <c r="AU300" s="857">
        <f>SUM(AU302:AU304)</f>
        <v>291.81</v>
      </c>
      <c r="AV300" s="857">
        <f>SUM(AV302:AV304)</f>
        <v>218.112</v>
      </c>
      <c r="AW300" s="857">
        <f>SUM(AW302:AW304)</f>
        <v>73.698</v>
      </c>
      <c r="AX300" s="857">
        <f>SUM(AX302:AX304)</f>
        <v>291.81</v>
      </c>
      <c r="AY300" s="857">
        <f>SUM(AY302:AY304)</f>
        <v>218.112</v>
      </c>
      <c r="AZ300" s="857">
        <f>SUM(AZ302:AZ304)</f>
        <v>73.698</v>
      </c>
      <c r="BA300" s="857">
        <f>SUM(BA302:BA304)</f>
        <v>0</v>
      </c>
      <c r="BB300" s="857">
        <f>SUM(BB302:BB304)</f>
        <v>0</v>
      </c>
      <c r="BC300" s="857">
        <f>SUM(BC302:BC304)</f>
        <v>0</v>
      </c>
      <c r="BD300" s="857">
        <f>SUM(BD302:BD304)</f>
        <v>0</v>
      </c>
      <c r="BE300" s="857">
        <f>SUM(BE302:BE304)</f>
        <v>0</v>
      </c>
      <c r="BF300" s="857">
        <f>SUM(BF302:BF304)</f>
        <v>0</v>
      </c>
      <c r="BG300" s="857">
        <f>SUM(BG302:BG304)</f>
        <v>0</v>
      </c>
      <c r="BH300" s="857">
        <f>SUM(BH302:BH304)</f>
        <v>0</v>
      </c>
      <c r="BI300" s="857">
        <f>SUM(BI302:BI304)</f>
        <v>0</v>
      </c>
      <c r="BJ300" s="857">
        <f>SUM(BJ302:BJ304)</f>
        <v>0</v>
      </c>
      <c r="BK300" s="857">
        <f>SUM(BK302:BK304)</f>
        <v>0</v>
      </c>
      <c r="BL300" s="857">
        <f>SUM(BL302:BL304)</f>
        <v>0</v>
      </c>
      <c r="BM300" s="857">
        <f>SUM(BM302:BM304)</f>
        <v>0</v>
      </c>
      <c r="BN300" s="857">
        <f>SUM(BN302:BN304)</f>
        <v>0</v>
      </c>
      <c r="BO300" s="857">
        <f>SUM(BO302:BO304)</f>
        <v>0</v>
      </c>
      <c r="BP300" s="857">
        <f>SUM(BP302:BP304)</f>
        <v>291.81</v>
      </c>
      <c r="BQ300" s="857">
        <f>SUM(BQ302:BQ304)</f>
        <v>218.112</v>
      </c>
      <c r="BR300" s="857">
        <f>SUM(BR302:BR304)</f>
        <v>73.698</v>
      </c>
      <c r="BS300" s="857">
        <f>SUM(BS302:BS304)</f>
        <v>291.81</v>
      </c>
      <c r="BT300" s="857">
        <f>SUM(BT302:BT304)</f>
        <v>218.112</v>
      </c>
      <c r="BU300" s="857">
        <f>SUM(BU302:BU304)</f>
        <v>73.698</v>
      </c>
      <c r="BV300" s="857">
        <f>SUM(BV302:BV304)</f>
        <v>291.81</v>
      </c>
      <c r="BW300" s="857">
        <f>SUM(BW302:BW304)</f>
        <v>218.112</v>
      </c>
      <c r="BX300" s="857">
        <f>SUM(BX302:BX304)</f>
        <v>73.698</v>
      </c>
      <c r="BY300" s="857">
        <f>SUM(BY302:BY304)</f>
        <v>291.81</v>
      </c>
      <c r="BZ300" s="857">
        <f>SUM(BZ302:BZ304)</f>
        <v>218.112</v>
      </c>
      <c r="CA300" s="857">
        <f>SUM(CA302:CA304)</f>
        <v>73.698</v>
      </c>
      <c r="CB300" s="857">
        <f>SUM(CB302:CB304)</f>
        <v>291.81</v>
      </c>
      <c r="CC300" s="857">
        <f>SUM(CC302:CC304)</f>
        <v>218.112</v>
      </c>
      <c r="CD300" s="857">
        <f>SUM(CD302:CD304)</f>
        <v>73.698</v>
      </c>
      <c r="CE300" s="857">
        <f>SUM(CE302:CE304)</f>
        <v>0</v>
      </c>
      <c r="CF300" s="857">
        <f>SUM(CF302:CF304)</f>
        <v>0</v>
      </c>
      <c r="CG300" s="857">
        <f>SUM(CG302:CG304)</f>
        <v>0</v>
      </c>
      <c r="CH300" s="857">
        <f>SUM(CH302:CH304)</f>
        <v>0</v>
      </c>
      <c r="CI300" s="857">
        <f>SUM(CI302:CI304)</f>
        <v>0</v>
      </c>
      <c r="CJ300" s="857">
        <f>SUM(CJ302:CJ304)</f>
        <v>0</v>
      </c>
      <c r="CK300" s="857">
        <f>SUM(CK302:CK304)</f>
        <v>0</v>
      </c>
      <c r="CL300" s="857">
        <f>SUM(CL302:CL304)</f>
        <v>0</v>
      </c>
      <c r="CM300" s="857">
        <f>SUM(CM302:CM304)</f>
        <v>0</v>
      </c>
      <c r="CN300" s="857">
        <f>SUM(CN302:CN304)</f>
        <v>0</v>
      </c>
      <c r="CO300" s="857">
        <f>SUM(CO302:CO304)</f>
        <v>0</v>
      </c>
      <c r="CP300" s="857">
        <f>SUM(CP302:CP304)</f>
        <v>0</v>
      </c>
      <c r="CQ300" s="857">
        <f>SUM(CQ302:CQ304)</f>
        <v>0</v>
      </c>
      <c r="CR300" s="857">
        <f>SUM(CR302:CR304)</f>
        <v>0</v>
      </c>
      <c r="CS300" s="857">
        <f>SUM(CS302:CS304)</f>
        <v>0</v>
      </c>
      <c r="CT300" s="1730"/>
      <c r="CU300" s="1619"/>
      <c r="CV300" s="1619"/>
      <c r="CW300" s="1170" t="s">
        <v>783</v>
      </c>
      <c r="CX300" s="1175"/>
      <c r="CY300" s="1175"/>
      <c r="CZ300" s="1175"/>
      <c r="DA300" s="1176"/>
      <c r="DB300" s="1176"/>
    </row>
    <row s="1619" customFormat="1" customHeight="1" ht="16.5" hidden="1">
      <c r="A301" s="1440"/>
      <c r="B301" s="924"/>
      <c r="C301" s="1440"/>
      <c r="D301" s="1440"/>
      <c r="E301" s="794">
        <v>17.1</v>
      </c>
      <c r="F301" s="919" cm="1" t="str">
        <f t="array" ref="F301:F301">OFFSET(G301,-1,-1)</f>
        <v>2</v>
      </c>
      <c r="G301" s="962"/>
      <c r="H301" s="962"/>
      <c r="I301" s="962"/>
      <c r="J301" s="962"/>
      <c r="K301" s="962"/>
      <c r="L301" s="919" cm="1" t="str">
        <f t="array" ref="L301:L301">OFFSET(M301,-1,-1)</f>
        <v>false</v>
      </c>
      <c r="M301" s="962"/>
      <c r="N301" s="962"/>
      <c r="O301" s="962"/>
      <c r="P301" s="962"/>
      <c r="Q301" s="962"/>
      <c r="R301" s="919" t="s">
        <v>725</v>
      </c>
      <c r="S301" s="156" cm="1" t="str">
        <f t="array" ref="S301:S301">OFFSET(T301,-1,-1)</f>
        <v>true</v>
      </c>
      <c r="T301" s="156" cm="1" t="str">
        <f t="array" ref="T301:T301">L301</f>
        <v>false</v>
      </c>
      <c r="U301" s="816">
        <f>AND(S301,IF(ISBLANK(T301),TRUE,T301))</f>
        <v>0</v>
      </c>
      <c r="V301" s="1440"/>
      <c r="W301" s="1440"/>
      <c r="X301" s="1440"/>
      <c r="Y301" s="1440"/>
      <c r="Z301" s="1440"/>
      <c r="AA301" s="817"/>
      <c r="AB301" s="1486"/>
      <c r="AC301" s="1619"/>
      <c r="AD301" s="157" t="s">
        <v>784</v>
      </c>
      <c r="AE301" s="1495" t="s">
        <v>736</v>
      </c>
      <c r="AF301" s="165"/>
      <c r="AG301" s="157" t="s">
        <v>769</v>
      </c>
      <c r="AH301" s="86">
        <f>AH$299*AH300</f>
        <v>0</v>
      </c>
      <c r="AI301" s="87">
        <f>AI$299*AI300</f>
        <v>0</v>
      </c>
      <c r="AJ301" s="87">
        <f>AJ$299*AJ300</f>
        <v>0</v>
      </c>
      <c r="AK301" s="87">
        <f>AK$299*AK300</f>
        <v>0</v>
      </c>
      <c r="AL301" s="857">
        <f>AM301+AN301</f>
        <v>291.81</v>
      </c>
      <c r="AM301" s="87">
        <f>AM$299*AM300</f>
        <v>218.112</v>
      </c>
      <c r="AN301" s="87">
        <f>AN$299*AN300</f>
        <v>73.698</v>
      </c>
      <c r="AO301" s="857">
        <f>AP301+AQ301</f>
        <v>291.81</v>
      </c>
      <c r="AP301" s="976">
        <f>AP$299*AP300</f>
        <v>218.112</v>
      </c>
      <c r="AQ301" s="976">
        <f>AQ$299*AQ300</f>
        <v>73.698</v>
      </c>
      <c r="AR301" s="857">
        <f>AS301+AT301</f>
        <v>291.81</v>
      </c>
      <c r="AS301" s="976">
        <f>AS$299*AS300</f>
        <v>218.112</v>
      </c>
      <c r="AT301" s="976">
        <f>AT$299*AT300</f>
        <v>73.698</v>
      </c>
      <c r="AU301" s="857">
        <f>AV301+AW301</f>
        <v>291.81</v>
      </c>
      <c r="AV301" s="976">
        <f>AV$299*AV300</f>
        <v>218.112</v>
      </c>
      <c r="AW301" s="976">
        <f>AW$299*AW300</f>
        <v>73.698</v>
      </c>
      <c r="AX301" s="857">
        <f>AY301+AZ301</f>
        <v>291.81</v>
      </c>
      <c r="AY301" s="976">
        <f>AY$299*AY300</f>
        <v>218.112</v>
      </c>
      <c r="AZ301" s="976">
        <f>AZ$299*AZ300</f>
        <v>73.698</v>
      </c>
      <c r="BA301" s="857">
        <f>BB301+BC301</f>
        <v>0</v>
      </c>
      <c r="BB301" s="87">
        <f>BB$299*BB300</f>
        <v>0</v>
      </c>
      <c r="BC301" s="87">
        <f>BC$299*BC300</f>
        <v>0</v>
      </c>
      <c r="BD301" s="857">
        <f>BE301+BF301</f>
        <v>0</v>
      </c>
      <c r="BE301" s="87">
        <f>BE$299*BE300</f>
        <v>0</v>
      </c>
      <c r="BF301" s="87">
        <f>BF$299*BF300</f>
        <v>0</v>
      </c>
      <c r="BG301" s="857">
        <f>BH301+BI301</f>
        <v>0</v>
      </c>
      <c r="BH301" s="87">
        <f>BH$299*BH300</f>
        <v>0</v>
      </c>
      <c r="BI301" s="87">
        <f>BI$299*BI300</f>
        <v>0</v>
      </c>
      <c r="BJ301" s="857">
        <f>BK301+BL301</f>
        <v>0</v>
      </c>
      <c r="BK301" s="87">
        <f>BK$299*BK300</f>
        <v>0</v>
      </c>
      <c r="BL301" s="87">
        <f>BL$299*BL300</f>
        <v>0</v>
      </c>
      <c r="BM301" s="857">
        <f>BN301+BO301</f>
        <v>0</v>
      </c>
      <c r="BN301" s="87">
        <f>BN$299*BN300</f>
        <v>0</v>
      </c>
      <c r="BO301" s="87">
        <f>BO$299*BO300</f>
        <v>0</v>
      </c>
      <c r="BP301" s="857">
        <f>BQ301+BR301</f>
        <v>291.81</v>
      </c>
      <c r="BQ301" s="976">
        <f>BQ$299*BQ300</f>
        <v>218.112</v>
      </c>
      <c r="BR301" s="976">
        <f>BR$299*BR300</f>
        <v>73.698</v>
      </c>
      <c r="BS301" s="857">
        <f>BT301+BU301</f>
        <v>291.81</v>
      </c>
      <c r="BT301" s="976">
        <f>BT$299*BT300</f>
        <v>218.112</v>
      </c>
      <c r="BU301" s="976">
        <f>BU$299*BU300</f>
        <v>73.698</v>
      </c>
      <c r="BV301" s="857">
        <f>BW301+BX301</f>
        <v>291.81</v>
      </c>
      <c r="BW301" s="976">
        <f>BW$299*BW300</f>
        <v>218.112</v>
      </c>
      <c r="BX301" s="976">
        <f>BX$299*BX300</f>
        <v>73.698</v>
      </c>
      <c r="BY301" s="857">
        <f>BZ301+CA301</f>
        <v>291.81</v>
      </c>
      <c r="BZ301" s="976">
        <f>BZ$299*BZ300</f>
        <v>218.112</v>
      </c>
      <c r="CA301" s="976">
        <f>CA$299*CA300</f>
        <v>73.698</v>
      </c>
      <c r="CB301" s="857">
        <f>CC301+CD301</f>
        <v>291.81</v>
      </c>
      <c r="CC301" s="976">
        <f>CC$299*CC300</f>
        <v>218.112</v>
      </c>
      <c r="CD301" s="976">
        <f>CD$299*CD300</f>
        <v>73.698</v>
      </c>
      <c r="CE301" s="857">
        <f>CF301+CG301</f>
        <v>0</v>
      </c>
      <c r="CF301" s="87">
        <f>CF$299*CF300</f>
        <v>0</v>
      </c>
      <c r="CG301" s="87">
        <f>CG$299*CG300</f>
        <v>0</v>
      </c>
      <c r="CH301" s="857">
        <f>CI301+CJ301</f>
        <v>0</v>
      </c>
      <c r="CI301" s="87">
        <f>CI$299*CI300</f>
        <v>0</v>
      </c>
      <c r="CJ301" s="87">
        <f>CJ$299*CJ300</f>
        <v>0</v>
      </c>
      <c r="CK301" s="857">
        <f>CL301+CM301</f>
        <v>0</v>
      </c>
      <c r="CL301" s="87">
        <f>CL$299*CL300</f>
        <v>0</v>
      </c>
      <c r="CM301" s="87">
        <f>CM$299*CM300</f>
        <v>0</v>
      </c>
      <c r="CN301" s="857">
        <f>CO301+CP301</f>
        <v>0</v>
      </c>
      <c r="CO301" s="87">
        <f>CO$299*CO300</f>
        <v>0</v>
      </c>
      <c r="CP301" s="87">
        <f>CP$299*CP300</f>
        <v>0</v>
      </c>
      <c r="CQ301" s="857">
        <f>CR301+CS301</f>
        <v>0</v>
      </c>
      <c r="CR301" s="87">
        <f>CR$299*CR300</f>
        <v>0</v>
      </c>
      <c r="CS301" s="87">
        <f>CS$299*CS300</f>
        <v>0</v>
      </c>
      <c r="CT301" s="73"/>
      <c r="CU301" s="1619"/>
      <c r="CV301" s="1619"/>
      <c r="CW301" s="1170" t="s">
        <v>785</v>
      </c>
      <c r="CX301" s="1175"/>
      <c r="CY301" s="1175"/>
      <c r="CZ301" s="1175"/>
      <c r="DA301" s="1176"/>
      <c r="DB301" s="1176"/>
    </row>
    <row s="1619" customFormat="1" customHeight="1" ht="16.5" hidden="1">
      <c r="E302" s="794">
        <v>17.1</v>
      </c>
      <c r="F302" s="919" cm="1" t="str">
        <f t="array" ref="F302:F302">OFFSET(G302,-1,-1)</f>
        <v>2</v>
      </c>
      <c r="L302" s="919" cm="1" t="str">
        <f t="array" ref="L302:L302">OFFSET(M302,-1,-1)</f>
        <v>false</v>
      </c>
      <c r="S302" s="156" cm="1" t="str">
        <f t="array" ref="S302:S302">OFFSET(T302,-1,-1)</f>
        <v>true</v>
      </c>
      <c r="T302" s="156">
        <f>AD302&lt;&gt;"18.0"</f>
        <v>0</v>
      </c>
      <c r="U302" s="816">
        <f>AND(S302,IF(ISBLANK(T302),TRUE,T302))</f>
        <v>0</v>
      </c>
      <c r="X302" s="156" t="s">
        <v>233</v>
      </c>
      <c r="AB302" s="1486"/>
      <c r="AC302" s="914" t="s">
        <v>217</v>
      </c>
      <c r="AD302" s="157" t="s">
        <v>784</v>
      </c>
      <c r="AE302" s="88"/>
      <c r="AF302" s="89"/>
      <c r="AG302" s="157" t="s">
        <v>769</v>
      </c>
      <c r="AH302" s="86">
        <f>AH$298*AH306</f>
        <v>0</v>
      </c>
      <c r="AI302" s="86">
        <f>AI314*AI310</f>
        <v>0</v>
      </c>
      <c r="AJ302" s="86">
        <f>AJ314*AJ310</f>
        <v>0</v>
      </c>
      <c r="AK302" s="86">
        <f>AK$298*AK306</f>
        <v>0</v>
      </c>
      <c r="AL302" s="857">
        <f>AM302+AN302</f>
        <v>0</v>
      </c>
      <c r="AM302" s="86">
        <f>AM$298*AM306</f>
        <v>0</v>
      </c>
      <c r="AN302" s="86">
        <f>AN$298*AN306</f>
        <v>0</v>
      </c>
      <c r="AO302" s="857">
        <f>AP302+AQ302</f>
        <v>0</v>
      </c>
      <c r="AP302" s="977">
        <f>AP$298*AP306</f>
        <v>0</v>
      </c>
      <c r="AQ302" s="977">
        <f>AQ$298*AQ306</f>
        <v>0</v>
      </c>
      <c r="AR302" s="857">
        <f>AS302+AT302</f>
        <v>0</v>
      </c>
      <c r="AS302" s="977">
        <f>AS$298*AS306</f>
        <v>0</v>
      </c>
      <c r="AT302" s="977">
        <f>AT$298*AT306</f>
        <v>0</v>
      </c>
      <c r="AU302" s="857">
        <f>AV302+AW302</f>
        <v>0</v>
      </c>
      <c r="AV302" s="977">
        <f>AV$298*AV306</f>
        <v>0</v>
      </c>
      <c r="AW302" s="977">
        <f>AW$298*AW306</f>
        <v>0</v>
      </c>
      <c r="AX302" s="857">
        <f>AY302+AZ302</f>
        <v>0</v>
      </c>
      <c r="AY302" s="977">
        <f>AY$298*AY306</f>
        <v>0</v>
      </c>
      <c r="AZ302" s="977">
        <f>AZ$298*AZ306</f>
        <v>0</v>
      </c>
      <c r="BA302" s="857">
        <f>BB302+BC302</f>
        <v>0</v>
      </c>
      <c r="BB302" s="86">
        <f>BB$298*BB306</f>
        <v>0</v>
      </c>
      <c r="BC302" s="86">
        <f>BC$298*BC306</f>
        <v>0</v>
      </c>
      <c r="BD302" s="857">
        <f>BE302+BF302</f>
        <v>0</v>
      </c>
      <c r="BE302" s="86">
        <f>BE$298*BE306</f>
        <v>0</v>
      </c>
      <c r="BF302" s="86">
        <f>BF$298*BF306</f>
        <v>0</v>
      </c>
      <c r="BG302" s="857">
        <f>BH302+BI302</f>
        <v>0</v>
      </c>
      <c r="BH302" s="86">
        <f>BH$298*BH306</f>
        <v>0</v>
      </c>
      <c r="BI302" s="86">
        <f>BI$298*BI306</f>
        <v>0</v>
      </c>
      <c r="BJ302" s="857">
        <f>BK302+BL302</f>
        <v>0</v>
      </c>
      <c r="BK302" s="86">
        <f>BK$298*BK306</f>
        <v>0</v>
      </c>
      <c r="BL302" s="86">
        <f>BL$298*BL306</f>
        <v>0</v>
      </c>
      <c r="BM302" s="857">
        <f>BN302+BO302</f>
        <v>0</v>
      </c>
      <c r="BN302" s="86">
        <f>BN$298*BN306</f>
        <v>0</v>
      </c>
      <c r="BO302" s="86">
        <f>BO$298*BO306</f>
        <v>0</v>
      </c>
      <c r="BP302" s="857">
        <f>BQ302+BR302</f>
        <v>0</v>
      </c>
      <c r="BQ302" s="977">
        <f>BQ$298*BQ306</f>
        <v>0</v>
      </c>
      <c r="BR302" s="977">
        <f>BR$298*BR306</f>
        <v>0</v>
      </c>
      <c r="BS302" s="857">
        <f>BT302+BU302</f>
        <v>0</v>
      </c>
      <c r="BT302" s="977">
        <f>BT$298*BT306</f>
        <v>0</v>
      </c>
      <c r="BU302" s="977">
        <f>BU$298*BU306</f>
        <v>0</v>
      </c>
      <c r="BV302" s="857">
        <f>BW302+BX302</f>
        <v>0</v>
      </c>
      <c r="BW302" s="977">
        <f>BW$298*BW306</f>
        <v>0</v>
      </c>
      <c r="BX302" s="977">
        <f>BX$298*BX306</f>
        <v>0</v>
      </c>
      <c r="BY302" s="857">
        <f>BZ302+CA302</f>
        <v>0</v>
      </c>
      <c r="BZ302" s="977">
        <f>BZ$298*BZ306</f>
        <v>0</v>
      </c>
      <c r="CA302" s="977">
        <f>CA$298*CA306</f>
        <v>0</v>
      </c>
      <c r="CB302" s="857">
        <f>CC302+CD302</f>
        <v>0</v>
      </c>
      <c r="CC302" s="977">
        <f>CC$298*CC306</f>
        <v>0</v>
      </c>
      <c r="CD302" s="977">
        <f>CD$298*CD306</f>
        <v>0</v>
      </c>
      <c r="CE302" s="857">
        <f>CF302+CG302</f>
        <v>0</v>
      </c>
      <c r="CF302" s="86">
        <f>CF$298*CF306</f>
        <v>0</v>
      </c>
      <c r="CG302" s="86">
        <f>CG$298*CG306</f>
        <v>0</v>
      </c>
      <c r="CH302" s="857">
        <f>CI302+CJ302</f>
        <v>0</v>
      </c>
      <c r="CI302" s="86">
        <f>CI$298*CI306</f>
        <v>0</v>
      </c>
      <c r="CJ302" s="86">
        <f>CJ$298*CJ306</f>
        <v>0</v>
      </c>
      <c r="CK302" s="857">
        <f>CL302+CM302</f>
        <v>0</v>
      </c>
      <c r="CL302" s="86">
        <f>CL$298*CL306</f>
        <v>0</v>
      </c>
      <c r="CM302" s="86">
        <f>CM$298*CM306</f>
        <v>0</v>
      </c>
      <c r="CN302" s="857">
        <f>CO302+CP302</f>
        <v>0</v>
      </c>
      <c r="CO302" s="86">
        <f>CO$298*CO306</f>
        <v>0</v>
      </c>
      <c r="CP302" s="86">
        <f>CP$298*CP306</f>
        <v>0</v>
      </c>
      <c r="CQ302" s="857">
        <f>CR302+CS302</f>
        <v>0</v>
      </c>
      <c r="CR302" s="86">
        <f>CR$298*CR306</f>
        <v>0</v>
      </c>
      <c r="CS302" s="86">
        <f>CS$298*CS306</f>
        <v>0</v>
      </c>
      <c r="CT302" s="73"/>
      <c r="CW302" s="1170" t="s">
        <v>786</v>
      </c>
      <c r="CX302" s="1175" t="s">
        <v>787</v>
      </c>
      <c r="CY302" s="1179" cm="1" t="str">
        <f t="array" ref="CY302:CY302">AE302</f>
        <v>0</v>
      </c>
      <c r="CZ302" s="1179" cm="1" t="str">
        <f t="array" ref="CZ302:CZ302">AF302</f>
        <v>0</v>
      </c>
      <c r="DA302" s="1176"/>
      <c r="DB302" s="1176" t="b">
        <v>1</v>
      </c>
    </row>
    <row s="1619" customFormat="1" customHeight="1" ht="16.5">
      <c r="A303" s="1619"/>
      <c r="B303" s="1619"/>
      <c r="C303" s="1619"/>
      <c r="D303" s="1619"/>
      <c r="E303" s="794">
        <v>17.1</v>
      </c>
      <c r="F303" s="919" cm="1" t="str">
        <f t="array" ref="F303:F303">OFFSET(G303,-1,-1)</f>
        <v>2</v>
      </c>
      <c r="G303" s="1619"/>
      <c r="H303" s="1619"/>
      <c r="I303" s="1619"/>
      <c r="J303" s="1619"/>
      <c r="K303" s="1619"/>
      <c r="L303" s="919" cm="1" t="str">
        <f t="array" ref="L303:L303">OFFSET(M303,-1,-1)</f>
        <v>false</v>
      </c>
      <c r="M303" s="1619"/>
      <c r="N303" s="1619"/>
      <c r="O303" s="1619"/>
      <c r="P303" s="1619"/>
      <c r="Q303" s="1619"/>
      <c r="R303" s="1619"/>
      <c r="S303" s="156" cm="1" t="str">
        <f t="array" ref="S303:S303">OFFSET(T303,-1,-1)</f>
        <v>true</v>
      </c>
      <c r="T303" s="156">
        <f>AD303&lt;&gt;"18.0"</f>
        <v>1</v>
      </c>
      <c r="U303" s="816">
        <f>AND(S303,IF(ISBLANK(T303),TRUE,T303))</f>
        <v>1</v>
      </c>
      <c r="V303" s="1619"/>
      <c r="W303" s="1619"/>
      <c r="X303" s="156"/>
      <c r="Y303" s="1619"/>
      <c r="Z303" s="1619"/>
      <c r="AA303" s="1619"/>
      <c r="AB303" s="1486"/>
      <c r="AC303" s="914" t="s">
        <v>217</v>
      </c>
      <c r="AD303" s="157" t="s">
        <v>557</v>
      </c>
      <c r="AE303" s="1770" t="s">
        <v>897</v>
      </c>
      <c r="AF303" s="1771" t="s">
        <v>898</v>
      </c>
      <c r="AG303" s="157" t="s">
        <v>769</v>
      </c>
      <c r="AH303" s="1768">
        <f>AH$298*AH307</f>
        <v>0</v>
      </c>
      <c r="AI303" s="1768">
        <f>AI315*AI311</f>
        <v>0</v>
      </c>
      <c r="AJ303" s="1768">
        <f>AJ315*AJ311</f>
        <v>0</v>
      </c>
      <c r="AK303" s="1768">
        <f>AK$298*AK307</f>
        <v>0</v>
      </c>
      <c r="AL303" s="857">
        <f>AM303+AN303</f>
        <v>291.81</v>
      </c>
      <c r="AM303" s="1768">
        <f>AM$298*AM307</f>
        <v>218.112</v>
      </c>
      <c r="AN303" s="1768">
        <f>AN$298*AN307</f>
        <v>73.698</v>
      </c>
      <c r="AO303" s="857">
        <f>AP303+AQ303</f>
        <v>291.81</v>
      </c>
      <c r="AP303" s="977">
        <f>AP$298*AP307</f>
        <v>218.112</v>
      </c>
      <c r="AQ303" s="977">
        <f>AQ$298*AQ307</f>
        <v>73.698</v>
      </c>
      <c r="AR303" s="857">
        <f>AS303+AT303</f>
        <v>291.81</v>
      </c>
      <c r="AS303" s="977">
        <f>AS$298*AS307</f>
        <v>218.112</v>
      </c>
      <c r="AT303" s="977">
        <f>AT$298*AT307</f>
        <v>73.698</v>
      </c>
      <c r="AU303" s="857">
        <f>AV303+AW303</f>
        <v>291.81</v>
      </c>
      <c r="AV303" s="977">
        <f>AV$298*AV307</f>
        <v>218.112</v>
      </c>
      <c r="AW303" s="977">
        <f>AW$298*AW307</f>
        <v>73.698</v>
      </c>
      <c r="AX303" s="857">
        <f>AY303+AZ303</f>
        <v>291.81</v>
      </c>
      <c r="AY303" s="977">
        <f>AY$298*AY307</f>
        <v>218.112</v>
      </c>
      <c r="AZ303" s="977">
        <f>AZ$298*AZ307</f>
        <v>73.698</v>
      </c>
      <c r="BA303" s="857">
        <f>BB303+BC303</f>
        <v>0</v>
      </c>
      <c r="BB303" s="1768">
        <f>BB$298*BB307</f>
        <v>0</v>
      </c>
      <c r="BC303" s="1768">
        <f>BC$298*BC307</f>
        <v>0</v>
      </c>
      <c r="BD303" s="857">
        <f>BE303+BF303</f>
        <v>0</v>
      </c>
      <c r="BE303" s="1768">
        <f>BE$298*BE307</f>
        <v>0</v>
      </c>
      <c r="BF303" s="1768">
        <f>BF$298*BF307</f>
        <v>0</v>
      </c>
      <c r="BG303" s="857">
        <f>BH303+BI303</f>
        <v>0</v>
      </c>
      <c r="BH303" s="1768">
        <f>BH$298*BH307</f>
        <v>0</v>
      </c>
      <c r="BI303" s="1768">
        <f>BI$298*BI307</f>
        <v>0</v>
      </c>
      <c r="BJ303" s="857">
        <f>BK303+BL303</f>
        <v>0</v>
      </c>
      <c r="BK303" s="1768">
        <f>BK$298*BK307</f>
        <v>0</v>
      </c>
      <c r="BL303" s="1768">
        <f>BL$298*BL307</f>
        <v>0</v>
      </c>
      <c r="BM303" s="857">
        <f>BN303+BO303</f>
        <v>0</v>
      </c>
      <c r="BN303" s="1768">
        <f>BN$298*BN307</f>
        <v>0</v>
      </c>
      <c r="BO303" s="1768">
        <f>BO$298*BO307</f>
        <v>0</v>
      </c>
      <c r="BP303" s="857">
        <f>BQ303+BR303</f>
        <v>291.81</v>
      </c>
      <c r="BQ303" s="977">
        <f>BQ$298*BQ307</f>
        <v>218.112</v>
      </c>
      <c r="BR303" s="977">
        <f>BR$298*BR307</f>
        <v>73.698</v>
      </c>
      <c r="BS303" s="857">
        <f>BT303+BU303</f>
        <v>291.81</v>
      </c>
      <c r="BT303" s="977">
        <f>BT$298*BT307</f>
        <v>218.112</v>
      </c>
      <c r="BU303" s="977">
        <f>BU$298*BU307</f>
        <v>73.698</v>
      </c>
      <c r="BV303" s="857">
        <f>BW303+BX303</f>
        <v>291.81</v>
      </c>
      <c r="BW303" s="977">
        <f>BW$298*BW307</f>
        <v>218.112</v>
      </c>
      <c r="BX303" s="977">
        <f>BX$298*BX307</f>
        <v>73.698</v>
      </c>
      <c r="BY303" s="857">
        <f>BZ303+CA303</f>
        <v>291.81</v>
      </c>
      <c r="BZ303" s="977">
        <f>BZ$298*BZ307</f>
        <v>218.112</v>
      </c>
      <c r="CA303" s="977">
        <f>CA$298*CA307</f>
        <v>73.698</v>
      </c>
      <c r="CB303" s="857">
        <f>CC303+CD303</f>
        <v>291.81</v>
      </c>
      <c r="CC303" s="977">
        <f>CC$298*CC307</f>
        <v>218.112</v>
      </c>
      <c r="CD303" s="977">
        <f>CD$298*CD307</f>
        <v>73.698</v>
      </c>
      <c r="CE303" s="857">
        <f>CF303+CG303</f>
        <v>0</v>
      </c>
      <c r="CF303" s="1768">
        <f>CF$298*CF307</f>
        <v>0</v>
      </c>
      <c r="CG303" s="1768">
        <f>CG$298*CG307</f>
        <v>0</v>
      </c>
      <c r="CH303" s="857">
        <f>CI303+CJ303</f>
        <v>0</v>
      </c>
      <c r="CI303" s="1768">
        <f>CI$298*CI307</f>
        <v>0</v>
      </c>
      <c r="CJ303" s="1768">
        <f>CJ$298*CJ307</f>
        <v>0</v>
      </c>
      <c r="CK303" s="857">
        <f>CL303+CM303</f>
        <v>0</v>
      </c>
      <c r="CL303" s="1768">
        <f>CL$298*CL307</f>
        <v>0</v>
      </c>
      <c r="CM303" s="1768">
        <f>CM$298*CM307</f>
        <v>0</v>
      </c>
      <c r="CN303" s="857">
        <f>CO303+CP303</f>
        <v>0</v>
      </c>
      <c r="CO303" s="1768">
        <f>CO$298*CO307</f>
        <v>0</v>
      </c>
      <c r="CP303" s="1768">
        <f>CP$298*CP307</f>
        <v>0</v>
      </c>
      <c r="CQ303" s="857">
        <f>CR303+CS303</f>
        <v>0</v>
      </c>
      <c r="CR303" s="1768">
        <f>CR$298*CR307</f>
        <v>0</v>
      </c>
      <c r="CS303" s="1768">
        <f>CS$298*CS307</f>
        <v>0</v>
      </c>
      <c r="CT303" s="1730"/>
      <c r="CU303" s="1619"/>
      <c r="CV303" s="1619"/>
      <c r="CW303" s="1170" t="s">
        <v>786</v>
      </c>
      <c r="CX303" s="1175" t="s">
        <v>787</v>
      </c>
      <c r="CY303" s="1179" cm="1" t="str">
        <f t="array" ref="CY303:CY303">AE303</f>
        <v>Уголь бурый</v>
      </c>
      <c r="CZ303" s="1179" cm="1" t="str">
        <f t="array" ref="CZ303:CZ303">AF303</f>
        <v>Б</v>
      </c>
      <c r="DA303" s="1176"/>
      <c r="DB303" s="1176" t="b">
        <v>1</v>
      </c>
    </row>
    <row s="1619" customFormat="1" customHeight="1" ht="16.5">
      <c r="A304" s="1440"/>
      <c r="B304" s="924"/>
      <c r="C304" s="1440"/>
      <c r="D304" s="1440"/>
      <c r="E304" s="794">
        <v>17.1</v>
      </c>
      <c r="F304" s="919" cm="1" t="str">
        <f t="array" ref="F304:F304">OFFSET(G304,-1,-1)</f>
        <v>2</v>
      </c>
      <c r="G304" s="962"/>
      <c r="H304" s="962"/>
      <c r="I304" s="962"/>
      <c r="J304" s="962"/>
      <c r="K304" s="962"/>
      <c r="L304" s="919" cm="1" t="str">
        <f t="array" ref="L304:L304">OFFSET(M304,-1,-1)</f>
        <v>false</v>
      </c>
      <c r="M304" s="962"/>
      <c r="N304" s="962"/>
      <c r="O304" s="962"/>
      <c r="P304" s="962"/>
      <c r="Q304" s="962"/>
      <c r="R304" s="1440"/>
      <c r="S304" s="156" cm="1" t="str">
        <f t="array" ref="S304:S304">OFFSET(T304,-1,-1)</f>
        <v>true</v>
      </c>
      <c r="T304" s="1440"/>
      <c r="U304" s="816">
        <f>AND(S304,IF(ISBLANK(T304),TRUE,T304))</f>
        <v>1</v>
      </c>
      <c r="V304" s="1440"/>
      <c r="W304" s="1440"/>
      <c r="X304" s="970" t="str">
        <f>"{                  
         funcDyn: 'msg',
         blok: 'blok_2',
         wsCross: 'Топливо 4.4',
         linkFormula: 'AE-AE#AF-AF',
         levelDyn: "&amp;Y275&amp;"
}"</f>
        <v>{                  
         funcDyn: 'msg',
         blok: 'blok_2',
         wsCross: 'Топливо 4.4',
         linkFormula: 'AE-AE#AF-AF',
         levelDyn: 2
}</v>
      </c>
      <c r="Y304" s="1440"/>
      <c r="Z304" s="1440"/>
      <c r="AA304" s="817"/>
      <c r="AB304" s="1486"/>
      <c r="AC304" s="1619"/>
      <c r="AD304" s="299"/>
      <c r="AE304" s="900" t="s">
        <v>235</v>
      </c>
      <c r="AF304" s="900"/>
      <c r="AG304" s="900"/>
      <c r="AH304" s="900"/>
      <c r="AI304" s="900"/>
      <c r="AJ304" s="900"/>
      <c r="AK304" s="900"/>
      <c r="AL304" s="900"/>
      <c r="AM304" s="900"/>
      <c r="AN304" s="900"/>
      <c r="AO304" s="900"/>
      <c r="AP304" s="900"/>
      <c r="AQ304" s="900"/>
      <c r="AR304" s="900"/>
      <c r="AS304" s="900"/>
      <c r="AT304" s="900"/>
      <c r="AU304" s="900"/>
      <c r="AV304" s="900"/>
      <c r="AW304" s="900"/>
      <c r="AX304" s="900"/>
      <c r="AY304" s="900"/>
      <c r="AZ304" s="900"/>
      <c r="BA304" s="900"/>
      <c r="BB304" s="900"/>
      <c r="BC304" s="900"/>
      <c r="BD304" s="900"/>
      <c r="BE304" s="900"/>
      <c r="BF304" s="900"/>
      <c r="BG304" s="900"/>
      <c r="BH304" s="900"/>
      <c r="BI304" s="900"/>
      <c r="BJ304" s="900"/>
      <c r="BK304" s="900"/>
      <c r="BL304" s="900"/>
      <c r="BM304" s="900"/>
      <c r="BN304" s="900"/>
      <c r="BO304" s="900"/>
      <c r="BP304" s="900"/>
      <c r="BQ304" s="900"/>
      <c r="BR304" s="900"/>
      <c r="BS304" s="900"/>
      <c r="BT304" s="900"/>
      <c r="BU304" s="900"/>
      <c r="BV304" s="900"/>
      <c r="BW304" s="900"/>
      <c r="BX304" s="900"/>
      <c r="BY304" s="900"/>
      <c r="BZ304" s="900"/>
      <c r="CA304" s="900"/>
      <c r="CB304" s="900"/>
      <c r="CC304" s="900"/>
      <c r="CD304" s="900"/>
      <c r="CE304" s="900"/>
      <c r="CF304" s="900"/>
      <c r="CG304" s="900"/>
      <c r="CH304" s="900"/>
      <c r="CI304" s="900"/>
      <c r="CJ304" s="900"/>
      <c r="CK304" s="900"/>
      <c r="CL304" s="900"/>
      <c r="CM304" s="900"/>
      <c r="CN304" s="900"/>
      <c r="CO304" s="900"/>
      <c r="CP304" s="900"/>
      <c r="CQ304" s="900"/>
      <c r="CR304" s="900"/>
      <c r="CS304" s="900"/>
      <c r="CT304" s="1087"/>
      <c r="CU304" s="1619"/>
      <c r="CV304" s="1619"/>
      <c r="CW304" s="1170" t="str">
        <f>IF(AND(ISNUMBER(VALUE(TRIM(SUBSTITUTE(AD304,".","")))),TRIM(SUBSTITUTE(AD304,".",""))&lt;&gt;""),"P"&amp;SUBSTITUTE(AD304,".",""),"")</f>
        <v/>
      </c>
      <c r="CX304" s="1175"/>
      <c r="CY304" s="1175"/>
      <c r="CZ304" s="1175"/>
      <c r="DA304" s="1176" t="s">
        <v>787</v>
      </c>
      <c r="DB304" s="1176"/>
    </row>
    <row s="1619" customFormat="1" customHeight="1" ht="16.5">
      <c r="A305" s="1440"/>
      <c r="B305" s="924"/>
      <c r="C305" s="1440"/>
      <c r="D305" s="1440"/>
      <c r="E305" s="794">
        <v>17.1</v>
      </c>
      <c r="F305" s="919" cm="1" t="str">
        <f t="array" ref="F305:F305">OFFSET(G305,-1,-1)</f>
        <v>2</v>
      </c>
      <c r="G305" s="962"/>
      <c r="H305" s="962"/>
      <c r="I305" s="962"/>
      <c r="J305" s="962"/>
      <c r="K305" s="962"/>
      <c r="L305" s="919" cm="1" t="str">
        <f t="array" ref="L305:L305">OFFSET(M305,-1,-1)</f>
        <v>false</v>
      </c>
      <c r="M305" s="962"/>
      <c r="N305" s="962"/>
      <c r="O305" s="962"/>
      <c r="P305" s="962"/>
      <c r="Q305" s="962"/>
      <c r="R305" s="1440"/>
      <c r="S305" s="156" cm="1" t="str">
        <f t="array" ref="S305:S305">OFFSET(T305,-1,-1)</f>
        <v>true</v>
      </c>
      <c r="T305" s="1440"/>
      <c r="U305" s="816">
        <f>AND(S305,IF(ISBLANK(T305),TRUE,T305))</f>
        <v>1</v>
      </c>
      <c r="V305" s="1440"/>
      <c r="W305" s="1440"/>
      <c r="X305" s="1440"/>
      <c r="Y305" s="1440"/>
      <c r="Z305" s="1440"/>
      <c r="AA305" s="817"/>
      <c r="AB305" s="1486"/>
      <c r="AC305" s="1619"/>
      <c r="AD305" s="157">
        <v>19</v>
      </c>
      <c r="AE305" s="1521" t="s">
        <v>788</v>
      </c>
      <c r="AF305" s="1522"/>
      <c r="AG305" s="640" t="s">
        <v>490</v>
      </c>
      <c r="AH305" s="899">
        <f>SUM(AH306:AH308)</f>
        <v>0</v>
      </c>
      <c r="AI305" s="899">
        <f>SUM(AI306:AI308)</f>
        <v>0</v>
      </c>
      <c r="AJ305" s="899">
        <f>SUM(AJ306:AJ308)</f>
        <v>0</v>
      </c>
      <c r="AK305" s="899">
        <f>SUM(AK306:AK308)</f>
        <v>0</v>
      </c>
      <c r="AL305" s="899">
        <f>SUM(AL306:AL308)</f>
        <v>1</v>
      </c>
      <c r="AM305" s="899">
        <f>SUM(AM306:AM308)</f>
        <v>1</v>
      </c>
      <c r="AN305" s="899">
        <f>SUM(AN306:AN308)</f>
        <v>1</v>
      </c>
      <c r="AO305" s="899">
        <f>SUM(AO306:AO308)</f>
        <v>1</v>
      </c>
      <c r="AP305" s="899">
        <f>SUM(AP306:AP308)</f>
        <v>1</v>
      </c>
      <c r="AQ305" s="899">
        <f>SUM(AQ306:AQ308)</f>
        <v>1</v>
      </c>
      <c r="AR305" s="899">
        <f>SUM(AR306:AR308)</f>
        <v>1</v>
      </c>
      <c r="AS305" s="899">
        <f>SUM(AS306:AS308)</f>
        <v>1</v>
      </c>
      <c r="AT305" s="899">
        <f>SUM(AT306:AT308)</f>
        <v>1</v>
      </c>
      <c r="AU305" s="899">
        <f>SUM(AU306:AU308)</f>
        <v>1</v>
      </c>
      <c r="AV305" s="899">
        <f>SUM(AV306:AV308)</f>
        <v>1</v>
      </c>
      <c r="AW305" s="899">
        <f>SUM(AW306:AW308)</f>
        <v>1</v>
      </c>
      <c r="AX305" s="899">
        <f>SUM(AX306:AX308)</f>
        <v>1</v>
      </c>
      <c r="AY305" s="899">
        <f>SUM(AY306:AY308)</f>
        <v>1</v>
      </c>
      <c r="AZ305" s="899">
        <f>SUM(AZ306:AZ308)</f>
        <v>1</v>
      </c>
      <c r="BA305" s="899">
        <f>SUM(BA306:BA308)</f>
        <v>0</v>
      </c>
      <c r="BB305" s="899">
        <f>SUM(BB306:BB308)</f>
        <v>0</v>
      </c>
      <c r="BC305" s="899">
        <f>SUM(BC306:BC308)</f>
        <v>0</v>
      </c>
      <c r="BD305" s="899">
        <f>SUM(BD306:BD308)</f>
        <v>0</v>
      </c>
      <c r="BE305" s="899">
        <f>SUM(BE306:BE308)</f>
        <v>0</v>
      </c>
      <c r="BF305" s="899">
        <f>SUM(BF306:BF308)</f>
        <v>0</v>
      </c>
      <c r="BG305" s="899">
        <f>SUM(BG306:BG308)</f>
        <v>0</v>
      </c>
      <c r="BH305" s="899">
        <f>SUM(BH306:BH308)</f>
        <v>0</v>
      </c>
      <c r="BI305" s="899">
        <f>SUM(BI306:BI308)</f>
        <v>0</v>
      </c>
      <c r="BJ305" s="899">
        <f>SUM(BJ306:BJ308)</f>
        <v>0</v>
      </c>
      <c r="BK305" s="899">
        <f>SUM(BK306:BK308)</f>
        <v>0</v>
      </c>
      <c r="BL305" s="899">
        <f>SUM(BL306:BL308)</f>
        <v>0</v>
      </c>
      <c r="BM305" s="899">
        <f>SUM(BM306:BM308)</f>
        <v>0</v>
      </c>
      <c r="BN305" s="899">
        <f>SUM(BN306:BN308)</f>
        <v>0</v>
      </c>
      <c r="BO305" s="899">
        <f>SUM(BO306:BO308)</f>
        <v>0</v>
      </c>
      <c r="BP305" s="899">
        <f>SUM(BP306:BP308)</f>
        <v>1</v>
      </c>
      <c r="BQ305" s="899">
        <f>SUM(BQ306:BQ308)</f>
        <v>1</v>
      </c>
      <c r="BR305" s="899">
        <f>SUM(BR306:BR308)</f>
        <v>1</v>
      </c>
      <c r="BS305" s="899">
        <f>SUM(BS306:BS308)</f>
        <v>1</v>
      </c>
      <c r="BT305" s="899">
        <f>SUM(BT306:BT308)</f>
        <v>1</v>
      </c>
      <c r="BU305" s="899">
        <f>SUM(BU306:BU308)</f>
        <v>1</v>
      </c>
      <c r="BV305" s="899">
        <f>SUM(BV306:BV308)</f>
        <v>1</v>
      </c>
      <c r="BW305" s="899">
        <f>SUM(BW306:BW308)</f>
        <v>1</v>
      </c>
      <c r="BX305" s="899">
        <f>SUM(BX306:BX308)</f>
        <v>1</v>
      </c>
      <c r="BY305" s="899">
        <f>SUM(BY306:BY308)</f>
        <v>1</v>
      </c>
      <c r="BZ305" s="899">
        <f>SUM(BZ306:BZ308)</f>
        <v>1</v>
      </c>
      <c r="CA305" s="899">
        <f>SUM(CA306:CA308)</f>
        <v>1</v>
      </c>
      <c r="CB305" s="899">
        <f>SUM(CB306:CB308)</f>
        <v>1</v>
      </c>
      <c r="CC305" s="899">
        <f>SUM(CC306:CC308)</f>
        <v>1</v>
      </c>
      <c r="CD305" s="899">
        <f>SUM(CD306:CD308)</f>
        <v>1</v>
      </c>
      <c r="CE305" s="899">
        <f>SUM(CE306:CE308)</f>
        <v>0</v>
      </c>
      <c r="CF305" s="899">
        <f>SUM(CF306:CF308)</f>
        <v>0</v>
      </c>
      <c r="CG305" s="899">
        <f>SUM(CG306:CG308)</f>
        <v>0</v>
      </c>
      <c r="CH305" s="899">
        <f>SUM(CH306:CH308)</f>
        <v>0</v>
      </c>
      <c r="CI305" s="899">
        <f>SUM(CI306:CI308)</f>
        <v>0</v>
      </c>
      <c r="CJ305" s="899">
        <f>SUM(CJ306:CJ308)</f>
        <v>0</v>
      </c>
      <c r="CK305" s="899">
        <f>SUM(CK306:CK308)</f>
        <v>0</v>
      </c>
      <c r="CL305" s="899">
        <f>SUM(CL306:CL308)</f>
        <v>0</v>
      </c>
      <c r="CM305" s="899">
        <f>SUM(CM306:CM308)</f>
        <v>0</v>
      </c>
      <c r="CN305" s="899">
        <f>SUM(CN306:CN308)</f>
        <v>0</v>
      </c>
      <c r="CO305" s="899">
        <f>SUM(CO306:CO308)</f>
        <v>0</v>
      </c>
      <c r="CP305" s="899">
        <f>SUM(CP306:CP308)</f>
        <v>0</v>
      </c>
      <c r="CQ305" s="899">
        <f>SUM(CQ306:CQ308)</f>
        <v>0</v>
      </c>
      <c r="CR305" s="899">
        <f>SUM(CR306:CR308)</f>
        <v>0</v>
      </c>
      <c r="CS305" s="899">
        <f>SUM(CS306:CS308)</f>
        <v>0</v>
      </c>
      <c r="CT305" s="1743"/>
      <c r="CU305" s="1619"/>
      <c r="CV305" s="1619"/>
      <c r="CW305" s="1170" t="s">
        <v>789</v>
      </c>
      <c r="CX305" s="1175"/>
      <c r="CY305" s="1175"/>
      <c r="CZ305" s="1175"/>
      <c r="DA305" s="1176"/>
      <c r="DB305" s="1176"/>
    </row>
    <row s="1619" customFormat="1" customHeight="1" ht="16.5" hidden="1">
      <c r="E306" s="794">
        <v>17.1</v>
      </c>
      <c r="F306" s="919" cm="1" t="str">
        <f t="array" ref="F306:F306">OFFSET(G306,-1,-1)</f>
        <v>2</v>
      </c>
      <c r="L306" s="919" cm="1" t="str">
        <f t="array" ref="L306:L306">OFFSET(M306,-1,-1)</f>
        <v>false</v>
      </c>
      <c r="S306" s="156" cm="1" t="str">
        <f t="array" ref="S306:S306">OFFSET(T306,-1,-1)</f>
        <v>true</v>
      </c>
      <c r="T306" s="156">
        <f>AD306&lt;&gt;"19.0"</f>
        <v>0</v>
      </c>
      <c r="U306" s="816">
        <f>AND(S306,IF(ISBLANK(T306),TRUE,T306))</f>
        <v>0</v>
      </c>
      <c r="X306" s="156" t="s">
        <v>233</v>
      </c>
      <c r="AB306" s="1486"/>
      <c r="AD306" s="157" t="s">
        <v>790</v>
      </c>
      <c r="AE306" s="971"/>
      <c r="AF306" s="622"/>
      <c r="AG306" s="157" t="s">
        <v>490</v>
      </c>
      <c r="AH306" s="90"/>
      <c r="AI306" s="90">
        <f>_xlfn.IFERROR(AI302/AI$300,0)</f>
        <v>0</v>
      </c>
      <c r="AJ306" s="90">
        <f>_xlfn.IFERROR(AJ302/AJ$300,0)</f>
        <v>0</v>
      </c>
      <c r="AK306" s="90"/>
      <c r="AL306" s="863">
        <f>_xlfn.IFERROR(AL302/AL$298,0)</f>
        <v>0</v>
      </c>
      <c r="AM306" s="90"/>
      <c r="AN306" s="90"/>
      <c r="AO306" s="863">
        <f>_xlfn.IFERROR(AO302/AO$298,0)</f>
        <v>0</v>
      </c>
      <c r="AP306" s="978"/>
      <c r="AQ306" s="978"/>
      <c r="AR306" s="863">
        <f>_xlfn.IFERROR(AR302/AR$298,0)</f>
        <v>0</v>
      </c>
      <c r="AS306" s="978"/>
      <c r="AT306" s="978"/>
      <c r="AU306" s="863">
        <f>_xlfn.IFERROR(AU302/AU$298,0)</f>
        <v>0</v>
      </c>
      <c r="AV306" s="978"/>
      <c r="AW306" s="978"/>
      <c r="AX306" s="863">
        <f>_xlfn.IFERROR(AX302/AX$298,0)</f>
        <v>0</v>
      </c>
      <c r="AY306" s="978"/>
      <c r="AZ306" s="978"/>
      <c r="BA306" s="863">
        <f>_xlfn.IFERROR(BA302/BA$298,0)</f>
        <v>0</v>
      </c>
      <c r="BB306" s="90"/>
      <c r="BC306" s="90"/>
      <c r="BD306" s="863">
        <f>_xlfn.IFERROR(BD302/BD$298,0)</f>
        <v>0</v>
      </c>
      <c r="BE306" s="90"/>
      <c r="BF306" s="90"/>
      <c r="BG306" s="863">
        <f>_xlfn.IFERROR(BG302/BG$298,0)</f>
        <v>0</v>
      </c>
      <c r="BH306" s="90"/>
      <c r="BI306" s="90"/>
      <c r="BJ306" s="863">
        <f>_xlfn.IFERROR(BJ302/BJ$298,0)</f>
        <v>0</v>
      </c>
      <c r="BK306" s="90"/>
      <c r="BL306" s="90"/>
      <c r="BM306" s="863">
        <f>_xlfn.IFERROR(BM302/BM$298,0)</f>
        <v>0</v>
      </c>
      <c r="BN306" s="90"/>
      <c r="BO306" s="90"/>
      <c r="BP306" s="863">
        <f>_xlfn.IFERROR(BP302/BP$298,0)</f>
        <v>0</v>
      </c>
      <c r="BQ306" s="978"/>
      <c r="BR306" s="978"/>
      <c r="BS306" s="863">
        <f>_xlfn.IFERROR(BS302/BS$298,0)</f>
        <v>0</v>
      </c>
      <c r="BT306" s="978"/>
      <c r="BU306" s="978"/>
      <c r="BV306" s="863">
        <f>_xlfn.IFERROR(BV302/BV$298,0)</f>
        <v>0</v>
      </c>
      <c r="BW306" s="978"/>
      <c r="BX306" s="978"/>
      <c r="BY306" s="863">
        <f>_xlfn.IFERROR(BY302/BY$298,0)</f>
        <v>0</v>
      </c>
      <c r="BZ306" s="978"/>
      <c r="CA306" s="978"/>
      <c r="CB306" s="863">
        <f>_xlfn.IFERROR(CB302/CB$298,0)</f>
        <v>0</v>
      </c>
      <c r="CC306" s="978"/>
      <c r="CD306" s="978"/>
      <c r="CE306" s="863">
        <f>_xlfn.IFERROR(CE302/CE$298,0)</f>
        <v>0</v>
      </c>
      <c r="CF306" s="90"/>
      <c r="CG306" s="90"/>
      <c r="CH306" s="863">
        <f>_xlfn.IFERROR(CH302/CH$298,0)</f>
        <v>0</v>
      </c>
      <c r="CI306" s="90"/>
      <c r="CJ306" s="90"/>
      <c r="CK306" s="863">
        <f>_xlfn.IFERROR(CK302/CK$298,0)</f>
        <v>0</v>
      </c>
      <c r="CL306" s="90"/>
      <c r="CM306" s="90"/>
      <c r="CN306" s="863">
        <f>_xlfn.IFERROR(CN302/CN$298,0)</f>
        <v>0</v>
      </c>
      <c r="CO306" s="90"/>
      <c r="CP306" s="90"/>
      <c r="CQ306" s="863">
        <f>_xlfn.IFERROR(CQ302/CQ$298,0)</f>
        <v>0</v>
      </c>
      <c r="CR306" s="90"/>
      <c r="CS306" s="90"/>
      <c r="CT306" s="73"/>
      <c r="CW306" s="1170" t="s">
        <v>789</v>
      </c>
      <c r="CX306" s="1175" t="s">
        <v>787</v>
      </c>
      <c r="CY306" s="1179" cm="1" t="str">
        <f t="array" ref="CY306:CY306">AE306</f>
        <v>0</v>
      </c>
      <c r="CZ306" s="1179" cm="1" t="str">
        <f t="array" ref="CZ306:CZ306">AF306</f>
        <v>0</v>
      </c>
      <c r="DA306" s="1176"/>
      <c r="DB306" s="1176"/>
    </row>
    <row s="1619" customFormat="1" customHeight="1" ht="16.5">
      <c r="A307" s="1619"/>
      <c r="B307" s="1619"/>
      <c r="C307" s="1619"/>
      <c r="D307" s="1619"/>
      <c r="E307" s="794">
        <v>17.1</v>
      </c>
      <c r="F307" s="919" cm="1" t="str">
        <f t="array" ref="F307:F307">OFFSET(G307,-1,-1)</f>
        <v>2</v>
      </c>
      <c r="G307" s="1619"/>
      <c r="H307" s="1619"/>
      <c r="I307" s="1619"/>
      <c r="J307" s="1619"/>
      <c r="K307" s="1619"/>
      <c r="L307" s="919" cm="1" t="str">
        <f t="array" ref="L307:L307">OFFSET(M307,-1,-1)</f>
        <v>false</v>
      </c>
      <c r="M307" s="1619"/>
      <c r="N307" s="1619"/>
      <c r="O307" s="1619"/>
      <c r="P307" s="1619"/>
      <c r="Q307" s="1619"/>
      <c r="R307" s="1619"/>
      <c r="S307" s="156" cm="1" t="str">
        <f t="array" ref="S307:S307">OFFSET(T307,-1,-1)</f>
        <v>true</v>
      </c>
      <c r="T307" s="156">
        <f>AD307&lt;&gt;"19.0"</f>
        <v>1</v>
      </c>
      <c r="U307" s="816">
        <f>AND(S307,IF(ISBLANK(T307),TRUE,T307))</f>
        <v>1</v>
      </c>
      <c r="V307" s="1619"/>
      <c r="W307" s="1619"/>
      <c r="X307" s="156" t="str">
        <f>'Топливо 4.4'!$AE$303&amp;'Топливо 4.4'!$AF$303</f>
        <v>Уголь бурыйБ</v>
      </c>
      <c r="Y307" s="1619"/>
      <c r="Z307" s="1619"/>
      <c r="AA307" s="1619"/>
      <c r="AB307" s="1486"/>
      <c r="AC307" s="1619"/>
      <c r="AD307" s="157" t="s">
        <v>899</v>
      </c>
      <c r="AE307" s="971" cm="1" t="str">
        <f t="array" ref="AE307:AE307">IF(ISBLANK('Топливо 4.4'!$AE$303),"",'Топливо 4.4'!$AE$303)</f>
        <v>Уголь бурый</v>
      </c>
      <c r="AF307" s="622" cm="1" t="str">
        <f t="array" ref="AF307:AF307">IF(ISBLANK('Топливо 4.4'!$AF$303),"",'Топливо 4.4'!$AF$303)</f>
        <v>Б</v>
      </c>
      <c r="AG307" s="157" t="s">
        <v>490</v>
      </c>
      <c r="AH307" s="1772"/>
      <c r="AI307" s="1772">
        <f>_xlfn.IFERROR(AI303/AI$300,0)</f>
        <v>0</v>
      </c>
      <c r="AJ307" s="1772">
        <f>_xlfn.IFERROR(AJ303/AJ$300,0)</f>
        <v>0</v>
      </c>
      <c r="AK307" s="1772"/>
      <c r="AL307" s="863">
        <f>_xlfn.IFERROR(AL303/AL$298,0)</f>
        <v>1</v>
      </c>
      <c r="AM307" s="1772">
        <v>1</v>
      </c>
      <c r="AN307" s="1772">
        <v>1</v>
      </c>
      <c r="AO307" s="863">
        <f>_xlfn.IFERROR(AO303/AO$298,0)</f>
        <v>1</v>
      </c>
      <c r="AP307" s="978">
        <v>1</v>
      </c>
      <c r="AQ307" s="978">
        <v>1</v>
      </c>
      <c r="AR307" s="863">
        <f>_xlfn.IFERROR(AR303/AR$298,0)</f>
        <v>1</v>
      </c>
      <c r="AS307" s="978">
        <v>1</v>
      </c>
      <c r="AT307" s="978">
        <v>1</v>
      </c>
      <c r="AU307" s="863">
        <f>_xlfn.IFERROR(AU303/AU$298,0)</f>
        <v>1</v>
      </c>
      <c r="AV307" s="978">
        <v>1</v>
      </c>
      <c r="AW307" s="978">
        <v>1</v>
      </c>
      <c r="AX307" s="863">
        <f>_xlfn.IFERROR(AX303/AX$298,0)</f>
        <v>1</v>
      </c>
      <c r="AY307" s="978">
        <v>1</v>
      </c>
      <c r="AZ307" s="978">
        <v>1</v>
      </c>
      <c r="BA307" s="863">
        <f>_xlfn.IFERROR(BA303/BA$298,0)</f>
        <v>0</v>
      </c>
      <c r="BB307" s="1772"/>
      <c r="BC307" s="1772"/>
      <c r="BD307" s="863">
        <f>_xlfn.IFERROR(BD303/BD$298,0)</f>
        <v>0</v>
      </c>
      <c r="BE307" s="1772"/>
      <c r="BF307" s="1772"/>
      <c r="BG307" s="863">
        <f>_xlfn.IFERROR(BG303/BG$298,0)</f>
        <v>0</v>
      </c>
      <c r="BH307" s="1772"/>
      <c r="BI307" s="1772"/>
      <c r="BJ307" s="863">
        <f>_xlfn.IFERROR(BJ303/BJ$298,0)</f>
        <v>0</v>
      </c>
      <c r="BK307" s="1772"/>
      <c r="BL307" s="1772"/>
      <c r="BM307" s="863">
        <f>_xlfn.IFERROR(BM303/BM$298,0)</f>
        <v>0</v>
      </c>
      <c r="BN307" s="1772"/>
      <c r="BO307" s="1772"/>
      <c r="BP307" s="863">
        <f>_xlfn.IFERROR(BP303/BP$298,0)</f>
        <v>1</v>
      </c>
      <c r="BQ307" s="978">
        <v>1</v>
      </c>
      <c r="BR307" s="978">
        <v>1</v>
      </c>
      <c r="BS307" s="863">
        <f>_xlfn.IFERROR(BS303/BS$298,0)</f>
        <v>1</v>
      </c>
      <c r="BT307" s="978">
        <v>1</v>
      </c>
      <c r="BU307" s="978">
        <v>1</v>
      </c>
      <c r="BV307" s="863">
        <f>_xlfn.IFERROR(BV303/BV$298,0)</f>
        <v>1</v>
      </c>
      <c r="BW307" s="978">
        <v>1</v>
      </c>
      <c r="BX307" s="978">
        <v>1</v>
      </c>
      <c r="BY307" s="863">
        <f>_xlfn.IFERROR(BY303/BY$298,0)</f>
        <v>1</v>
      </c>
      <c r="BZ307" s="978">
        <v>1</v>
      </c>
      <c r="CA307" s="978">
        <v>1</v>
      </c>
      <c r="CB307" s="863">
        <f>_xlfn.IFERROR(CB303/CB$298,0)</f>
        <v>1</v>
      </c>
      <c r="CC307" s="978">
        <v>1</v>
      </c>
      <c r="CD307" s="978">
        <v>1</v>
      </c>
      <c r="CE307" s="863">
        <f>_xlfn.IFERROR(CE303/CE$298,0)</f>
        <v>0</v>
      </c>
      <c r="CF307" s="1772"/>
      <c r="CG307" s="1772"/>
      <c r="CH307" s="863">
        <f>_xlfn.IFERROR(CH303/CH$298,0)</f>
        <v>0</v>
      </c>
      <c r="CI307" s="1772"/>
      <c r="CJ307" s="1772"/>
      <c r="CK307" s="863">
        <f>_xlfn.IFERROR(CK303/CK$298,0)</f>
        <v>0</v>
      </c>
      <c r="CL307" s="1772"/>
      <c r="CM307" s="1772"/>
      <c r="CN307" s="863">
        <f>_xlfn.IFERROR(CN303/CN$298,0)</f>
        <v>0</v>
      </c>
      <c r="CO307" s="1772"/>
      <c r="CP307" s="1772"/>
      <c r="CQ307" s="863">
        <f>_xlfn.IFERROR(CQ303/CQ$298,0)</f>
        <v>0</v>
      </c>
      <c r="CR307" s="1772"/>
      <c r="CS307" s="1772"/>
      <c r="CT307" s="1730"/>
      <c r="CU307" s="1619"/>
      <c r="CV307" s="1619"/>
      <c r="CW307" s="1170" t="s">
        <v>789</v>
      </c>
      <c r="CX307" s="1175" t="s">
        <v>787</v>
      </c>
      <c r="CY307" s="1179" cm="1" t="str">
        <f t="array" ref="CY307:CY307">AE307</f>
        <v>Уголь бурый</v>
      </c>
      <c r="CZ307" s="1179" cm="1" t="str">
        <f t="array" ref="CZ307:CZ307">AF307</f>
        <v>Б</v>
      </c>
      <c r="DA307" s="1176"/>
      <c r="DB307" s="1176"/>
    </row>
    <row s="1619" customFormat="1" customHeight="1" ht="17.25" hidden="1">
      <c r="A308" s="1440"/>
      <c r="B308" s="924"/>
      <c r="C308" s="1440"/>
      <c r="D308" s="1440"/>
      <c r="E308" s="794">
        <v>0</v>
      </c>
      <c r="F308" s="919" cm="1" t="str">
        <f t="array" ref="F308:F308">OFFSET(G308,-1,-1)</f>
        <v>2</v>
      </c>
      <c r="G308" s="962"/>
      <c r="H308" s="962"/>
      <c r="I308" s="962"/>
      <c r="J308" s="962"/>
      <c r="K308" s="962"/>
      <c r="L308" s="919" cm="1" t="str">
        <f t="array" ref="L308:L308">OFFSET(M308,-1,-1)</f>
        <v>false</v>
      </c>
      <c r="M308" s="962"/>
      <c r="N308" s="962"/>
      <c r="O308" s="962"/>
      <c r="P308" s="962"/>
      <c r="Q308" s="962"/>
      <c r="R308" s="1440"/>
      <c r="S308" s="156" cm="1" t="str">
        <f t="array" ref="S308:S308">OFFSET(T308,-1,-1)</f>
        <v>true</v>
      </c>
      <c r="T308" s="1440"/>
      <c r="U308" s="816">
        <f>AND(S308,IF(ISBLANK(T308),TRUE,T308))</f>
        <v>1</v>
      </c>
      <c r="V308" s="1440"/>
      <c r="W308" s="1440"/>
      <c r="X308" s="970" t="str">
        <f>"{                  
         funcDyn: 'msg1',
         blok: 'blok_2',
         wsCross: 'Топливо 4.4',
         linkFormula: 'AE-AE#AF-AF',
         levelDyn: "&amp;Y275&amp;"
}"</f>
        <v>{                  
         funcDyn: 'msg1',
         blok: 'blok_2',
         wsCross: 'Топливо 4.4',
         linkFormula: 'AE-AE#AF-AF',
         levelDyn: 2
}</v>
      </c>
      <c r="Y308" s="1440"/>
      <c r="Z308" s="1440"/>
      <c r="AA308" s="817"/>
      <c r="AB308" s="1486"/>
      <c r="AC308" s="1619"/>
      <c r="AD308" s="973"/>
      <c r="AE308" s="972" t="s">
        <v>235</v>
      </c>
      <c r="AF308" s="871"/>
      <c r="AG308" s="648"/>
      <c r="AH308" s="873"/>
      <c r="AI308" s="873"/>
      <c r="AJ308" s="873"/>
      <c r="AK308" s="873"/>
      <c r="AL308" s="873"/>
      <c r="AM308" s="873"/>
      <c r="AN308" s="873"/>
      <c r="AO308" s="873"/>
      <c r="AP308" s="873"/>
      <c r="AQ308" s="873"/>
      <c r="AR308" s="873"/>
      <c r="AS308" s="873"/>
      <c r="AT308" s="873"/>
      <c r="AU308" s="873"/>
      <c r="AV308" s="873"/>
      <c r="AW308" s="873"/>
      <c r="AX308" s="873"/>
      <c r="AY308" s="873"/>
      <c r="AZ308" s="873"/>
      <c r="BA308" s="873"/>
      <c r="BB308" s="873"/>
      <c r="BC308" s="873"/>
      <c r="BD308" s="873"/>
      <c r="BE308" s="873"/>
      <c r="BF308" s="873"/>
      <c r="BG308" s="873"/>
      <c r="BH308" s="873"/>
      <c r="BI308" s="873"/>
      <c r="BJ308" s="873"/>
      <c r="BK308" s="873"/>
      <c r="BL308" s="873"/>
      <c r="BM308" s="873"/>
      <c r="BN308" s="873"/>
      <c r="BO308" s="873"/>
      <c r="BP308" s="873"/>
      <c r="BQ308" s="873"/>
      <c r="BR308" s="873"/>
      <c r="BS308" s="873"/>
      <c r="BT308" s="873"/>
      <c r="BU308" s="873"/>
      <c r="BV308" s="873"/>
      <c r="BW308" s="873"/>
      <c r="BX308" s="873"/>
      <c r="BY308" s="873"/>
      <c r="BZ308" s="873"/>
      <c r="CA308" s="873"/>
      <c r="CB308" s="873"/>
      <c r="CC308" s="873"/>
      <c r="CD308" s="873"/>
      <c r="CE308" s="873"/>
      <c r="CF308" s="873"/>
      <c r="CG308" s="873"/>
      <c r="CH308" s="873"/>
      <c r="CI308" s="873"/>
      <c r="CJ308" s="873"/>
      <c r="CK308" s="873"/>
      <c r="CL308" s="873"/>
      <c r="CM308" s="873"/>
      <c r="CN308" s="873"/>
      <c r="CO308" s="873"/>
      <c r="CP308" s="873"/>
      <c r="CQ308" s="873"/>
      <c r="CR308" s="873"/>
      <c r="CS308" s="873"/>
      <c r="CT308" s="91"/>
      <c r="CU308" s="1619"/>
      <c r="CV308" s="1619"/>
      <c r="CW308" s="1170" t="str">
        <f>IF(AND(ISNUMBER(VALUE(TRIM(SUBSTITUTE(AD308,".","")))),TRIM(SUBSTITUTE(AD308,".",""))&lt;&gt;""),"P"&amp;SUBSTITUTE(AD308,".",""),"")</f>
        <v/>
      </c>
      <c r="CX308" s="1175"/>
      <c r="CY308" s="1175"/>
      <c r="CZ308" s="1175"/>
      <c r="DA308" s="1176"/>
      <c r="DB308" s="1176"/>
    </row>
    <row s="1619" customFormat="1" customHeight="1" ht="16.5">
      <c r="A309" s="1440"/>
      <c r="B309" s="924"/>
      <c r="C309" s="1440"/>
      <c r="D309" s="1440"/>
      <c r="E309" s="794">
        <v>17.1</v>
      </c>
      <c r="F309" s="919" cm="1" t="str">
        <f t="array" ref="F309:F309">OFFSET(G309,-1,-1)</f>
        <v>2</v>
      </c>
      <c r="G309" s="962"/>
      <c r="H309" s="962"/>
      <c r="I309" s="962"/>
      <c r="J309" s="962"/>
      <c r="K309" s="962"/>
      <c r="L309" s="919" cm="1" t="str">
        <f t="array" ref="L309:L309">OFFSET(M309,-1,-1)</f>
        <v>false</v>
      </c>
      <c r="M309" s="962"/>
      <c r="N309" s="962"/>
      <c r="O309" s="962"/>
      <c r="P309" s="962"/>
      <c r="Q309" s="962"/>
      <c r="R309" s="1440"/>
      <c r="S309" s="156" cm="1" t="str">
        <f t="array" ref="S309:S309">OFFSET(T309,-1,-1)</f>
        <v>true</v>
      </c>
      <c r="T309" s="1440"/>
      <c r="U309" s="816">
        <f>AND(S309,IF(ISBLANK(T309),TRUE,T309))</f>
        <v>1</v>
      </c>
      <c r="V309" s="1440"/>
      <c r="W309" s="1440"/>
      <c r="X309" s="1440"/>
      <c r="Y309" s="1440"/>
      <c r="Z309" s="1440"/>
      <c r="AA309" s="817"/>
      <c r="AB309" s="1486"/>
      <c r="AC309" s="1619"/>
      <c r="AD309" s="157">
        <v>20</v>
      </c>
      <c r="AE309" s="1495" t="s">
        <v>791</v>
      </c>
      <c r="AF309" s="165"/>
      <c r="AG309" s="738"/>
      <c r="AH309" s="858"/>
      <c r="AI309" s="860"/>
      <c r="AJ309" s="860"/>
      <c r="AK309" s="860"/>
      <c r="AL309" s="860"/>
      <c r="AM309" s="860"/>
      <c r="AN309" s="860"/>
      <c r="AO309" s="860"/>
      <c r="AP309" s="860"/>
      <c r="AQ309" s="860"/>
      <c r="AR309" s="860"/>
      <c r="AS309" s="860"/>
      <c r="AT309" s="860"/>
      <c r="AU309" s="860"/>
      <c r="AV309" s="860"/>
      <c r="AW309" s="860"/>
      <c r="AX309" s="860"/>
      <c r="AY309" s="860"/>
      <c r="AZ309" s="860"/>
      <c r="BA309" s="860"/>
      <c r="BB309" s="860"/>
      <c r="BC309" s="860"/>
      <c r="BD309" s="860"/>
      <c r="BE309" s="860"/>
      <c r="BF309" s="860"/>
      <c r="BG309" s="860"/>
      <c r="BH309" s="860"/>
      <c r="BI309" s="860"/>
      <c r="BJ309" s="860"/>
      <c r="BK309" s="860"/>
      <c r="BL309" s="860"/>
      <c r="BM309" s="860"/>
      <c r="BN309" s="860"/>
      <c r="BO309" s="860"/>
      <c r="BP309" s="860"/>
      <c r="BQ309" s="860"/>
      <c r="BR309" s="860"/>
      <c r="BS309" s="860"/>
      <c r="BT309" s="860"/>
      <c r="BU309" s="860"/>
      <c r="BV309" s="860"/>
      <c r="BW309" s="860"/>
      <c r="BX309" s="860"/>
      <c r="BY309" s="860"/>
      <c r="BZ309" s="860"/>
      <c r="CA309" s="860"/>
      <c r="CB309" s="860"/>
      <c r="CC309" s="860"/>
      <c r="CD309" s="860"/>
      <c r="CE309" s="860"/>
      <c r="CF309" s="860"/>
      <c r="CG309" s="860"/>
      <c r="CH309" s="860"/>
      <c r="CI309" s="860"/>
      <c r="CJ309" s="860"/>
      <c r="CK309" s="860"/>
      <c r="CL309" s="860"/>
      <c r="CM309" s="860"/>
      <c r="CN309" s="860"/>
      <c r="CO309" s="860"/>
      <c r="CP309" s="860"/>
      <c r="CQ309" s="860"/>
      <c r="CR309" s="860"/>
      <c r="CS309" s="860"/>
      <c r="CT309" s="1730"/>
      <c r="CU309" s="1619"/>
      <c r="CV309" s="1619"/>
      <c r="CW309" s="1170" t="s">
        <v>792</v>
      </c>
      <c r="CX309" s="1175"/>
      <c r="CY309" s="1175"/>
      <c r="CZ309" s="1175"/>
      <c r="DA309" s="1176"/>
      <c r="DB309" s="1176"/>
    </row>
    <row s="1619" customFormat="1" customHeight="1" ht="16.5" hidden="1">
      <c r="E310" s="794">
        <v>17.1</v>
      </c>
      <c r="F310" s="919" cm="1" t="str">
        <f t="array" ref="F310:F310">OFFSET(G310,-1,-1)</f>
        <v>2</v>
      </c>
      <c r="L310" s="919" cm="1" t="str">
        <f t="array" ref="L310:L310">OFFSET(M310,-1,-1)</f>
        <v>false</v>
      </c>
      <c r="S310" s="156" cm="1" t="str">
        <f t="array" ref="S310:S310">OFFSET(T310,-1,-1)</f>
        <v>true</v>
      </c>
      <c r="T310" s="156">
        <f>AD310&lt;&gt;"20.0"</f>
        <v>0</v>
      </c>
      <c r="U310" s="816">
        <f>AND(S310,IF(ISBLANK(T310),TRUE,T310))</f>
        <v>0</v>
      </c>
      <c r="X310" s="156" t="s">
        <v>233</v>
      </c>
      <c r="AB310" s="1486"/>
      <c r="AD310" s="157" t="s">
        <v>793</v>
      </c>
      <c r="AE310" s="971"/>
      <c r="AF310" s="622"/>
      <c r="AG310" s="738"/>
      <c r="AH310" s="86"/>
      <c r="AI310" s="87"/>
      <c r="AJ310" s="87"/>
      <c r="AK310" s="87"/>
      <c r="AL310" s="859">
        <f>_xlfn.IFERROR(AL302/AL314,0)</f>
        <v>0</v>
      </c>
      <c r="AM310" s="87"/>
      <c r="AN310" s="87" cm="1" t="str">
        <f t="array" ref="AN310:AN310">AM310</f>
        <v>0</v>
      </c>
      <c r="AO310" s="859">
        <f>_xlfn.IFERROR(AO302/AO314,0)</f>
        <v>0</v>
      </c>
      <c r="AP310" s="976"/>
      <c r="AQ310" s="976" cm="1" t="str">
        <f t="array" ref="AQ310:AQ310">AP310</f>
        <v>0</v>
      </c>
      <c r="AR310" s="859">
        <f>_xlfn.IFERROR(AR302/AR314,0)</f>
        <v>0</v>
      </c>
      <c r="AS310" s="976"/>
      <c r="AT310" s="976" cm="1" t="str">
        <f t="array" ref="AT310:AT310">AS310</f>
        <v>0</v>
      </c>
      <c r="AU310" s="859">
        <f>_xlfn.IFERROR(AU302/AU314,0)</f>
        <v>0</v>
      </c>
      <c r="AV310" s="976"/>
      <c r="AW310" s="976" cm="1" t="str">
        <f t="array" ref="AW310:AW310">AV310</f>
        <v>0</v>
      </c>
      <c r="AX310" s="859">
        <f>_xlfn.IFERROR(AX302/AX314,0)</f>
        <v>0</v>
      </c>
      <c r="AY310" s="976"/>
      <c r="AZ310" s="976" cm="1" t="str">
        <f t="array" ref="AZ310:AZ310">AY310</f>
        <v>0</v>
      </c>
      <c r="BA310" s="859">
        <f>_xlfn.IFERROR(BA302/BA314,0)</f>
        <v>0</v>
      </c>
      <c r="BB310" s="87"/>
      <c r="BC310" s="87" cm="1" t="str">
        <f t="array" ref="BC310:BC310">BB310</f>
        <v>0</v>
      </c>
      <c r="BD310" s="859">
        <f>_xlfn.IFERROR(BD302/BD314,0)</f>
        <v>0</v>
      </c>
      <c r="BE310" s="87"/>
      <c r="BF310" s="87" cm="1" t="str">
        <f t="array" ref="BF310:BF310">BE310</f>
        <v>0</v>
      </c>
      <c r="BG310" s="859">
        <f>_xlfn.IFERROR(BG302/BG314,0)</f>
        <v>0</v>
      </c>
      <c r="BH310" s="87"/>
      <c r="BI310" s="87" cm="1" t="str">
        <f t="array" ref="BI310:BI310">BH310</f>
        <v>0</v>
      </c>
      <c r="BJ310" s="859">
        <f>_xlfn.IFERROR(BJ302/BJ314,0)</f>
        <v>0</v>
      </c>
      <c r="BK310" s="87"/>
      <c r="BL310" s="87" cm="1" t="str">
        <f t="array" ref="BL310:BL310">BK310</f>
        <v>0</v>
      </c>
      <c r="BM310" s="859">
        <f>_xlfn.IFERROR(BM302/BM314,0)</f>
        <v>0</v>
      </c>
      <c r="BN310" s="87"/>
      <c r="BO310" s="87" cm="1" t="str">
        <f t="array" ref="BO310:BO310">BN310</f>
        <v>0</v>
      </c>
      <c r="BP310" s="859">
        <f>_xlfn.IFERROR(BP302/BP314,0)</f>
        <v>0</v>
      </c>
      <c r="BQ310" s="976"/>
      <c r="BR310" s="976" cm="1" t="str">
        <f t="array" ref="BR310:BR310">BQ310</f>
        <v>0</v>
      </c>
      <c r="BS310" s="859">
        <f>_xlfn.IFERROR(BS302/BS314,0)</f>
        <v>0</v>
      </c>
      <c r="BT310" s="976"/>
      <c r="BU310" s="976" cm="1" t="str">
        <f t="array" ref="BU310:BU310">BT310</f>
        <v>0</v>
      </c>
      <c r="BV310" s="859">
        <f>_xlfn.IFERROR(BV302/BV314,0)</f>
        <v>0</v>
      </c>
      <c r="BW310" s="976"/>
      <c r="BX310" s="976" cm="1" t="str">
        <f t="array" ref="BX310:BX310">BW310</f>
        <v>0</v>
      </c>
      <c r="BY310" s="859">
        <f>_xlfn.IFERROR(BY302/BY314,0)</f>
        <v>0</v>
      </c>
      <c r="BZ310" s="976"/>
      <c r="CA310" s="976" cm="1" t="str">
        <f t="array" ref="CA310:CA310">BZ310</f>
        <v>0</v>
      </c>
      <c r="CB310" s="859">
        <f>_xlfn.IFERROR(CB302/CB314,0)</f>
        <v>0</v>
      </c>
      <c r="CC310" s="976"/>
      <c r="CD310" s="976" cm="1" t="str">
        <f t="array" ref="CD310:CD310">CC310</f>
        <v>0</v>
      </c>
      <c r="CE310" s="859">
        <f>_xlfn.IFERROR(CE302/CE314,0)</f>
        <v>0</v>
      </c>
      <c r="CF310" s="87"/>
      <c r="CG310" s="87" cm="1" t="str">
        <f t="array" ref="CG310:CG310">CF310</f>
        <v>0</v>
      </c>
      <c r="CH310" s="859">
        <f>_xlfn.IFERROR(CH302/CH314,0)</f>
        <v>0</v>
      </c>
      <c r="CI310" s="87"/>
      <c r="CJ310" s="87" cm="1" t="str">
        <f t="array" ref="CJ310:CJ310">CI310</f>
        <v>0</v>
      </c>
      <c r="CK310" s="859">
        <f>_xlfn.IFERROR(CK302/CK314,0)</f>
        <v>0</v>
      </c>
      <c r="CL310" s="87"/>
      <c r="CM310" s="87" cm="1" t="str">
        <f t="array" ref="CM310:CM310">CL310</f>
        <v>0</v>
      </c>
      <c r="CN310" s="859">
        <f>_xlfn.IFERROR(CN302/CN314,0)</f>
        <v>0</v>
      </c>
      <c r="CO310" s="87"/>
      <c r="CP310" s="87" cm="1" t="str">
        <f t="array" ref="CP310:CP310">CO310</f>
        <v>0</v>
      </c>
      <c r="CQ310" s="859">
        <f>_xlfn.IFERROR(CQ302/CQ314,0)</f>
        <v>0</v>
      </c>
      <c r="CR310" s="87"/>
      <c r="CS310" s="87" cm="1" t="str">
        <f t="array" ref="CS310:CS310">CR310</f>
        <v>0</v>
      </c>
      <c r="CT310" s="73"/>
      <c r="CW310" s="1170" t="s">
        <v>792</v>
      </c>
      <c r="CX310" s="1175" t="s">
        <v>787</v>
      </c>
      <c r="CY310" s="1179" cm="1" t="str">
        <f t="array" ref="CY310:CY310">AE310</f>
        <v>0</v>
      </c>
      <c r="CZ310" s="1179" cm="1" t="str">
        <f t="array" ref="CZ310:CZ310">AF310</f>
        <v>0</v>
      </c>
      <c r="DA310" s="1176"/>
      <c r="DB310" s="1176"/>
    </row>
    <row s="1619" customFormat="1" customHeight="1" ht="16.5">
      <c r="A311" s="1619"/>
      <c r="B311" s="1619"/>
      <c r="C311" s="1619"/>
      <c r="D311" s="1619"/>
      <c r="E311" s="794">
        <v>17.1</v>
      </c>
      <c r="F311" s="919" cm="1" t="str">
        <f t="array" ref="F311:F311">OFFSET(G311,-1,-1)</f>
        <v>2</v>
      </c>
      <c r="G311" s="1619"/>
      <c r="H311" s="1619"/>
      <c r="I311" s="1619"/>
      <c r="J311" s="1619"/>
      <c r="K311" s="1619"/>
      <c r="L311" s="919" cm="1" t="str">
        <f t="array" ref="L311:L311">OFFSET(M311,-1,-1)</f>
        <v>false</v>
      </c>
      <c r="M311" s="1619"/>
      <c r="N311" s="1619"/>
      <c r="O311" s="1619"/>
      <c r="P311" s="1619"/>
      <c r="Q311" s="1619"/>
      <c r="R311" s="1619"/>
      <c r="S311" s="156" cm="1" t="str">
        <f t="array" ref="S311:S311">OFFSET(T311,-1,-1)</f>
        <v>true</v>
      </c>
      <c r="T311" s="156">
        <f>AD311&lt;&gt;"20.0"</f>
        <v>1</v>
      </c>
      <c r="U311" s="816">
        <f>AND(S311,IF(ISBLANK(T311),TRUE,T311))</f>
        <v>1</v>
      </c>
      <c r="V311" s="1619"/>
      <c r="W311" s="1619"/>
      <c r="X311" s="156" t="str">
        <f>'Топливо 4.4'!$AE$307&amp;'Топливо 4.4'!$AF$307</f>
        <v>Уголь бурыйБ</v>
      </c>
      <c r="Y311" s="1619"/>
      <c r="Z311" s="1619"/>
      <c r="AA311" s="1619"/>
      <c r="AB311" s="1486"/>
      <c r="AC311" s="1619"/>
      <c r="AD311" s="157" t="s">
        <v>900</v>
      </c>
      <c r="AE311" s="971" cm="1" t="str">
        <f t="array" ref="AE311:AE311">IF(ISBLANK('Топливо 4.4'!$AE$307),"",'Топливо 4.4'!$AE$307)</f>
        <v>Уголь бурый</v>
      </c>
      <c r="AF311" s="622" cm="1" t="str">
        <f t="array" ref="AF311:AF311">IF(ISBLANK('Топливо 4.4'!$AF$307),"",'Топливо 4.4'!$AF$307)</f>
        <v>Б</v>
      </c>
      <c r="AG311" s="738"/>
      <c r="AH311" s="1768"/>
      <c r="AI311" s="1766"/>
      <c r="AJ311" s="1766"/>
      <c r="AK311" s="1766"/>
      <c r="AL311" s="859">
        <f>_xlfn.IFERROR(AL303/AL315,0)</f>
        <v>0.6</v>
      </c>
      <c r="AM311" s="1766">
        <v>0.6</v>
      </c>
      <c r="AN311" s="1766" cm="1" t="str">
        <f t="array" ref="AN311:AN311">AM311</f>
        <v>0.6</v>
      </c>
      <c r="AO311" s="859">
        <f>_xlfn.IFERROR(AO303/AO315,0)</f>
        <v>0.6</v>
      </c>
      <c r="AP311" s="976">
        <v>0.6</v>
      </c>
      <c r="AQ311" s="976" cm="1" t="str">
        <f t="array" ref="AQ311:AQ311">AP311</f>
        <v>0.6</v>
      </c>
      <c r="AR311" s="859">
        <f>_xlfn.IFERROR(AR303/AR315,0)</f>
        <v>0.6</v>
      </c>
      <c r="AS311" s="976">
        <v>0.6</v>
      </c>
      <c r="AT311" s="976" cm="1" t="str">
        <f t="array" ref="AT311:AT311">AS311</f>
        <v>0.6</v>
      </c>
      <c r="AU311" s="859">
        <f>_xlfn.IFERROR(AU303/AU315,0)</f>
        <v>0.6</v>
      </c>
      <c r="AV311" s="976">
        <v>0.6</v>
      </c>
      <c r="AW311" s="976" cm="1" t="str">
        <f t="array" ref="AW311:AW311">AV311</f>
        <v>0.6</v>
      </c>
      <c r="AX311" s="859">
        <f>_xlfn.IFERROR(AX303/AX315,0)</f>
        <v>0.6</v>
      </c>
      <c r="AY311" s="976">
        <v>0.6</v>
      </c>
      <c r="AZ311" s="976" cm="1" t="str">
        <f t="array" ref="AZ311:AZ311">AY311</f>
        <v>0.6</v>
      </c>
      <c r="BA311" s="859">
        <f>_xlfn.IFERROR(BA303/BA315,0)</f>
        <v>0</v>
      </c>
      <c r="BB311" s="1766"/>
      <c r="BC311" s="1766" cm="1" t="str">
        <f t="array" ref="BC311:BC311">BB311</f>
        <v>0</v>
      </c>
      <c r="BD311" s="859">
        <f>_xlfn.IFERROR(BD303/BD315,0)</f>
        <v>0</v>
      </c>
      <c r="BE311" s="1766"/>
      <c r="BF311" s="1766" cm="1" t="str">
        <f t="array" ref="BF311:BF311">BE311</f>
        <v>0</v>
      </c>
      <c r="BG311" s="859">
        <f>_xlfn.IFERROR(BG303/BG315,0)</f>
        <v>0</v>
      </c>
      <c r="BH311" s="1766"/>
      <c r="BI311" s="1766" cm="1" t="str">
        <f t="array" ref="BI311:BI311">BH311</f>
        <v>0</v>
      </c>
      <c r="BJ311" s="859">
        <f>_xlfn.IFERROR(BJ303/BJ315,0)</f>
        <v>0</v>
      </c>
      <c r="BK311" s="1766"/>
      <c r="BL311" s="1766" cm="1" t="str">
        <f t="array" ref="BL311:BL311">BK311</f>
        <v>0</v>
      </c>
      <c r="BM311" s="859">
        <f>_xlfn.IFERROR(BM303/BM315,0)</f>
        <v>0</v>
      </c>
      <c r="BN311" s="1766"/>
      <c r="BO311" s="1766" cm="1" t="str">
        <f t="array" ref="BO311:BO311">BN311</f>
        <v>0</v>
      </c>
      <c r="BP311" s="859">
        <f>_xlfn.IFERROR(BP303/BP315,0)</f>
        <v>0.606410999999999</v>
      </c>
      <c r="BQ311" s="976">
        <v>0.606411</v>
      </c>
      <c r="BR311" s="976" cm="1" t="str">
        <f t="array" ref="BR311:BR311">BQ311</f>
        <v>0.606411</v>
      </c>
      <c r="BS311" s="859">
        <f>_xlfn.IFERROR(BS303/BS315,0)</f>
        <v>0.606410999999999</v>
      </c>
      <c r="BT311" s="976">
        <v>0.606411</v>
      </c>
      <c r="BU311" s="976" cm="1" t="str">
        <f t="array" ref="BU311:BU311">BT311</f>
        <v>0.606411</v>
      </c>
      <c r="BV311" s="859">
        <f>_xlfn.IFERROR(BV303/BV315,0)</f>
        <v>0.606410999999999</v>
      </c>
      <c r="BW311" s="976">
        <v>0.606411</v>
      </c>
      <c r="BX311" s="976" cm="1" t="str">
        <f t="array" ref="BX311:BX311">BW311</f>
        <v>0.606411</v>
      </c>
      <c r="BY311" s="859">
        <f>_xlfn.IFERROR(BY303/BY315,0)</f>
        <v>0.606410999999999</v>
      </c>
      <c r="BZ311" s="976">
        <v>0.606411</v>
      </c>
      <c r="CA311" s="976" cm="1" t="str">
        <f t="array" ref="CA311:CA311">BZ311</f>
        <v>0.606411</v>
      </c>
      <c r="CB311" s="859">
        <f>_xlfn.IFERROR(CB303/CB315,0)</f>
        <v>0.606410999999999</v>
      </c>
      <c r="CC311" s="976">
        <v>0.606411</v>
      </c>
      <c r="CD311" s="976" cm="1" t="str">
        <f t="array" ref="CD311:CD311">CC311</f>
        <v>0.606411</v>
      </c>
      <c r="CE311" s="859">
        <f>_xlfn.IFERROR(CE303/CE315,0)</f>
        <v>0</v>
      </c>
      <c r="CF311" s="1766"/>
      <c r="CG311" s="1766" cm="1" t="str">
        <f t="array" ref="CG311:CG311">CF311</f>
        <v>0</v>
      </c>
      <c r="CH311" s="859">
        <f>_xlfn.IFERROR(CH303/CH315,0)</f>
        <v>0</v>
      </c>
      <c r="CI311" s="1766"/>
      <c r="CJ311" s="1766" cm="1" t="str">
        <f t="array" ref="CJ311:CJ311">CI311</f>
        <v>0</v>
      </c>
      <c r="CK311" s="859">
        <f>_xlfn.IFERROR(CK303/CK315,0)</f>
        <v>0</v>
      </c>
      <c r="CL311" s="1766"/>
      <c r="CM311" s="1766" cm="1" t="str">
        <f t="array" ref="CM311:CM311">CL311</f>
        <v>0</v>
      </c>
      <c r="CN311" s="859">
        <f>_xlfn.IFERROR(CN303/CN315,0)</f>
        <v>0</v>
      </c>
      <c r="CO311" s="1766"/>
      <c r="CP311" s="1766" cm="1" t="str">
        <f t="array" ref="CP311:CP311">CO311</f>
        <v>0</v>
      </c>
      <c r="CQ311" s="859">
        <f>_xlfn.IFERROR(CQ303/CQ315,0)</f>
        <v>0</v>
      </c>
      <c r="CR311" s="1766"/>
      <c r="CS311" s="1766" cm="1" t="str">
        <f t="array" ref="CS311:CS311">CR311</f>
        <v>0</v>
      </c>
      <c r="CT311" s="1730"/>
      <c r="CU311" s="1619"/>
      <c r="CV311" s="1619"/>
      <c r="CW311" s="1170" t="s">
        <v>792</v>
      </c>
      <c r="CX311" s="1175" t="s">
        <v>787</v>
      </c>
      <c r="CY311" s="1179" cm="1" t="str">
        <f t="array" ref="CY311:CY311">AE311</f>
        <v>Уголь бурый</v>
      </c>
      <c r="CZ311" s="1179" cm="1" t="str">
        <f t="array" ref="CZ311:CZ311">AF311</f>
        <v>Б</v>
      </c>
      <c r="DA311" s="1176"/>
      <c r="DB311" s="1176"/>
    </row>
    <row s="1619" customFormat="1" customHeight="1" ht="17.25" hidden="1">
      <c r="A312" s="1440"/>
      <c r="B312" s="924"/>
      <c r="C312" s="1440"/>
      <c r="D312" s="1440"/>
      <c r="E312" s="794">
        <v>0</v>
      </c>
      <c r="F312" s="919" cm="1" t="str">
        <f t="array" ref="F312:F312">OFFSET(G312,-1,-1)</f>
        <v>2</v>
      </c>
      <c r="G312" s="962"/>
      <c r="H312" s="962"/>
      <c r="I312" s="962"/>
      <c r="J312" s="962"/>
      <c r="K312" s="962"/>
      <c r="L312" s="919" cm="1" t="str">
        <f t="array" ref="L312:L312">OFFSET(M312,-1,-1)</f>
        <v>false</v>
      </c>
      <c r="M312" s="962"/>
      <c r="N312" s="962"/>
      <c r="O312" s="962"/>
      <c r="P312" s="962"/>
      <c r="Q312" s="962"/>
      <c r="R312" s="1440"/>
      <c r="S312" s="156" cm="1" t="str">
        <f t="array" ref="S312:S312">OFFSET(T312,-1,-1)</f>
        <v>true</v>
      </c>
      <c r="T312" s="1440"/>
      <c r="U312" s="816">
        <f>AND(S312,IF(ISBLANK(T312),TRUE,T312))</f>
        <v>1</v>
      </c>
      <c r="V312" s="1440"/>
      <c r="W312" s="1440"/>
      <c r="X312" s="970" t="str">
        <f>"{                  
         funcDyn: 'msg1',
         blok: 'blok_2',
         wsCross: 'Топливо 4.4',
         linkFormula: 'AE-AE#AF-AF',
         levelDyn: "&amp;Y275&amp;"
}"</f>
        <v>{                  
         funcDyn: 'msg1',
         blok: 'blok_2',
         wsCross: 'Топливо 4.4',
         linkFormula: 'AE-AE#AF-AF',
         levelDyn: 2
}</v>
      </c>
      <c r="Y312" s="1440"/>
      <c r="Z312" s="1440"/>
      <c r="AA312" s="817"/>
      <c r="AB312" s="1486"/>
      <c r="AC312" s="1619"/>
      <c r="AD312" s="973"/>
      <c r="AE312" s="972" t="s">
        <v>235</v>
      </c>
      <c r="AF312" s="871"/>
      <c r="AG312" s="1011"/>
      <c r="AH312" s="858"/>
      <c r="AI312" s="860"/>
      <c r="AJ312" s="860"/>
      <c r="AK312" s="860"/>
      <c r="AL312" s="860"/>
      <c r="AM312" s="860"/>
      <c r="AN312" s="860"/>
      <c r="AO312" s="860"/>
      <c r="AP312" s="860"/>
      <c r="AQ312" s="860"/>
      <c r="AR312" s="860"/>
      <c r="AS312" s="860"/>
      <c r="AT312" s="860"/>
      <c r="AU312" s="860"/>
      <c r="AV312" s="860"/>
      <c r="AW312" s="860"/>
      <c r="AX312" s="860"/>
      <c r="AY312" s="860"/>
      <c r="AZ312" s="860"/>
      <c r="BA312" s="860"/>
      <c r="BB312" s="860"/>
      <c r="BC312" s="860"/>
      <c r="BD312" s="860"/>
      <c r="BE312" s="860"/>
      <c r="BF312" s="860"/>
      <c r="BG312" s="860"/>
      <c r="BH312" s="860"/>
      <c r="BI312" s="860"/>
      <c r="BJ312" s="860"/>
      <c r="BK312" s="860"/>
      <c r="BL312" s="860"/>
      <c r="BM312" s="860"/>
      <c r="BN312" s="860"/>
      <c r="BO312" s="860"/>
      <c r="BP312" s="860"/>
      <c r="BQ312" s="860"/>
      <c r="BR312" s="860"/>
      <c r="BS312" s="860"/>
      <c r="BT312" s="860"/>
      <c r="BU312" s="860"/>
      <c r="BV312" s="860"/>
      <c r="BW312" s="860"/>
      <c r="BX312" s="860"/>
      <c r="BY312" s="860"/>
      <c r="BZ312" s="860"/>
      <c r="CA312" s="860"/>
      <c r="CB312" s="860"/>
      <c r="CC312" s="860"/>
      <c r="CD312" s="860"/>
      <c r="CE312" s="860"/>
      <c r="CF312" s="860"/>
      <c r="CG312" s="860"/>
      <c r="CH312" s="860"/>
      <c r="CI312" s="860"/>
      <c r="CJ312" s="860"/>
      <c r="CK312" s="860"/>
      <c r="CL312" s="860"/>
      <c r="CM312" s="860"/>
      <c r="CN312" s="860"/>
      <c r="CO312" s="860"/>
      <c r="CP312" s="860"/>
      <c r="CQ312" s="860"/>
      <c r="CR312" s="860"/>
      <c r="CS312" s="860"/>
      <c r="CT312" s="91"/>
      <c r="CU312" s="1619"/>
      <c r="CV312" s="1619"/>
      <c r="CW312" s="1170" t="str">
        <f>IF(AND(ISNUMBER(VALUE(TRIM(SUBSTITUTE(AD312,".","")))),TRIM(SUBSTITUTE(AD312,".",""))&lt;&gt;""),"P"&amp;SUBSTITUTE(AD312,".",""),"")</f>
        <v/>
      </c>
      <c r="CX312" s="1175"/>
      <c r="CY312" s="1175"/>
      <c r="CZ312" s="1175"/>
      <c r="DA312" s="1176"/>
      <c r="DB312" s="1176"/>
    </row>
    <row s="1619" customFormat="1" customHeight="1" ht="16.5">
      <c r="A313" s="1440"/>
      <c r="B313" s="924"/>
      <c r="C313" s="1440"/>
      <c r="D313" s="1440"/>
      <c r="E313" s="794">
        <v>17.1</v>
      </c>
      <c r="F313" s="919" cm="1" t="str">
        <f t="array" ref="F313:F313">OFFSET(G313,-1,-1)</f>
        <v>2</v>
      </c>
      <c r="G313" s="962"/>
      <c r="H313" s="962"/>
      <c r="I313" s="962"/>
      <c r="J313" s="962"/>
      <c r="K313" s="962"/>
      <c r="L313" s="919" cm="1" t="str">
        <f t="array" ref="L313:L313">OFFSET(M313,-1,-1)</f>
        <v>false</v>
      </c>
      <c r="M313" s="962"/>
      <c r="N313" s="962"/>
      <c r="O313" s="962"/>
      <c r="P313" s="962"/>
      <c r="Q313" s="962"/>
      <c r="R313" s="1440"/>
      <c r="S313" s="156" cm="1" t="str">
        <f t="array" ref="S313:S313">OFFSET(T313,-1,-1)</f>
        <v>true</v>
      </c>
      <c r="T313" s="1440"/>
      <c r="U313" s="816">
        <f>AND(S313,IF(ISBLANK(T313),TRUE,T313))</f>
        <v>1</v>
      </c>
      <c r="V313" s="1440"/>
      <c r="W313" s="1440"/>
      <c r="X313" s="1440"/>
      <c r="Y313" s="1440"/>
      <c r="Z313" s="1440"/>
      <c r="AA313" s="817"/>
      <c r="AB313" s="1486"/>
      <c r="AC313" s="1619"/>
      <c r="AD313" s="157">
        <v>21</v>
      </c>
      <c r="AE313" s="1505" t="s">
        <v>794</v>
      </c>
      <c r="AF313" s="159"/>
      <c r="AG313" s="738"/>
      <c r="AH313" s="858"/>
      <c r="AI313" s="860"/>
      <c r="AJ313" s="860"/>
      <c r="AK313" s="860"/>
      <c r="AL313" s="860"/>
      <c r="AM313" s="860"/>
      <c r="AN313" s="860"/>
      <c r="AO313" s="860"/>
      <c r="AP313" s="860"/>
      <c r="AQ313" s="860"/>
      <c r="AR313" s="860"/>
      <c r="AS313" s="860"/>
      <c r="AT313" s="860"/>
      <c r="AU313" s="860"/>
      <c r="AV313" s="860"/>
      <c r="AW313" s="860"/>
      <c r="AX313" s="860"/>
      <c r="AY313" s="860"/>
      <c r="AZ313" s="860"/>
      <c r="BA313" s="860"/>
      <c r="BB313" s="860"/>
      <c r="BC313" s="860"/>
      <c r="BD313" s="860"/>
      <c r="BE313" s="860"/>
      <c r="BF313" s="860"/>
      <c r="BG313" s="860"/>
      <c r="BH313" s="860"/>
      <c r="BI313" s="860"/>
      <c r="BJ313" s="860"/>
      <c r="BK313" s="860"/>
      <c r="BL313" s="860"/>
      <c r="BM313" s="860"/>
      <c r="BN313" s="860"/>
      <c r="BO313" s="860"/>
      <c r="BP313" s="860"/>
      <c r="BQ313" s="860"/>
      <c r="BR313" s="860"/>
      <c r="BS313" s="860"/>
      <c r="BT313" s="860"/>
      <c r="BU313" s="860"/>
      <c r="BV313" s="860"/>
      <c r="BW313" s="860"/>
      <c r="BX313" s="860"/>
      <c r="BY313" s="860"/>
      <c r="BZ313" s="860"/>
      <c r="CA313" s="860"/>
      <c r="CB313" s="860"/>
      <c r="CC313" s="860"/>
      <c r="CD313" s="860"/>
      <c r="CE313" s="860"/>
      <c r="CF313" s="860"/>
      <c r="CG313" s="860"/>
      <c r="CH313" s="860"/>
      <c r="CI313" s="860"/>
      <c r="CJ313" s="860"/>
      <c r="CK313" s="860"/>
      <c r="CL313" s="860"/>
      <c r="CM313" s="860"/>
      <c r="CN313" s="860"/>
      <c r="CO313" s="860"/>
      <c r="CP313" s="860"/>
      <c r="CQ313" s="860"/>
      <c r="CR313" s="860"/>
      <c r="CS313" s="860"/>
      <c r="CT313" s="1730"/>
      <c r="CU313" s="1619"/>
      <c r="CV313" s="1619"/>
      <c r="CW313" s="1170" t="s">
        <v>795</v>
      </c>
      <c r="CX313" s="1175"/>
      <c r="CY313" s="1175"/>
      <c r="CZ313" s="1175"/>
      <c r="DA313" s="1176"/>
      <c r="DB313" s="1176"/>
    </row>
    <row s="1619" customFormat="1" customHeight="1" ht="16.5" hidden="1">
      <c r="E314" s="794">
        <v>17.1</v>
      </c>
      <c r="F314" s="919" cm="1" t="str">
        <f t="array" ref="F314:F314">OFFSET(G314,-1,-1)</f>
        <v>2</v>
      </c>
      <c r="L314" s="919" cm="1" t="str">
        <f t="array" ref="L314:L314">OFFSET(M314,-1,-1)</f>
        <v>false</v>
      </c>
      <c r="S314" s="156" cm="1" t="str">
        <f t="array" ref="S314:S314">OFFSET(T314,-1,-1)</f>
        <v>true</v>
      </c>
      <c r="T314" s="156">
        <f>AD314&lt;&gt;"21.0"</f>
        <v>0</v>
      </c>
      <c r="U314" s="816">
        <f>AND(S314,IF(ISBLANK(T314),TRUE,T314))</f>
        <v>0</v>
      </c>
      <c r="X314" s="156" t="s">
        <v>233</v>
      </c>
      <c r="AB314" s="1486"/>
      <c r="AD314" s="157" t="s">
        <v>796</v>
      </c>
      <c r="AE314" s="971"/>
      <c r="AF314" s="622"/>
      <c r="AG314" s="1067" t="str">
        <f>_xlfn.IFERROR(INDEX(fuel_ed_izm_list,MATCH(AE314,fuel_list,0)),"тнт")</f>
        <v>тнт</v>
      </c>
      <c r="AH314" s="87">
        <f>_xlfn.IFERROR(AH302/AH310,0)</f>
        <v>0</v>
      </c>
      <c r="AI314" s="87"/>
      <c r="AJ314" s="87"/>
      <c r="AK314" s="87">
        <f>_xlfn.IFERROR(AK302/AK310,0)</f>
        <v>0</v>
      </c>
      <c r="AL314" s="857">
        <f>AM314+AN314</f>
        <v>0</v>
      </c>
      <c r="AM314" s="87">
        <f>_xlfn.IFERROR(AM302/AM310,0)</f>
        <v>0</v>
      </c>
      <c r="AN314" s="87">
        <f>_xlfn.IFERROR(AN302/AN310,0)</f>
        <v>0</v>
      </c>
      <c r="AO314" s="857">
        <f>AP314+AQ314</f>
        <v>0</v>
      </c>
      <c r="AP314" s="976">
        <f>_xlfn.IFERROR(AP302/AP310,0)</f>
        <v>0</v>
      </c>
      <c r="AQ314" s="976">
        <f>_xlfn.IFERROR(AQ302/AQ310,0)</f>
        <v>0</v>
      </c>
      <c r="AR314" s="857">
        <f>AS314+AT314</f>
        <v>0</v>
      </c>
      <c r="AS314" s="976">
        <f>_xlfn.IFERROR(AS302/AS310,0)</f>
        <v>0</v>
      </c>
      <c r="AT314" s="976">
        <f>_xlfn.IFERROR(AT302/AT310,0)</f>
        <v>0</v>
      </c>
      <c r="AU314" s="857">
        <f>AV314+AW314</f>
        <v>0</v>
      </c>
      <c r="AV314" s="976">
        <f>_xlfn.IFERROR(AV302/AV310,0)</f>
        <v>0</v>
      </c>
      <c r="AW314" s="976">
        <f>_xlfn.IFERROR(AW302/AW310,0)</f>
        <v>0</v>
      </c>
      <c r="AX314" s="857">
        <f>AY314+AZ314</f>
        <v>0</v>
      </c>
      <c r="AY314" s="976">
        <f>_xlfn.IFERROR(AY302/AY310,0)</f>
        <v>0</v>
      </c>
      <c r="AZ314" s="976">
        <f>_xlfn.IFERROR(AZ302/AZ310,0)</f>
        <v>0</v>
      </c>
      <c r="BA314" s="857">
        <f>BB314+BC314</f>
        <v>0</v>
      </c>
      <c r="BB314" s="87">
        <f>_xlfn.IFERROR(BB302/BB310,0)</f>
        <v>0</v>
      </c>
      <c r="BC314" s="87">
        <f>_xlfn.IFERROR(BC302/BC310,0)</f>
        <v>0</v>
      </c>
      <c r="BD314" s="857">
        <f>BE314+BF314</f>
        <v>0</v>
      </c>
      <c r="BE314" s="87">
        <f>_xlfn.IFERROR(BE302/BE310,0)</f>
        <v>0</v>
      </c>
      <c r="BF314" s="87">
        <f>_xlfn.IFERROR(BF302/BF310,0)</f>
        <v>0</v>
      </c>
      <c r="BG314" s="857">
        <f>BH314+BI314</f>
        <v>0</v>
      </c>
      <c r="BH314" s="87">
        <f>_xlfn.IFERROR(BH302/BH310,0)</f>
        <v>0</v>
      </c>
      <c r="BI314" s="87">
        <f>_xlfn.IFERROR(BI302/BI310,0)</f>
        <v>0</v>
      </c>
      <c r="BJ314" s="857">
        <f>BK314+BL314</f>
        <v>0</v>
      </c>
      <c r="BK314" s="87">
        <f>_xlfn.IFERROR(BK302/BK310,0)</f>
        <v>0</v>
      </c>
      <c r="BL314" s="87">
        <f>_xlfn.IFERROR(BL302/BL310,0)</f>
        <v>0</v>
      </c>
      <c r="BM314" s="857">
        <f>BN314+BO314</f>
        <v>0</v>
      </c>
      <c r="BN314" s="87">
        <f>_xlfn.IFERROR(BN302/BN310,0)</f>
        <v>0</v>
      </c>
      <c r="BO314" s="87">
        <f>_xlfn.IFERROR(BO302/BO310,0)</f>
        <v>0</v>
      </c>
      <c r="BP314" s="857">
        <f>BQ314+BR314</f>
        <v>0</v>
      </c>
      <c r="BQ314" s="976">
        <f>_xlfn.IFERROR(BQ302/BQ310,0)</f>
        <v>0</v>
      </c>
      <c r="BR314" s="976">
        <f>_xlfn.IFERROR(BR302/BR310,0)</f>
        <v>0</v>
      </c>
      <c r="BS314" s="857">
        <f>BT314+BU314</f>
        <v>0</v>
      </c>
      <c r="BT314" s="976">
        <f>_xlfn.IFERROR(BT302/BT310,0)</f>
        <v>0</v>
      </c>
      <c r="BU314" s="976">
        <f>_xlfn.IFERROR(BU302/BU310,0)</f>
        <v>0</v>
      </c>
      <c r="BV314" s="857">
        <f>BW314+BX314</f>
        <v>0</v>
      </c>
      <c r="BW314" s="976">
        <f>_xlfn.IFERROR(BW302/BW310,0)</f>
        <v>0</v>
      </c>
      <c r="BX314" s="976">
        <f>_xlfn.IFERROR(BX302/BX310,0)</f>
        <v>0</v>
      </c>
      <c r="BY314" s="857">
        <f>BZ314+CA314</f>
        <v>0</v>
      </c>
      <c r="BZ314" s="976">
        <f>_xlfn.IFERROR(BZ302/BZ310,0)</f>
        <v>0</v>
      </c>
      <c r="CA314" s="976">
        <f>_xlfn.IFERROR(CA302/CA310,0)</f>
        <v>0</v>
      </c>
      <c r="CB314" s="857">
        <f>CC314+CD314</f>
        <v>0</v>
      </c>
      <c r="CC314" s="976">
        <f>_xlfn.IFERROR(CC302/CC310,0)</f>
        <v>0</v>
      </c>
      <c r="CD314" s="976">
        <f>_xlfn.IFERROR(CD302/CD310,0)</f>
        <v>0</v>
      </c>
      <c r="CE314" s="857">
        <f>CF314+CG314</f>
        <v>0</v>
      </c>
      <c r="CF314" s="87">
        <f>_xlfn.IFERROR(CF302/CF310,0)</f>
        <v>0</v>
      </c>
      <c r="CG314" s="87">
        <f>_xlfn.IFERROR(CG302/CG310,0)</f>
        <v>0</v>
      </c>
      <c r="CH314" s="857">
        <f>CI314+CJ314</f>
        <v>0</v>
      </c>
      <c r="CI314" s="87">
        <f>_xlfn.IFERROR(CI302/CI310,0)</f>
        <v>0</v>
      </c>
      <c r="CJ314" s="87">
        <f>_xlfn.IFERROR(CJ302/CJ310,0)</f>
        <v>0</v>
      </c>
      <c r="CK314" s="857">
        <f>CL314+CM314</f>
        <v>0</v>
      </c>
      <c r="CL314" s="87">
        <f>_xlfn.IFERROR(CL302/CL310,0)</f>
        <v>0</v>
      </c>
      <c r="CM314" s="87">
        <f>_xlfn.IFERROR(CM302/CM310,0)</f>
        <v>0</v>
      </c>
      <c r="CN314" s="857">
        <f>CO314+CP314</f>
        <v>0</v>
      </c>
      <c r="CO314" s="87">
        <f>_xlfn.IFERROR(CO302/CO310,0)</f>
        <v>0</v>
      </c>
      <c r="CP314" s="87">
        <f>_xlfn.IFERROR(CP302/CP310,0)</f>
        <v>0</v>
      </c>
      <c r="CQ314" s="857">
        <f>CR314+CS314</f>
        <v>0</v>
      </c>
      <c r="CR314" s="87">
        <f>_xlfn.IFERROR(CR302/CR310,0)</f>
        <v>0</v>
      </c>
      <c r="CS314" s="87">
        <f>_xlfn.IFERROR(CS302/CS310,0)</f>
        <v>0</v>
      </c>
      <c r="CT314" s="73"/>
      <c r="CW314" s="1170" t="s">
        <v>795</v>
      </c>
      <c r="CX314" s="1175" t="s">
        <v>787</v>
      </c>
      <c r="CY314" s="1179" cm="1" t="str">
        <f t="array" ref="CY314:CY314">AE314</f>
        <v>0</v>
      </c>
      <c r="CZ314" s="1179" cm="1" t="str">
        <f t="array" ref="CZ314:CZ314">AF314</f>
        <v>0</v>
      </c>
      <c r="DA314" s="1176"/>
      <c r="DB314" s="1176"/>
    </row>
    <row s="1619" customFormat="1" customHeight="1" ht="16.5">
      <c r="A315" s="1619"/>
      <c r="B315" s="1619"/>
      <c r="C315" s="1619"/>
      <c r="D315" s="1619"/>
      <c r="E315" s="794">
        <v>17.1</v>
      </c>
      <c r="F315" s="919" cm="1" t="str">
        <f t="array" ref="F315:F315">OFFSET(G315,-1,-1)</f>
        <v>2</v>
      </c>
      <c r="G315" s="1619"/>
      <c r="H315" s="1619"/>
      <c r="I315" s="1619"/>
      <c r="J315" s="1619"/>
      <c r="K315" s="1619"/>
      <c r="L315" s="919" cm="1" t="str">
        <f t="array" ref="L315:L315">OFFSET(M315,-1,-1)</f>
        <v>false</v>
      </c>
      <c r="M315" s="1619"/>
      <c r="N315" s="1619"/>
      <c r="O315" s="1619"/>
      <c r="P315" s="1619"/>
      <c r="Q315" s="1619"/>
      <c r="R315" s="1619"/>
      <c r="S315" s="156" cm="1" t="str">
        <f t="array" ref="S315:S315">OFFSET(T315,-1,-1)</f>
        <v>true</v>
      </c>
      <c r="T315" s="156">
        <f>AD315&lt;&gt;"21.0"</f>
        <v>1</v>
      </c>
      <c r="U315" s="816">
        <f>AND(S315,IF(ISBLANK(T315),TRUE,T315))</f>
        <v>1</v>
      </c>
      <c r="V315" s="1619"/>
      <c r="W315" s="1619"/>
      <c r="X315" s="156" t="str">
        <f>'Топливо 4.4'!$AE$311&amp;'Топливо 4.4'!$AF$311</f>
        <v>Уголь бурыйБ</v>
      </c>
      <c r="Y315" s="1619"/>
      <c r="Z315" s="1619"/>
      <c r="AA315" s="1619"/>
      <c r="AB315" s="1486"/>
      <c r="AC315" s="1619"/>
      <c r="AD315" s="157" t="s">
        <v>901</v>
      </c>
      <c r="AE315" s="971" cm="1" t="str">
        <f t="array" ref="AE315:AE315">IF(ISBLANK('Топливо 4.4'!$AE$311),"",'Топливо 4.4'!$AE$311)</f>
        <v>Уголь бурый</v>
      </c>
      <c r="AF315" s="622" cm="1" t="str">
        <f t="array" ref="AF315:AF315">IF(ISBLANK('Топливо 4.4'!$AF$311),"",'Топливо 4.4'!$AF$311)</f>
        <v>Б</v>
      </c>
      <c r="AG315" s="1067" t="str">
        <f>_xlfn.IFERROR(INDEX(fuel_ed_izm_list,MATCH(AE315,fuel_list,0)),"тнт")</f>
        <v>тнт</v>
      </c>
      <c r="AH315" s="1766">
        <f>_xlfn.IFERROR(AH303/AH311,0)</f>
        <v>0</v>
      </c>
      <c r="AI315" s="1766"/>
      <c r="AJ315" s="1766"/>
      <c r="AK315" s="1766">
        <f>_xlfn.IFERROR(AK303/AK311,0)</f>
        <v>0</v>
      </c>
      <c r="AL315" s="857">
        <f>AM315+AN315</f>
        <v>486.35</v>
      </c>
      <c r="AM315" s="1766">
        <f>_xlfn.IFERROR(AM303/AM311,0)</f>
        <v>363.52</v>
      </c>
      <c r="AN315" s="1766">
        <f>_xlfn.IFERROR(AN303/AN311,0)</f>
        <v>122.83</v>
      </c>
      <c r="AO315" s="857">
        <f>AP315+AQ315</f>
        <v>486.35</v>
      </c>
      <c r="AP315" s="976">
        <f>_xlfn.IFERROR(AP303/AP311,0)</f>
        <v>363.52</v>
      </c>
      <c r="AQ315" s="976">
        <f>_xlfn.IFERROR(AQ303/AQ311,0)</f>
        <v>122.83</v>
      </c>
      <c r="AR315" s="857">
        <f>AS315+AT315</f>
        <v>486.35</v>
      </c>
      <c r="AS315" s="976">
        <f>_xlfn.IFERROR(AS303/AS311,0)</f>
        <v>363.52</v>
      </c>
      <c r="AT315" s="976">
        <f>_xlfn.IFERROR(AT303/AT311,0)</f>
        <v>122.83</v>
      </c>
      <c r="AU315" s="857">
        <f>AV315+AW315</f>
        <v>486.35</v>
      </c>
      <c r="AV315" s="976">
        <f>_xlfn.IFERROR(AV303/AV311,0)</f>
        <v>363.52</v>
      </c>
      <c r="AW315" s="976">
        <f>_xlfn.IFERROR(AW303/AW311,0)</f>
        <v>122.83</v>
      </c>
      <c r="AX315" s="857">
        <f>AY315+AZ315</f>
        <v>486.35</v>
      </c>
      <c r="AY315" s="976">
        <f>_xlfn.IFERROR(AY303/AY311,0)</f>
        <v>363.52</v>
      </c>
      <c r="AZ315" s="976">
        <f>_xlfn.IFERROR(AZ303/AZ311,0)</f>
        <v>122.83</v>
      </c>
      <c r="BA315" s="857">
        <f>BB315+BC315</f>
        <v>0</v>
      </c>
      <c r="BB315" s="1766">
        <f>_xlfn.IFERROR(BB303/BB311,0)</f>
        <v>0</v>
      </c>
      <c r="BC315" s="1766">
        <f>_xlfn.IFERROR(BC303/BC311,0)</f>
        <v>0</v>
      </c>
      <c r="BD315" s="857">
        <f>BE315+BF315</f>
        <v>0</v>
      </c>
      <c r="BE315" s="1766">
        <f>_xlfn.IFERROR(BE303/BE311,0)</f>
        <v>0</v>
      </c>
      <c r="BF315" s="1766">
        <f>_xlfn.IFERROR(BF303/BF311,0)</f>
        <v>0</v>
      </c>
      <c r="BG315" s="857">
        <f>BH315+BI315</f>
        <v>0</v>
      </c>
      <c r="BH315" s="1766">
        <f>_xlfn.IFERROR(BH303/BH311,0)</f>
        <v>0</v>
      </c>
      <c r="BI315" s="1766">
        <f>_xlfn.IFERROR(BI303/BI311,0)</f>
        <v>0</v>
      </c>
      <c r="BJ315" s="857">
        <f>BK315+BL315</f>
        <v>0</v>
      </c>
      <c r="BK315" s="1766">
        <f>_xlfn.IFERROR(BK303/BK311,0)</f>
        <v>0</v>
      </c>
      <c r="BL315" s="1766">
        <f>_xlfn.IFERROR(BL303/BL311,0)</f>
        <v>0</v>
      </c>
      <c r="BM315" s="857">
        <f>BN315+BO315</f>
        <v>0</v>
      </c>
      <c r="BN315" s="1766">
        <f>_xlfn.IFERROR(BN303/BN311,0)</f>
        <v>0</v>
      </c>
      <c r="BO315" s="1766">
        <f>_xlfn.IFERROR(BO303/BO311,0)</f>
        <v>0</v>
      </c>
      <c r="BP315" s="857">
        <f>BQ315+BR315</f>
        <v>481.208289427468</v>
      </c>
      <c r="BQ315" s="976">
        <f>_xlfn.IFERROR(BQ303/BQ311,0)</f>
        <v>359.676852827538</v>
      </c>
      <c r="BR315" s="976">
        <f>_xlfn.IFERROR(BR303/BR311,0)</f>
        <v>121.53143659993</v>
      </c>
      <c r="BS315" s="857">
        <f>BT315+BU315</f>
        <v>481.208289427468</v>
      </c>
      <c r="BT315" s="976">
        <f>_xlfn.IFERROR(BT303/BT311,0)</f>
        <v>359.676852827538</v>
      </c>
      <c r="BU315" s="976">
        <f>_xlfn.IFERROR(BU303/BU311,0)</f>
        <v>121.53143659993</v>
      </c>
      <c r="BV315" s="857">
        <f>BW315+BX315</f>
        <v>481.208289427468</v>
      </c>
      <c r="BW315" s="976">
        <f>_xlfn.IFERROR(BW303/BW311,0)</f>
        <v>359.676852827538</v>
      </c>
      <c r="BX315" s="976">
        <f>_xlfn.IFERROR(BX303/BX311,0)</f>
        <v>121.53143659993</v>
      </c>
      <c r="BY315" s="857">
        <f>BZ315+CA315</f>
        <v>481.208289427468</v>
      </c>
      <c r="BZ315" s="976">
        <f>_xlfn.IFERROR(BZ303/BZ311,0)</f>
        <v>359.676852827538</v>
      </c>
      <c r="CA315" s="976">
        <f>_xlfn.IFERROR(CA303/CA311,0)</f>
        <v>121.53143659993</v>
      </c>
      <c r="CB315" s="857">
        <f>CC315+CD315</f>
        <v>481.208289427468</v>
      </c>
      <c r="CC315" s="976">
        <f>_xlfn.IFERROR(CC303/CC311,0)</f>
        <v>359.676852827538</v>
      </c>
      <c r="CD315" s="976">
        <f>_xlfn.IFERROR(CD303/CD311,0)</f>
        <v>121.53143659993</v>
      </c>
      <c r="CE315" s="857">
        <f>CF315+CG315</f>
        <v>0</v>
      </c>
      <c r="CF315" s="1766">
        <f>_xlfn.IFERROR(CF303/CF311,0)</f>
        <v>0</v>
      </c>
      <c r="CG315" s="1766">
        <f>_xlfn.IFERROR(CG303/CG311,0)</f>
        <v>0</v>
      </c>
      <c r="CH315" s="857">
        <f>CI315+CJ315</f>
        <v>0</v>
      </c>
      <c r="CI315" s="1766">
        <f>_xlfn.IFERROR(CI303/CI311,0)</f>
        <v>0</v>
      </c>
      <c r="CJ315" s="1766">
        <f>_xlfn.IFERROR(CJ303/CJ311,0)</f>
        <v>0</v>
      </c>
      <c r="CK315" s="857">
        <f>CL315+CM315</f>
        <v>0</v>
      </c>
      <c r="CL315" s="1766">
        <f>_xlfn.IFERROR(CL303/CL311,0)</f>
        <v>0</v>
      </c>
      <c r="CM315" s="1766">
        <f>_xlfn.IFERROR(CM303/CM311,0)</f>
        <v>0</v>
      </c>
      <c r="CN315" s="857">
        <f>CO315+CP315</f>
        <v>0</v>
      </c>
      <c r="CO315" s="1766">
        <f>_xlfn.IFERROR(CO303/CO311,0)</f>
        <v>0</v>
      </c>
      <c r="CP315" s="1766">
        <f>_xlfn.IFERROR(CP303/CP311,0)</f>
        <v>0</v>
      </c>
      <c r="CQ315" s="857">
        <f>CR315+CS315</f>
        <v>0</v>
      </c>
      <c r="CR315" s="1766">
        <f>_xlfn.IFERROR(CR303/CR311,0)</f>
        <v>0</v>
      </c>
      <c r="CS315" s="1766">
        <f>_xlfn.IFERROR(CS303/CS311,0)</f>
        <v>0</v>
      </c>
      <c r="CT315" s="1730"/>
      <c r="CU315" s="1619"/>
      <c r="CV315" s="1619"/>
      <c r="CW315" s="1170" t="s">
        <v>795</v>
      </c>
      <c r="CX315" s="1175" t="s">
        <v>787</v>
      </c>
      <c r="CY315" s="1179" cm="1" t="str">
        <f t="array" ref="CY315:CY315">AE315</f>
        <v>Уголь бурый</v>
      </c>
      <c r="CZ315" s="1179" cm="1" t="str">
        <f t="array" ref="CZ315:CZ315">AF315</f>
        <v>Б</v>
      </c>
      <c r="DA315" s="1176"/>
      <c r="DB315" s="1176"/>
    </row>
    <row s="1619" customFormat="1" customHeight="1" ht="17.25" hidden="1">
      <c r="A316" s="1440"/>
      <c r="B316" s="924"/>
      <c r="C316" s="1440"/>
      <c r="D316" s="1440"/>
      <c r="E316" s="794">
        <v>0</v>
      </c>
      <c r="F316" s="919" cm="1" t="str">
        <f t="array" ref="F316:F316">OFFSET(G316,-1,-1)</f>
        <v>2</v>
      </c>
      <c r="G316" s="962"/>
      <c r="H316" s="962"/>
      <c r="I316" s="962"/>
      <c r="J316" s="962"/>
      <c r="K316" s="962"/>
      <c r="L316" s="919" cm="1" t="str">
        <f t="array" ref="L316:L316">OFFSET(M316,-1,-1)</f>
        <v>false</v>
      </c>
      <c r="M316" s="962"/>
      <c r="N316" s="962"/>
      <c r="O316" s="962"/>
      <c r="P316" s="962"/>
      <c r="Q316" s="962"/>
      <c r="R316" s="1440"/>
      <c r="S316" s="156" cm="1" t="str">
        <f t="array" ref="S316:S316">OFFSET(T316,-1,-1)</f>
        <v>true</v>
      </c>
      <c r="T316" s="1440"/>
      <c r="U316" s="816">
        <f>AND(S316,IF(ISBLANK(T316),TRUE,T316))</f>
        <v>1</v>
      </c>
      <c r="V316" s="1440"/>
      <c r="W316" s="1440"/>
      <c r="X316" s="970" t="str">
        <f>"{                  
         funcDyn: 'msg1',
         blok: 'blok_2',
         wsCross: 'Топливо 4.4',
         linkFormula: 'AE-AE#AF-AF',
         levelDyn: "&amp;Y275&amp;"
}"</f>
        <v>{                  
         funcDyn: 'msg1',
         blok: 'blok_2',
         wsCross: 'Топливо 4.4',
         linkFormula: 'AE-AE#AF-AF',
         levelDyn: 2
}</v>
      </c>
      <c r="Y316" s="1440"/>
      <c r="Z316" s="1440"/>
      <c r="AA316" s="817"/>
      <c r="AB316" s="1487"/>
      <c r="AC316" s="1619"/>
      <c r="AD316" s="973"/>
      <c r="AE316" s="972" t="s">
        <v>235</v>
      </c>
      <c r="AF316" s="871"/>
      <c r="AG316" s="1011"/>
      <c r="AH316" s="858"/>
      <c r="AI316" s="860"/>
      <c r="AJ316" s="860"/>
      <c r="AK316" s="860"/>
      <c r="AL316" s="858"/>
      <c r="AM316" s="860"/>
      <c r="AN316" s="860"/>
      <c r="AO316" s="858"/>
      <c r="AP316" s="860"/>
      <c r="AQ316" s="860"/>
      <c r="AR316" s="858"/>
      <c r="AS316" s="860"/>
      <c r="AT316" s="860"/>
      <c r="AU316" s="858"/>
      <c r="AV316" s="860"/>
      <c r="AW316" s="860"/>
      <c r="AX316" s="858"/>
      <c r="AY316" s="860"/>
      <c r="AZ316" s="860"/>
      <c r="BA316" s="858"/>
      <c r="BB316" s="860"/>
      <c r="BC316" s="860"/>
      <c r="BD316" s="858"/>
      <c r="BE316" s="860"/>
      <c r="BF316" s="860"/>
      <c r="BG316" s="858"/>
      <c r="BH316" s="860"/>
      <c r="BI316" s="860"/>
      <c r="BJ316" s="858"/>
      <c r="BK316" s="860"/>
      <c r="BL316" s="860"/>
      <c r="BM316" s="858"/>
      <c r="BN316" s="860"/>
      <c r="BO316" s="860"/>
      <c r="BP316" s="858"/>
      <c r="BQ316" s="860"/>
      <c r="BR316" s="860"/>
      <c r="BS316" s="858"/>
      <c r="BT316" s="860"/>
      <c r="BU316" s="860"/>
      <c r="BV316" s="858"/>
      <c r="BW316" s="860"/>
      <c r="BX316" s="860"/>
      <c r="BY316" s="858"/>
      <c r="BZ316" s="860"/>
      <c r="CA316" s="860"/>
      <c r="CB316" s="858"/>
      <c r="CC316" s="860"/>
      <c r="CD316" s="860"/>
      <c r="CE316" s="858"/>
      <c r="CF316" s="860"/>
      <c r="CG316" s="860"/>
      <c r="CH316" s="858"/>
      <c r="CI316" s="860"/>
      <c r="CJ316" s="860"/>
      <c r="CK316" s="858"/>
      <c r="CL316" s="860"/>
      <c r="CM316" s="860"/>
      <c r="CN316" s="858"/>
      <c r="CO316" s="860"/>
      <c r="CP316" s="860"/>
      <c r="CQ316" s="858"/>
      <c r="CR316" s="860"/>
      <c r="CS316" s="860"/>
      <c r="CT316" s="91"/>
      <c r="CU316" s="1619"/>
      <c r="CV316" s="1619"/>
      <c r="CW316" s="1170" t="str">
        <f>IF(AND(ISNUMBER(VALUE(TRIM(SUBSTITUTE(AD316,".","")))),TRIM(SUBSTITUTE(AD316,".",""))&lt;&gt;""),"P"&amp;SUBSTITUTE(AD316,".",""),"")</f>
        <v/>
      </c>
      <c r="CX316" s="1175"/>
      <c r="CY316" s="1175"/>
      <c r="CZ316" s="1175"/>
      <c r="DA316" s="1176"/>
      <c r="DB316" s="1176"/>
    </row>
    <row s="1619" customFormat="1" customHeight="1" ht="16.5">
      <c r="A317" s="1440"/>
      <c r="B317" s="924"/>
      <c r="C317" s="1440"/>
      <c r="D317" s="1440"/>
      <c r="E317" s="794">
        <v>17.1</v>
      </c>
      <c r="F317" s="919" cm="1" t="str">
        <f t="array" ref="F317:F317">OFFSET(G317,-1,-1)</f>
        <v>2</v>
      </c>
      <c r="G317" s="962"/>
      <c r="H317" s="962"/>
      <c r="I317" s="962"/>
      <c r="J317" s="962"/>
      <c r="K317" s="962"/>
      <c r="L317" s="919" cm="1" t="str">
        <f t="array" ref="L317:L317">OFFSET(M317,-1,-1)</f>
        <v>false</v>
      </c>
      <c r="M317" s="962"/>
      <c r="N317" s="962"/>
      <c r="O317" s="962"/>
      <c r="P317" s="962"/>
      <c r="Q317" s="962"/>
      <c r="R317" s="1440"/>
      <c r="S317" s="156" cm="1" t="str">
        <f t="array" ref="S317:S317">OFFSET(T317,-1,-1)</f>
        <v>true</v>
      </c>
      <c r="T317" s="1440"/>
      <c r="U317" s="816">
        <f>AND(S317,IF(ISBLANK(T317),TRUE,T317))</f>
        <v>1</v>
      </c>
      <c r="V317" s="1440"/>
      <c r="W317" s="1440"/>
      <c r="X317" s="1440"/>
      <c r="Y317" s="1440"/>
      <c r="Z317" s="1440"/>
      <c r="AA317" s="817"/>
      <c r="AB317" s="1482" t="s">
        <v>797</v>
      </c>
      <c r="AC317" s="1619"/>
      <c r="AD317" s="157">
        <v>22</v>
      </c>
      <c r="AE317" s="1495" t="s">
        <v>798</v>
      </c>
      <c r="AF317" s="165"/>
      <c r="AG317" s="738"/>
      <c r="AH317" s="858"/>
      <c r="AI317" s="860"/>
      <c r="AJ317" s="860"/>
      <c r="AK317" s="860"/>
      <c r="AL317" s="860"/>
      <c r="AM317" s="860"/>
      <c r="AN317" s="860"/>
      <c r="AO317" s="860"/>
      <c r="AP317" s="860"/>
      <c r="AQ317" s="860"/>
      <c r="AR317" s="860"/>
      <c r="AS317" s="860"/>
      <c r="AT317" s="860"/>
      <c r="AU317" s="860"/>
      <c r="AV317" s="860"/>
      <c r="AW317" s="860"/>
      <c r="AX317" s="860"/>
      <c r="AY317" s="860"/>
      <c r="AZ317" s="860"/>
      <c r="BA317" s="860"/>
      <c r="BB317" s="860"/>
      <c r="BC317" s="860"/>
      <c r="BD317" s="860"/>
      <c r="BE317" s="860"/>
      <c r="BF317" s="860"/>
      <c r="BG317" s="860"/>
      <c r="BH317" s="860"/>
      <c r="BI317" s="860"/>
      <c r="BJ317" s="860"/>
      <c r="BK317" s="860"/>
      <c r="BL317" s="860"/>
      <c r="BM317" s="860"/>
      <c r="BN317" s="860"/>
      <c r="BO317" s="860"/>
      <c r="BP317" s="860"/>
      <c r="BQ317" s="860"/>
      <c r="BR317" s="860"/>
      <c r="BS317" s="860"/>
      <c r="BT317" s="860"/>
      <c r="BU317" s="860"/>
      <c r="BV317" s="860"/>
      <c r="BW317" s="860"/>
      <c r="BX317" s="860"/>
      <c r="BY317" s="860"/>
      <c r="BZ317" s="860"/>
      <c r="CA317" s="860"/>
      <c r="CB317" s="860"/>
      <c r="CC317" s="860"/>
      <c r="CD317" s="860"/>
      <c r="CE317" s="860"/>
      <c r="CF317" s="860"/>
      <c r="CG317" s="860"/>
      <c r="CH317" s="860"/>
      <c r="CI317" s="860"/>
      <c r="CJ317" s="860"/>
      <c r="CK317" s="860"/>
      <c r="CL317" s="860"/>
      <c r="CM317" s="860"/>
      <c r="CN317" s="860"/>
      <c r="CO317" s="860"/>
      <c r="CP317" s="860"/>
      <c r="CQ317" s="860"/>
      <c r="CR317" s="860"/>
      <c r="CS317" s="860"/>
      <c r="CT317" s="1730"/>
      <c r="CU317" s="1619"/>
      <c r="CV317" s="1619"/>
      <c r="CW317" s="1170" t="s">
        <v>799</v>
      </c>
      <c r="CX317" s="1175"/>
      <c r="CY317" s="1175"/>
      <c r="CZ317" s="1175"/>
      <c r="DA317" s="1176"/>
      <c r="DB317" s="1176"/>
    </row>
    <row s="1619" customFormat="1" customHeight="1" ht="16.5" hidden="1">
      <c r="E318" s="794">
        <v>17.1</v>
      </c>
      <c r="F318" s="919" cm="1" t="str">
        <f t="array" ref="F318:F318">OFFSET(G318,-1,-1)</f>
        <v>2</v>
      </c>
      <c r="L318" s="919" cm="1" t="str">
        <f t="array" ref="L318:L318">OFFSET(M318,-1,-1)</f>
        <v>false</v>
      </c>
      <c r="S318" s="156" cm="1" t="str">
        <f t="array" ref="S318:S318">OFFSET(T318,-1,-1)</f>
        <v>true</v>
      </c>
      <c r="T318" s="156">
        <f>AD318&lt;&gt;"22.0"</f>
        <v>0</v>
      </c>
      <c r="U318" s="816">
        <f>AND(S318,IF(ISBLANK(T318),TRUE,T318))</f>
        <v>0</v>
      </c>
      <c r="X318" s="156" t="s">
        <v>233</v>
      </c>
      <c r="AB318" s="1483"/>
      <c r="AD318" s="157" t="s">
        <v>800</v>
      </c>
      <c r="AE318" s="971"/>
      <c r="AF318" s="622"/>
      <c r="AG318" s="1011" t="s">
        <v>490</v>
      </c>
      <c r="AH318" s="92"/>
      <c r="AI318" s="93"/>
      <c r="AJ318" s="93"/>
      <c r="AK318" s="93"/>
      <c r="AL318" s="1037"/>
      <c r="AM318" s="93"/>
      <c r="AN318" s="93"/>
      <c r="AO318" s="1037"/>
      <c r="AP318" s="1036"/>
      <c r="AQ318" s="1036"/>
      <c r="AR318" s="1037"/>
      <c r="AS318" s="1036"/>
      <c r="AT318" s="1036"/>
      <c r="AU318" s="1037"/>
      <c r="AV318" s="1036"/>
      <c r="AW318" s="1036"/>
      <c r="AX318" s="1037"/>
      <c r="AY318" s="1036"/>
      <c r="AZ318" s="1036"/>
      <c r="BA318" s="1037"/>
      <c r="BB318" s="93"/>
      <c r="BC318" s="93"/>
      <c r="BD318" s="1037"/>
      <c r="BE318" s="93"/>
      <c r="BF318" s="93"/>
      <c r="BG318" s="1037"/>
      <c r="BH318" s="93"/>
      <c r="BI318" s="93"/>
      <c r="BJ318" s="1037"/>
      <c r="BK318" s="93"/>
      <c r="BL318" s="93"/>
      <c r="BM318" s="1037"/>
      <c r="BN318" s="93"/>
      <c r="BO318" s="93"/>
      <c r="BP318" s="1037"/>
      <c r="BQ318" s="1036"/>
      <c r="BR318" s="1036"/>
      <c r="BS318" s="1037"/>
      <c r="BT318" s="1036"/>
      <c r="BU318" s="1036"/>
      <c r="BV318" s="1037"/>
      <c r="BW318" s="1036"/>
      <c r="BX318" s="1036"/>
      <c r="BY318" s="1037"/>
      <c r="BZ318" s="1036"/>
      <c r="CA318" s="1036"/>
      <c r="CB318" s="1037"/>
      <c r="CC318" s="1036"/>
      <c r="CD318" s="1036"/>
      <c r="CE318" s="1037"/>
      <c r="CF318" s="93"/>
      <c r="CG318" s="93"/>
      <c r="CH318" s="1037"/>
      <c r="CI318" s="93"/>
      <c r="CJ318" s="93"/>
      <c r="CK318" s="1037"/>
      <c r="CL318" s="93"/>
      <c r="CM318" s="93"/>
      <c r="CN318" s="1037"/>
      <c r="CO318" s="93"/>
      <c r="CP318" s="93"/>
      <c r="CQ318" s="1037"/>
      <c r="CR318" s="93"/>
      <c r="CS318" s="93"/>
      <c r="CT318" s="73"/>
      <c r="CW318" s="1170" t="s">
        <v>799</v>
      </c>
      <c r="CX318" s="1175" t="s">
        <v>787</v>
      </c>
      <c r="CY318" s="1179" cm="1" t="str">
        <f t="array" ref="CY318:CY318">AE318</f>
        <v>0</v>
      </c>
      <c r="CZ318" s="1179" cm="1" t="str">
        <f t="array" ref="CZ318:CZ318">AF318</f>
        <v>0</v>
      </c>
      <c r="DA318" s="1176"/>
      <c r="DB318" s="1176"/>
    </row>
    <row s="1619" customFormat="1" customHeight="1" ht="16.5">
      <c r="A319" s="1619"/>
      <c r="B319" s="1619"/>
      <c r="C319" s="1619"/>
      <c r="D319" s="1619"/>
      <c r="E319" s="794">
        <v>17.1</v>
      </c>
      <c r="F319" s="919" cm="1" t="str">
        <f t="array" ref="F319:F319">OFFSET(G319,-1,-1)</f>
        <v>2</v>
      </c>
      <c r="G319" s="1619"/>
      <c r="H319" s="1619"/>
      <c r="I319" s="1619"/>
      <c r="J319" s="1619"/>
      <c r="K319" s="1619"/>
      <c r="L319" s="919" cm="1" t="str">
        <f t="array" ref="L319:L319">OFFSET(M319,-1,-1)</f>
        <v>false</v>
      </c>
      <c r="M319" s="1619"/>
      <c r="N319" s="1619"/>
      <c r="O319" s="1619"/>
      <c r="P319" s="1619"/>
      <c r="Q319" s="1619"/>
      <c r="R319" s="1619"/>
      <c r="S319" s="156" cm="1" t="str">
        <f t="array" ref="S319:S319">OFFSET(T319,-1,-1)</f>
        <v>true</v>
      </c>
      <c r="T319" s="156">
        <f>AD319&lt;&gt;"22.0"</f>
        <v>1</v>
      </c>
      <c r="U319" s="816">
        <f>AND(S319,IF(ISBLANK(T319),TRUE,T319))</f>
        <v>1</v>
      </c>
      <c r="V319" s="1619"/>
      <c r="W319" s="1619"/>
      <c r="X319" s="156" t="str">
        <f>'Топливо 4.4'!$AE$315&amp;'Топливо 4.4'!$AF$315</f>
        <v>Уголь бурыйБ</v>
      </c>
      <c r="Y319" s="1619"/>
      <c r="Z319" s="1619"/>
      <c r="AA319" s="1619"/>
      <c r="AB319" s="1483"/>
      <c r="AC319" s="1619"/>
      <c r="AD319" s="157" t="s">
        <v>902</v>
      </c>
      <c r="AE319" s="971" cm="1" t="str">
        <f t="array" ref="AE319:AE319">IF(ISBLANK('Топливо 4.4'!$AE$315),"",'Топливо 4.4'!$AE$315)</f>
        <v>Уголь бурый</v>
      </c>
      <c r="AF319" s="622" cm="1" t="str">
        <f t="array" ref="AF319:AF319">IF(ISBLANK('Топливо 4.4'!$AF$315),"",'Топливо 4.4'!$AF$315)</f>
        <v>Б</v>
      </c>
      <c r="AG319" s="1011" t="s">
        <v>490</v>
      </c>
      <c r="AH319" s="1774"/>
      <c r="AI319" s="1775"/>
      <c r="AJ319" s="1775"/>
      <c r="AK319" s="1775"/>
      <c r="AL319" s="1037"/>
      <c r="AM319" s="1775"/>
      <c r="AN319" s="1775"/>
      <c r="AO319" s="1037"/>
      <c r="AP319" s="1036"/>
      <c r="AQ319" s="1036"/>
      <c r="AR319" s="1037"/>
      <c r="AS319" s="1036"/>
      <c r="AT319" s="1036"/>
      <c r="AU319" s="1037"/>
      <c r="AV319" s="1036"/>
      <c r="AW319" s="1036"/>
      <c r="AX319" s="1037"/>
      <c r="AY319" s="1036"/>
      <c r="AZ319" s="1036"/>
      <c r="BA319" s="1037"/>
      <c r="BB319" s="1775"/>
      <c r="BC319" s="1775"/>
      <c r="BD319" s="1037"/>
      <c r="BE319" s="1775"/>
      <c r="BF319" s="1775"/>
      <c r="BG319" s="1037"/>
      <c r="BH319" s="1775"/>
      <c r="BI319" s="1775"/>
      <c r="BJ319" s="1037"/>
      <c r="BK319" s="1775"/>
      <c r="BL319" s="1775"/>
      <c r="BM319" s="1037"/>
      <c r="BN319" s="1775"/>
      <c r="BO319" s="1775"/>
      <c r="BP319" s="1037"/>
      <c r="BQ319" s="1036"/>
      <c r="BR319" s="1036"/>
      <c r="BS319" s="1037"/>
      <c r="BT319" s="1036"/>
      <c r="BU319" s="1036"/>
      <c r="BV319" s="1037"/>
      <c r="BW319" s="1036"/>
      <c r="BX319" s="1036"/>
      <c r="BY319" s="1037"/>
      <c r="BZ319" s="1036"/>
      <c r="CA319" s="1036"/>
      <c r="CB319" s="1037"/>
      <c r="CC319" s="1036"/>
      <c r="CD319" s="1036"/>
      <c r="CE319" s="1037"/>
      <c r="CF319" s="1775"/>
      <c r="CG319" s="1775"/>
      <c r="CH319" s="1037"/>
      <c r="CI319" s="1775"/>
      <c r="CJ319" s="1775"/>
      <c r="CK319" s="1037"/>
      <c r="CL319" s="1775"/>
      <c r="CM319" s="1775"/>
      <c r="CN319" s="1037"/>
      <c r="CO319" s="1775"/>
      <c r="CP319" s="1775"/>
      <c r="CQ319" s="1037"/>
      <c r="CR319" s="1775"/>
      <c r="CS319" s="1775"/>
      <c r="CT319" s="1730"/>
      <c r="CU319" s="1619"/>
      <c r="CV319" s="1619"/>
      <c r="CW319" s="1170" t="s">
        <v>799</v>
      </c>
      <c r="CX319" s="1175" t="s">
        <v>787</v>
      </c>
      <c r="CY319" s="1179" cm="1" t="str">
        <f t="array" ref="CY319:CY319">AE319</f>
        <v>Уголь бурый</v>
      </c>
      <c r="CZ319" s="1179" cm="1" t="str">
        <f t="array" ref="CZ319:CZ319">AF319</f>
        <v>Б</v>
      </c>
      <c r="DA319" s="1176"/>
      <c r="DB319" s="1176"/>
    </row>
    <row s="1619" customFormat="1" customHeight="1" ht="17.25" hidden="1">
      <c r="A320" s="1440"/>
      <c r="B320" s="924"/>
      <c r="C320" s="1440"/>
      <c r="D320" s="1440"/>
      <c r="E320" s="794">
        <v>0</v>
      </c>
      <c r="F320" s="919" cm="1" t="str">
        <f t="array" ref="F320:F320">OFFSET(G320,-1,-1)</f>
        <v>2</v>
      </c>
      <c r="G320" s="962"/>
      <c r="H320" s="962"/>
      <c r="I320" s="962"/>
      <c r="J320" s="962"/>
      <c r="K320" s="962"/>
      <c r="L320" s="919" cm="1" t="str">
        <f t="array" ref="L320:L320">OFFSET(M320,-1,-1)</f>
        <v>false</v>
      </c>
      <c r="M320" s="962"/>
      <c r="N320" s="962"/>
      <c r="O320" s="962"/>
      <c r="P320" s="962"/>
      <c r="Q320" s="962"/>
      <c r="R320" s="1440"/>
      <c r="S320" s="156" cm="1" t="str">
        <f t="array" ref="S320:S320">OFFSET(T320,-1,-1)</f>
        <v>true</v>
      </c>
      <c r="T320" s="1440"/>
      <c r="U320" s="816">
        <f>AND(S320,IF(ISBLANK(T320),TRUE,T320))</f>
        <v>1</v>
      </c>
      <c r="V320" s="1440"/>
      <c r="W320" s="1440"/>
      <c r="X320" s="970" t="str">
        <f>"{                  
         funcDyn: 'msg1',
         blok: 'blok_2',
         wsCross: 'Топливо 4.4',
         linkFormula: 'AE-AE#AF-AF',
         levelDyn: "&amp;Y275&amp;"
}"</f>
        <v>{                  
         funcDyn: 'msg1',
         blok: 'blok_2',
         wsCross: 'Топливо 4.4',
         linkFormula: 'AE-AE#AF-AF',
         levelDyn: 2
}</v>
      </c>
      <c r="Y320" s="1440"/>
      <c r="Z320" s="1440"/>
      <c r="AA320" s="817"/>
      <c r="AB320" s="1483"/>
      <c r="AC320" s="1619"/>
      <c r="AD320" s="973"/>
      <c r="AE320" s="972" t="s">
        <v>235</v>
      </c>
      <c r="AF320" s="871"/>
      <c r="AG320" s="1011"/>
      <c r="AH320" s="858"/>
      <c r="AI320" s="860"/>
      <c r="AJ320" s="860"/>
      <c r="AK320" s="860"/>
      <c r="AL320" s="860"/>
      <c r="AM320" s="860"/>
      <c r="AN320" s="860"/>
      <c r="AO320" s="860"/>
      <c r="AP320" s="860"/>
      <c r="AQ320" s="860"/>
      <c r="AR320" s="860"/>
      <c r="AS320" s="860"/>
      <c r="AT320" s="860"/>
      <c r="AU320" s="860"/>
      <c r="AV320" s="860"/>
      <c r="AW320" s="860"/>
      <c r="AX320" s="860"/>
      <c r="AY320" s="860"/>
      <c r="AZ320" s="860"/>
      <c r="BA320" s="860"/>
      <c r="BB320" s="860"/>
      <c r="BC320" s="860"/>
      <c r="BD320" s="860"/>
      <c r="BE320" s="860"/>
      <c r="BF320" s="860"/>
      <c r="BG320" s="860"/>
      <c r="BH320" s="860"/>
      <c r="BI320" s="860"/>
      <c r="BJ320" s="860"/>
      <c r="BK320" s="860"/>
      <c r="BL320" s="860"/>
      <c r="BM320" s="860"/>
      <c r="BN320" s="860"/>
      <c r="BO320" s="860"/>
      <c r="BP320" s="860"/>
      <c r="BQ320" s="860"/>
      <c r="BR320" s="860"/>
      <c r="BS320" s="860"/>
      <c r="BT320" s="860"/>
      <c r="BU320" s="860"/>
      <c r="BV320" s="860"/>
      <c r="BW320" s="860"/>
      <c r="BX320" s="860"/>
      <c r="BY320" s="860"/>
      <c r="BZ320" s="860"/>
      <c r="CA320" s="860"/>
      <c r="CB320" s="860"/>
      <c r="CC320" s="860"/>
      <c r="CD320" s="860"/>
      <c r="CE320" s="860"/>
      <c r="CF320" s="860"/>
      <c r="CG320" s="860"/>
      <c r="CH320" s="860"/>
      <c r="CI320" s="860"/>
      <c r="CJ320" s="860"/>
      <c r="CK320" s="860"/>
      <c r="CL320" s="860"/>
      <c r="CM320" s="860"/>
      <c r="CN320" s="860"/>
      <c r="CO320" s="860"/>
      <c r="CP320" s="860"/>
      <c r="CQ320" s="860"/>
      <c r="CR320" s="860"/>
      <c r="CS320" s="860"/>
      <c r="CT320" s="91"/>
      <c r="CU320" s="1619"/>
      <c r="CV320" s="1619"/>
      <c r="CW320" s="1170" t="str">
        <f>IF(AND(ISNUMBER(VALUE(TRIM(SUBSTITUTE(AD320,".","")))),TRIM(SUBSTITUTE(AD320,".",""))&lt;&gt;""),"P"&amp;SUBSTITUTE(AD320,".",""),"")</f>
        <v/>
      </c>
      <c r="CX320" s="1175"/>
      <c r="CY320" s="1175"/>
      <c r="CZ320" s="1175"/>
      <c r="DA320" s="1176"/>
      <c r="DB320" s="1176"/>
    </row>
    <row s="1619" customFormat="1" customHeight="1" ht="16.5">
      <c r="A321" s="1440"/>
      <c r="B321" s="924"/>
      <c r="C321" s="1440"/>
      <c r="D321" s="1440"/>
      <c r="E321" s="794">
        <v>17.1</v>
      </c>
      <c r="F321" s="919" cm="1" t="str">
        <f t="array" ref="F321:F321">OFFSET(G321,-1,-1)</f>
        <v>2</v>
      </c>
      <c r="G321" s="962"/>
      <c r="H321" s="962"/>
      <c r="I321" s="962"/>
      <c r="J321" s="962"/>
      <c r="K321" s="962"/>
      <c r="L321" s="919" cm="1" t="str">
        <f t="array" ref="L321:L321">OFFSET(M321,-1,-1)</f>
        <v>false</v>
      </c>
      <c r="M321" s="962"/>
      <c r="N321" s="962"/>
      <c r="O321" s="962"/>
      <c r="P321" s="962"/>
      <c r="Q321" s="962"/>
      <c r="R321" s="1440"/>
      <c r="S321" s="156" cm="1" t="str">
        <f t="array" ref="S321:S321">OFFSET(T321,-1,-1)</f>
        <v>true</v>
      </c>
      <c r="T321" s="1440"/>
      <c r="U321" s="816">
        <f>AND(S321,IF(ISBLANK(T321),TRUE,T321))</f>
        <v>1</v>
      </c>
      <c r="V321" s="1440"/>
      <c r="W321" s="1440"/>
      <c r="X321" s="1440"/>
      <c r="Y321" s="1440"/>
      <c r="Z321" s="1440"/>
      <c r="AA321" s="817"/>
      <c r="AB321" s="1483"/>
      <c r="AC321" s="1619"/>
      <c r="AD321" s="157">
        <v>23</v>
      </c>
      <c r="AE321" s="1495" t="s">
        <v>801</v>
      </c>
      <c r="AF321" s="165"/>
      <c r="AG321" s="738"/>
      <c r="AH321" s="858"/>
      <c r="AI321" s="860"/>
      <c r="AJ321" s="860"/>
      <c r="AK321" s="860"/>
      <c r="AL321" s="860"/>
      <c r="AM321" s="860"/>
      <c r="AN321" s="860"/>
      <c r="AO321" s="860"/>
      <c r="AP321" s="860"/>
      <c r="AQ321" s="860"/>
      <c r="AR321" s="860"/>
      <c r="AS321" s="860"/>
      <c r="AT321" s="860"/>
      <c r="AU321" s="860"/>
      <c r="AV321" s="860"/>
      <c r="AW321" s="860"/>
      <c r="AX321" s="860"/>
      <c r="AY321" s="860"/>
      <c r="AZ321" s="860"/>
      <c r="BA321" s="860"/>
      <c r="BB321" s="860"/>
      <c r="BC321" s="860"/>
      <c r="BD321" s="860"/>
      <c r="BE321" s="860"/>
      <c r="BF321" s="860"/>
      <c r="BG321" s="860"/>
      <c r="BH321" s="860"/>
      <c r="BI321" s="860"/>
      <c r="BJ321" s="860"/>
      <c r="BK321" s="860"/>
      <c r="BL321" s="860"/>
      <c r="BM321" s="860"/>
      <c r="BN321" s="860"/>
      <c r="BO321" s="860"/>
      <c r="BP321" s="860"/>
      <c r="BQ321" s="860"/>
      <c r="BR321" s="860"/>
      <c r="BS321" s="860"/>
      <c r="BT321" s="860"/>
      <c r="BU321" s="860"/>
      <c r="BV321" s="860"/>
      <c r="BW321" s="860"/>
      <c r="BX321" s="860"/>
      <c r="BY321" s="860"/>
      <c r="BZ321" s="860"/>
      <c r="CA321" s="860"/>
      <c r="CB321" s="860"/>
      <c r="CC321" s="860"/>
      <c r="CD321" s="860"/>
      <c r="CE321" s="860"/>
      <c r="CF321" s="860"/>
      <c r="CG321" s="860"/>
      <c r="CH321" s="860"/>
      <c r="CI321" s="860"/>
      <c r="CJ321" s="860"/>
      <c r="CK321" s="860"/>
      <c r="CL321" s="860"/>
      <c r="CM321" s="860"/>
      <c r="CN321" s="860"/>
      <c r="CO321" s="860"/>
      <c r="CP321" s="860"/>
      <c r="CQ321" s="860"/>
      <c r="CR321" s="860"/>
      <c r="CS321" s="860"/>
      <c r="CT321" s="1730"/>
      <c r="CU321" s="1619"/>
      <c r="CV321" s="1619"/>
      <c r="CW321" s="1170" t="s">
        <v>802</v>
      </c>
      <c r="CX321" s="1175"/>
      <c r="CY321" s="1175"/>
      <c r="CZ321" s="1175"/>
      <c r="DA321" s="1176"/>
      <c r="DB321" s="1176"/>
    </row>
    <row s="1619" customFormat="1" customHeight="1" ht="16.5" hidden="1">
      <c r="E322" s="794">
        <v>17.1</v>
      </c>
      <c r="F322" s="919" cm="1" t="str">
        <f t="array" ref="F322:F322">OFFSET(G322,-1,-1)</f>
        <v>2</v>
      </c>
      <c r="L322" s="919" cm="1" t="str">
        <f t="array" ref="L322:L322">OFFSET(M322,-1,-1)</f>
        <v>false</v>
      </c>
      <c r="S322" s="156" cm="1" t="str">
        <f t="array" ref="S322:S322">OFFSET(T322,-1,-1)</f>
        <v>true</v>
      </c>
      <c r="T322" s="156">
        <f>AD322&lt;&gt;"23.0"</f>
        <v>0</v>
      </c>
      <c r="U322" s="816">
        <f>AND(S322,IF(ISBLANK(T322),TRUE,T322))</f>
        <v>0</v>
      </c>
      <c r="X322" s="156" t="s">
        <v>233</v>
      </c>
      <c r="AB322" s="1483"/>
      <c r="AD322" s="157" t="s">
        <v>803</v>
      </c>
      <c r="AE322" s="971"/>
      <c r="AF322" s="622"/>
      <c r="AG322" s="1067" t="str">
        <f>"руб./"&amp;_xlfn.IFERROR(INDEX(fuel_ed_izm_list,MATCH(AE322,fuel_list,0)),"")</f>
        <v>руб./</v>
      </c>
      <c r="AH322" s="86">
        <f>_xlfn.IFERROR(AH327/AH314,0)*1000</f>
        <v>0</v>
      </c>
      <c r="AI322" s="87">
        <f>_xlfn.IFERROR(AI327/AI314,0)*1000</f>
        <v>0</v>
      </c>
      <c r="AJ322" s="87">
        <f>_xlfn.IFERROR(AJ327/AJ314,0)*1000</f>
        <v>0</v>
      </c>
      <c r="AK322" s="87">
        <f>_xlfn.IFERROR(AK327/AK314,0)*1000</f>
        <v>0</v>
      </c>
      <c r="AL322" s="859">
        <f>_xlfn.IFERROR(AL327/AL314,0)*1000</f>
        <v>0</v>
      </c>
      <c r="AM322" s="87"/>
      <c r="AN322" s="87"/>
      <c r="AO322" s="859">
        <f>_xlfn.IFERROR(AO327/AO314,0)*1000</f>
        <v>0</v>
      </c>
      <c r="AP322" s="976"/>
      <c r="AQ322" s="976"/>
      <c r="AR322" s="859">
        <f>_xlfn.IFERROR(AR327/AR314,0)*1000</f>
        <v>0</v>
      </c>
      <c r="AS322" s="976"/>
      <c r="AT322" s="976"/>
      <c r="AU322" s="859">
        <f>_xlfn.IFERROR(AU327/AU314,0)*1000</f>
        <v>0</v>
      </c>
      <c r="AV322" s="976"/>
      <c r="AW322" s="976"/>
      <c r="AX322" s="859">
        <f>_xlfn.IFERROR(AX327/AX314,0)*1000</f>
        <v>0</v>
      </c>
      <c r="AY322" s="976"/>
      <c r="AZ322" s="976"/>
      <c r="BA322" s="859">
        <f>_xlfn.IFERROR(BA327/BA314,0)*1000</f>
        <v>0</v>
      </c>
      <c r="BB322" s="87"/>
      <c r="BC322" s="87"/>
      <c r="BD322" s="859">
        <f>_xlfn.IFERROR(BD327/BD314,0)*1000</f>
        <v>0</v>
      </c>
      <c r="BE322" s="87"/>
      <c r="BF322" s="87"/>
      <c r="BG322" s="859">
        <f>_xlfn.IFERROR(BG327/BG314,0)*1000</f>
        <v>0</v>
      </c>
      <c r="BH322" s="87"/>
      <c r="BI322" s="87"/>
      <c r="BJ322" s="859">
        <f>_xlfn.IFERROR(BJ327/BJ314,0)*1000</f>
        <v>0</v>
      </c>
      <c r="BK322" s="87"/>
      <c r="BL322" s="87"/>
      <c r="BM322" s="859">
        <f>_xlfn.IFERROR(BM327/BM314,0)*1000</f>
        <v>0</v>
      </c>
      <c r="BN322" s="87"/>
      <c r="BO322" s="87"/>
      <c r="BP322" s="859">
        <f>_xlfn.IFERROR(BP327/BP314,0)*1000</f>
        <v>0</v>
      </c>
      <c r="BQ322" s="976"/>
      <c r="BR322" s="976"/>
      <c r="BS322" s="859">
        <f>_xlfn.IFERROR(BS327/BS314,0)*1000</f>
        <v>0</v>
      </c>
      <c r="BT322" s="976"/>
      <c r="BU322" s="976"/>
      <c r="BV322" s="859">
        <f>_xlfn.IFERROR(BV327/BV314,0)*1000</f>
        <v>0</v>
      </c>
      <c r="BW322" s="976"/>
      <c r="BX322" s="976"/>
      <c r="BY322" s="859">
        <f>_xlfn.IFERROR(BY327/BY314,0)*1000</f>
        <v>0</v>
      </c>
      <c r="BZ322" s="976"/>
      <c r="CA322" s="976"/>
      <c r="CB322" s="859">
        <f>_xlfn.IFERROR(CB327/CB314,0)*1000</f>
        <v>0</v>
      </c>
      <c r="CC322" s="976"/>
      <c r="CD322" s="976"/>
      <c r="CE322" s="859">
        <f>_xlfn.IFERROR(CE327/CE314,0)*1000</f>
        <v>0</v>
      </c>
      <c r="CF322" s="87"/>
      <c r="CG322" s="87"/>
      <c r="CH322" s="859">
        <f>_xlfn.IFERROR(CH327/CH314,0)*1000</f>
        <v>0</v>
      </c>
      <c r="CI322" s="87"/>
      <c r="CJ322" s="87"/>
      <c r="CK322" s="859">
        <f>_xlfn.IFERROR(CK327/CK314,0)*1000</f>
        <v>0</v>
      </c>
      <c r="CL322" s="87"/>
      <c r="CM322" s="87"/>
      <c r="CN322" s="859">
        <f>_xlfn.IFERROR(CN327/CN314,0)*1000</f>
        <v>0</v>
      </c>
      <c r="CO322" s="87"/>
      <c r="CP322" s="87"/>
      <c r="CQ322" s="859">
        <f>_xlfn.IFERROR(CQ327/CQ314,0)*1000</f>
        <v>0</v>
      </c>
      <c r="CR322" s="87"/>
      <c r="CS322" s="87"/>
      <c r="CT322" s="73"/>
      <c r="CW322" s="1170" t="s">
        <v>802</v>
      </c>
      <c r="CX322" s="1175" t="s">
        <v>787</v>
      </c>
      <c r="CY322" s="1179" cm="1" t="str">
        <f t="array" ref="CY322:CY322">AE322</f>
        <v>0</v>
      </c>
      <c r="CZ322" s="1179" cm="1" t="str">
        <f t="array" ref="CZ322:CZ322">AF322</f>
        <v>0</v>
      </c>
      <c r="DA322" s="1176"/>
      <c r="DB322" s="1176"/>
    </row>
    <row s="1619" customFormat="1" customHeight="1" ht="16.5">
      <c r="A323" s="1619"/>
      <c r="B323" s="1619"/>
      <c r="C323" s="1619"/>
      <c r="D323" s="1619"/>
      <c r="E323" s="794">
        <v>17.1</v>
      </c>
      <c r="F323" s="919" cm="1" t="str">
        <f t="array" ref="F323:F323">OFFSET(G323,-1,-1)</f>
        <v>2</v>
      </c>
      <c r="G323" s="1619"/>
      <c r="H323" s="1619"/>
      <c r="I323" s="1619"/>
      <c r="J323" s="1619"/>
      <c r="K323" s="1619"/>
      <c r="L323" s="919" cm="1" t="str">
        <f t="array" ref="L323:L323">OFFSET(M323,-1,-1)</f>
        <v>false</v>
      </c>
      <c r="M323" s="1619"/>
      <c r="N323" s="1619"/>
      <c r="O323" s="1619"/>
      <c r="P323" s="1619"/>
      <c r="Q323" s="1619"/>
      <c r="R323" s="1619"/>
      <c r="S323" s="156" cm="1" t="str">
        <f t="array" ref="S323:S323">OFFSET(T323,-1,-1)</f>
        <v>true</v>
      </c>
      <c r="T323" s="156">
        <f>AD323&lt;&gt;"23.0"</f>
        <v>1</v>
      </c>
      <c r="U323" s="816">
        <f>AND(S323,IF(ISBLANK(T323),TRUE,T323))</f>
        <v>1</v>
      </c>
      <c r="V323" s="1619"/>
      <c r="W323" s="1619"/>
      <c r="X323" s="156" t="str">
        <f>'Топливо 4.4'!$AE$319&amp;'Топливо 4.4'!$AF$319</f>
        <v>Уголь бурыйБ</v>
      </c>
      <c r="Y323" s="1619"/>
      <c r="Z323" s="1619"/>
      <c r="AA323" s="1619"/>
      <c r="AB323" s="1483"/>
      <c r="AC323" s="1619"/>
      <c r="AD323" s="157" t="s">
        <v>903</v>
      </c>
      <c r="AE323" s="971" cm="1" t="str">
        <f t="array" ref="AE323:AE323">IF(ISBLANK('Топливо 4.4'!$AE$319),"",'Топливо 4.4'!$AE$319)</f>
        <v>Уголь бурый</v>
      </c>
      <c r="AF323" s="622" cm="1" t="str">
        <f t="array" ref="AF323:AF323">IF(ISBLANK('Топливо 4.4'!$AF$319),"",'Топливо 4.4'!$AF$319)</f>
        <v>Б</v>
      </c>
      <c r="AG323" s="1067" t="str">
        <f>"руб./"&amp;_xlfn.IFERROR(INDEX(fuel_ed_izm_list,MATCH(AE323,fuel_list,0)),"")</f>
        <v>руб./тнт</v>
      </c>
      <c r="AH323" s="1768">
        <f>_xlfn.IFERROR(AH328/AH315,0)*1000</f>
        <v>0</v>
      </c>
      <c r="AI323" s="1766">
        <f>_xlfn.IFERROR(AI328/AI315,0)*1000</f>
        <v>0</v>
      </c>
      <c r="AJ323" s="1766">
        <f>_xlfn.IFERROR(AJ328/AJ315,0)*1000</f>
        <v>0</v>
      </c>
      <c r="AK323" s="1766">
        <f>_xlfn.IFERROR(AK328/AK315,0)*1000</f>
        <v>0</v>
      </c>
      <c r="AL323" s="859">
        <f>_xlfn.IFERROR(AL328/AL315,0)*1000</f>
        <v>9223.81</v>
      </c>
      <c r="AM323" s="1766">
        <v>9223.81</v>
      </c>
      <c r="AN323" s="1766">
        <v>9223.81</v>
      </c>
      <c r="AO323" s="859">
        <f>_xlfn.IFERROR(AO328/AO315,0)*1000</f>
        <v>9737.84</v>
      </c>
      <c r="AP323" s="976">
        <v>9737.84</v>
      </c>
      <c r="AQ323" s="976">
        <v>9737.84</v>
      </c>
      <c r="AR323" s="859">
        <f>_xlfn.IFERROR(AR328/AR315,0)*1000</f>
        <v>10105.89</v>
      </c>
      <c r="AS323" s="976">
        <v>10105.89</v>
      </c>
      <c r="AT323" s="976">
        <v>10105.89</v>
      </c>
      <c r="AU323" s="859">
        <f>_xlfn.IFERROR(AU328/AU315,0)*1000</f>
        <v>10488.33</v>
      </c>
      <c r="AV323" s="976">
        <v>10488.33</v>
      </c>
      <c r="AW323" s="976">
        <v>10488.33</v>
      </c>
      <c r="AX323" s="859">
        <f>_xlfn.IFERROR(AX328/AX315,0)*1000</f>
        <v>10887.23</v>
      </c>
      <c r="AY323" s="976">
        <v>10887.23</v>
      </c>
      <c r="AZ323" s="976">
        <v>10887.23</v>
      </c>
      <c r="BA323" s="859">
        <f>_xlfn.IFERROR(BA328/BA315,0)*1000</f>
        <v>0</v>
      </c>
      <c r="BB323" s="1766"/>
      <c r="BC323" s="1766"/>
      <c r="BD323" s="859">
        <f>_xlfn.IFERROR(BD328/BD315,0)*1000</f>
        <v>0</v>
      </c>
      <c r="BE323" s="1766"/>
      <c r="BF323" s="1766"/>
      <c r="BG323" s="859">
        <f>_xlfn.IFERROR(BG328/BG315,0)*1000</f>
        <v>0</v>
      </c>
      <c r="BH323" s="1766"/>
      <c r="BI323" s="1766"/>
      <c r="BJ323" s="859">
        <f>_xlfn.IFERROR(BJ328/BJ315,0)*1000</f>
        <v>0</v>
      </c>
      <c r="BK323" s="1766"/>
      <c r="BL323" s="1766"/>
      <c r="BM323" s="859">
        <f>_xlfn.IFERROR(BM328/BM315,0)*1000</f>
        <v>0</v>
      </c>
      <c r="BN323" s="1766"/>
      <c r="BO323" s="1766"/>
      <c r="BP323" s="859">
        <f>_xlfn.IFERROR(BP328/BP315,0)*1000</f>
        <v>8061.05000000002</v>
      </c>
      <c r="BQ323" s="976">
        <v>8061.05</v>
      </c>
      <c r="BR323" s="976">
        <v>8061.05</v>
      </c>
      <c r="BS323" s="859">
        <f>_xlfn.IFERROR(BS328/BS315,0)*1000</f>
        <v>8415.73999999998</v>
      </c>
      <c r="BT323" s="976">
        <v>8415.74</v>
      </c>
      <c r="BU323" s="976">
        <v>8415.74</v>
      </c>
      <c r="BV323" s="859">
        <f>_xlfn.IFERROR(BV328/BV315,0)*1000</f>
        <v>8642.96</v>
      </c>
      <c r="BW323" s="976">
        <v>8642.96</v>
      </c>
      <c r="BX323" s="976">
        <v>8642.96</v>
      </c>
      <c r="BY323" s="859">
        <f>_xlfn.IFERROR(BY328/BY315,0)*1000</f>
        <v>8876.31999999999</v>
      </c>
      <c r="BZ323" s="976">
        <v>8876.32</v>
      </c>
      <c r="CA323" s="976">
        <v>8876.32</v>
      </c>
      <c r="CB323" s="859">
        <f>_xlfn.IFERROR(CB328/CB315,0)*1000</f>
        <v>9115.98</v>
      </c>
      <c r="CC323" s="976">
        <v>9115.98</v>
      </c>
      <c r="CD323" s="976">
        <v>9115.98</v>
      </c>
      <c r="CE323" s="859">
        <f>_xlfn.IFERROR(CE328/CE315,0)*1000</f>
        <v>0</v>
      </c>
      <c r="CF323" s="1766"/>
      <c r="CG323" s="1766"/>
      <c r="CH323" s="859">
        <f>_xlfn.IFERROR(CH328/CH315,0)*1000</f>
        <v>0</v>
      </c>
      <c r="CI323" s="1766"/>
      <c r="CJ323" s="1766"/>
      <c r="CK323" s="859">
        <f>_xlfn.IFERROR(CK328/CK315,0)*1000</f>
        <v>0</v>
      </c>
      <c r="CL323" s="1766"/>
      <c r="CM323" s="1766"/>
      <c r="CN323" s="859">
        <f>_xlfn.IFERROR(CN328/CN315,0)*1000</f>
        <v>0</v>
      </c>
      <c r="CO323" s="1766"/>
      <c r="CP323" s="1766"/>
      <c r="CQ323" s="859">
        <f>_xlfn.IFERROR(CQ328/CQ315,0)*1000</f>
        <v>0</v>
      </c>
      <c r="CR323" s="1766"/>
      <c r="CS323" s="1766"/>
      <c r="CT323" s="1730"/>
      <c r="CU323" s="1619"/>
      <c r="CV323" s="1619"/>
      <c r="CW323" s="1170" t="s">
        <v>802</v>
      </c>
      <c r="CX323" s="1175" t="s">
        <v>787</v>
      </c>
      <c r="CY323" s="1179" cm="1" t="str">
        <f t="array" ref="CY323:CY323">AE323</f>
        <v>Уголь бурый</v>
      </c>
      <c r="CZ323" s="1179" cm="1" t="str">
        <f t="array" ref="CZ323:CZ323">AF323</f>
        <v>Б</v>
      </c>
      <c r="DA323" s="1176"/>
      <c r="DB323" s="1176"/>
    </row>
    <row s="1619" customFormat="1" customHeight="1" ht="17.25" hidden="1">
      <c r="A324" s="1440"/>
      <c r="B324" s="924"/>
      <c r="C324" s="1440"/>
      <c r="D324" s="1440"/>
      <c r="E324" s="794">
        <v>0</v>
      </c>
      <c r="F324" s="919" cm="1" t="str">
        <f t="array" ref="F324:F324">OFFSET(G324,-1,-1)</f>
        <v>2</v>
      </c>
      <c r="G324" s="962"/>
      <c r="H324" s="962"/>
      <c r="I324" s="962"/>
      <c r="J324" s="962"/>
      <c r="K324" s="962"/>
      <c r="L324" s="919" cm="1" t="str">
        <f t="array" ref="L324:L324">OFFSET(M324,-1,-1)</f>
        <v>false</v>
      </c>
      <c r="M324" s="962"/>
      <c r="N324" s="962"/>
      <c r="O324" s="962"/>
      <c r="P324" s="962"/>
      <c r="Q324" s="962"/>
      <c r="R324" s="1440"/>
      <c r="S324" s="156" cm="1" t="str">
        <f t="array" ref="S324:S324">OFFSET(T324,-1,-1)</f>
        <v>true</v>
      </c>
      <c r="T324" s="1440"/>
      <c r="U324" s="816">
        <f>AND(S324,IF(ISBLANK(T324),TRUE,T324))</f>
        <v>1</v>
      </c>
      <c r="V324" s="1440"/>
      <c r="W324" s="1440"/>
      <c r="X324" s="970" t="str">
        <f>"{                  
         funcDyn: 'msg1',
         blok: 'blok_2',
         wsCross: 'Топливо 4.4',
         linkFormula: 'AE-AE#AF-AF',
         levelDyn: "&amp;Y275&amp;"
}"</f>
        <v>{                  
         funcDyn: 'msg1',
         blok: 'blok_2',
         wsCross: 'Топливо 4.4',
         linkFormula: 'AE-AE#AF-AF',
         levelDyn: 2
}</v>
      </c>
      <c r="Y324" s="1440"/>
      <c r="Z324" s="1440"/>
      <c r="AA324" s="817"/>
      <c r="AB324" s="1483"/>
      <c r="AC324" s="1619"/>
      <c r="AD324" s="973"/>
      <c r="AE324" s="972" t="s">
        <v>235</v>
      </c>
      <c r="AF324" s="871"/>
      <c r="AG324" s="1011"/>
      <c r="AH324" s="858"/>
      <c r="AI324" s="860"/>
      <c r="AJ324" s="860"/>
      <c r="AK324" s="860"/>
      <c r="AL324" s="860"/>
      <c r="AM324" s="860"/>
      <c r="AN324" s="860"/>
      <c r="AO324" s="860"/>
      <c r="AP324" s="860"/>
      <c r="AQ324" s="860"/>
      <c r="AR324" s="860"/>
      <c r="AS324" s="860"/>
      <c r="AT324" s="860"/>
      <c r="AU324" s="860"/>
      <c r="AV324" s="860"/>
      <c r="AW324" s="860"/>
      <c r="AX324" s="860"/>
      <c r="AY324" s="860"/>
      <c r="AZ324" s="860"/>
      <c r="BA324" s="860"/>
      <c r="BB324" s="860"/>
      <c r="BC324" s="860"/>
      <c r="BD324" s="860"/>
      <c r="BE324" s="860"/>
      <c r="BF324" s="860"/>
      <c r="BG324" s="860"/>
      <c r="BH324" s="860"/>
      <c r="BI324" s="860"/>
      <c r="BJ324" s="860"/>
      <c r="BK324" s="860"/>
      <c r="BL324" s="860"/>
      <c r="BM324" s="860"/>
      <c r="BN324" s="860"/>
      <c r="BO324" s="860"/>
      <c r="BP324" s="860"/>
      <c r="BQ324" s="860"/>
      <c r="BR324" s="860"/>
      <c r="BS324" s="860"/>
      <c r="BT324" s="860"/>
      <c r="BU324" s="860"/>
      <c r="BV324" s="860"/>
      <c r="BW324" s="860"/>
      <c r="BX324" s="860"/>
      <c r="BY324" s="860"/>
      <c r="BZ324" s="860"/>
      <c r="CA324" s="860"/>
      <c r="CB324" s="860"/>
      <c r="CC324" s="860"/>
      <c r="CD324" s="860"/>
      <c r="CE324" s="860"/>
      <c r="CF324" s="860"/>
      <c r="CG324" s="860"/>
      <c r="CH324" s="860"/>
      <c r="CI324" s="860"/>
      <c r="CJ324" s="860"/>
      <c r="CK324" s="860"/>
      <c r="CL324" s="860"/>
      <c r="CM324" s="860"/>
      <c r="CN324" s="860"/>
      <c r="CO324" s="860"/>
      <c r="CP324" s="860"/>
      <c r="CQ324" s="860"/>
      <c r="CR324" s="860"/>
      <c r="CS324" s="860"/>
      <c r="CT324" s="91"/>
      <c r="CU324" s="1619"/>
      <c r="CV324" s="1619"/>
      <c r="CW324" s="1170" t="str">
        <f>IF(AND(ISNUMBER(VALUE(TRIM(SUBSTITUTE(AD324,".","")))),TRIM(SUBSTITUTE(AD324,".",""))&lt;&gt;""),"P"&amp;SUBSTITUTE(AD324,".",""),"")</f>
        <v/>
      </c>
      <c r="CX324" s="1175"/>
      <c r="CY324" s="1175"/>
      <c r="CZ324" s="1175"/>
      <c r="DA324" s="1176"/>
      <c r="DB324" s="1176"/>
    </row>
    <row s="1619" customFormat="1" customHeight="1" ht="16.5">
      <c r="A325" s="1440"/>
      <c r="B325" s="924"/>
      <c r="C325" s="1440"/>
      <c r="D325" s="1440"/>
      <c r="E325" s="794">
        <v>17.1</v>
      </c>
      <c r="F325" s="919" cm="1" t="str">
        <f t="array" ref="F325:F325">OFFSET(G325,-1,-1)</f>
        <v>2</v>
      </c>
      <c r="G325" s="962"/>
      <c r="H325" s="962"/>
      <c r="I325" s="962"/>
      <c r="J325" s="962"/>
      <c r="K325" s="962"/>
      <c r="L325" s="919" cm="1" t="str">
        <f t="array" ref="L325:L325">OFFSET(M325,-1,-1)</f>
        <v>false</v>
      </c>
      <c r="M325" s="962"/>
      <c r="N325" s="962"/>
      <c r="O325" s="962"/>
      <c r="P325" s="962"/>
      <c r="Q325" s="962"/>
      <c r="R325" s="1440"/>
      <c r="S325" s="156" cm="1" t="str">
        <f t="array" ref="S325:S325">OFFSET(T325,-1,-1)</f>
        <v>true</v>
      </c>
      <c r="T325" s="1440"/>
      <c r="U325" s="816">
        <f>AND(S325,IF(ISBLANK(T325),TRUE,T325))</f>
        <v>1</v>
      </c>
      <c r="V325" s="1440"/>
      <c r="W325" s="1440"/>
      <c r="X325" s="1440"/>
      <c r="Y325" s="1440"/>
      <c r="Z325" s="1440"/>
      <c r="AA325" s="817"/>
      <c r="AB325" s="1483"/>
      <c r="AC325" s="1619"/>
      <c r="AD325" s="157">
        <v>24</v>
      </c>
      <c r="AE325" s="1495" t="s">
        <v>804</v>
      </c>
      <c r="AF325" s="165"/>
      <c r="AG325" s="1011" t="s">
        <v>805</v>
      </c>
      <c r="AH325" s="857">
        <f>SUM(AH327:AH329)</f>
        <v>0</v>
      </c>
      <c r="AI325" s="857">
        <f>SUM(AI327:AI329)</f>
        <v>0</v>
      </c>
      <c r="AJ325" s="857">
        <f>SUM(AJ327:AJ329)</f>
        <v>0</v>
      </c>
      <c r="AK325" s="857">
        <f>SUM(AK327:AK329)</f>
        <v>0</v>
      </c>
      <c r="AL325" s="857">
        <f>SUM(AL327:AL329)</f>
        <v>4485.9999935</v>
      </c>
      <c r="AM325" s="857">
        <f>SUM(AM327:AM329)</f>
        <v>3353.0394112</v>
      </c>
      <c r="AN325" s="857">
        <f>SUM(AN327:AN329)</f>
        <v>1132.9605823</v>
      </c>
      <c r="AO325" s="857">
        <f>SUM(AO327:AO329)</f>
        <v>4735.998484</v>
      </c>
      <c r="AP325" s="857">
        <f>SUM(AP327:AP329)</f>
        <v>3539.8995968</v>
      </c>
      <c r="AQ325" s="857">
        <f>SUM(AQ327:AQ329)</f>
        <v>1196.0988872</v>
      </c>
      <c r="AR325" s="857">
        <f>SUM(AR327:AR329)</f>
        <v>4914.9996015</v>
      </c>
      <c r="AS325" s="857">
        <f>SUM(AS327:AS329)</f>
        <v>3673.6931328</v>
      </c>
      <c r="AT325" s="857">
        <f>SUM(AT327:AT329)</f>
        <v>1241.3064687</v>
      </c>
      <c r="AU325" s="857">
        <f>SUM(AU327:AU329)</f>
        <v>5100.9992955</v>
      </c>
      <c r="AV325" s="857">
        <f>SUM(AV327:AV329)</f>
        <v>3812.7177216</v>
      </c>
      <c r="AW325" s="857">
        <f>SUM(AW327:AW329)</f>
        <v>1288.2815739</v>
      </c>
      <c r="AX325" s="857">
        <f>SUM(AX327:AX329)</f>
        <v>5295.0043105</v>
      </c>
      <c r="AY325" s="857">
        <f>SUM(AY327:AY329)</f>
        <v>3957.7258496</v>
      </c>
      <c r="AZ325" s="857">
        <f>SUM(AZ327:AZ329)</f>
        <v>1337.2784609</v>
      </c>
      <c r="BA325" s="857">
        <f>SUM(BA327:BA329)</f>
        <v>0</v>
      </c>
      <c r="BB325" s="857">
        <f>SUM(BB327:BB329)</f>
        <v>0</v>
      </c>
      <c r="BC325" s="857">
        <f>SUM(BC327:BC329)</f>
        <v>0</v>
      </c>
      <c r="BD325" s="857">
        <f>SUM(BD327:BD329)</f>
        <v>0</v>
      </c>
      <c r="BE325" s="857">
        <f>SUM(BE327:BE329)</f>
        <v>0</v>
      </c>
      <c r="BF325" s="857">
        <f>SUM(BF327:BF329)</f>
        <v>0</v>
      </c>
      <c r="BG325" s="857">
        <f>SUM(BG327:BG329)</f>
        <v>0</v>
      </c>
      <c r="BH325" s="857">
        <f>SUM(BH327:BH329)</f>
        <v>0</v>
      </c>
      <c r="BI325" s="857">
        <f>SUM(BI327:BI329)</f>
        <v>0</v>
      </c>
      <c r="BJ325" s="857">
        <f>SUM(BJ327:BJ329)</f>
        <v>0</v>
      </c>
      <c r="BK325" s="857">
        <f>SUM(BK327:BK329)</f>
        <v>0</v>
      </c>
      <c r="BL325" s="857">
        <f>SUM(BL327:BL329)</f>
        <v>0</v>
      </c>
      <c r="BM325" s="857">
        <f>SUM(BM327:BM329)</f>
        <v>0</v>
      </c>
      <c r="BN325" s="857">
        <f>SUM(BN327:BN329)</f>
        <v>0</v>
      </c>
      <c r="BO325" s="857">
        <f>SUM(BO327:BO329)</f>
        <v>0</v>
      </c>
      <c r="BP325" s="857">
        <f>SUM(BP327:BP329)</f>
        <v>3879.0440814893</v>
      </c>
      <c r="BQ325" s="857">
        <f>SUM(BQ327:BQ329)</f>
        <v>2899.37309448543</v>
      </c>
      <c r="BR325" s="857">
        <f>SUM(BR327:BR329)</f>
        <v>979.670987003866</v>
      </c>
      <c r="BS325" s="857">
        <f>SUM(BS327:BS329)</f>
        <v>4049.72384966631</v>
      </c>
      <c r="BT325" s="857">
        <f>SUM(BT327:BT329)</f>
        <v>3026.94687741482</v>
      </c>
      <c r="BU325" s="857">
        <f>SUM(BU327:BU329)</f>
        <v>1022.77697225149</v>
      </c>
      <c r="BV325" s="857">
        <f>SUM(BV327:BV329)</f>
        <v>4159.06399719003</v>
      </c>
      <c r="BW325" s="857">
        <f>SUM(BW327:BW329)</f>
        <v>3108.6726519143</v>
      </c>
      <c r="BX325" s="857">
        <f>SUM(BX327:BX329)</f>
        <v>1050.39134527573</v>
      </c>
      <c r="BY325" s="857">
        <f>SUM(BY327:BY329)</f>
        <v>4271.35876361082</v>
      </c>
      <c r="BZ325" s="857">
        <f>SUM(BZ327:BZ329)</f>
        <v>3192.60684229013</v>
      </c>
      <c r="CA325" s="857">
        <f>SUM(CA327:CA329)</f>
        <v>1078.75192132069</v>
      </c>
      <c r="CB325" s="857">
        <f>SUM(CB327:CB329)</f>
        <v>4386.68514225501</v>
      </c>
      <c r="CC325" s="857">
        <f>SUM(CC327:CC329)</f>
        <v>3278.80699683878</v>
      </c>
      <c r="CD325" s="857">
        <f>SUM(CD327:CD329)</f>
        <v>1107.87814541623</v>
      </c>
      <c r="CE325" s="857">
        <f>SUM(CE327:CE329)</f>
        <v>0</v>
      </c>
      <c r="CF325" s="857">
        <f>SUM(CF327:CF329)</f>
        <v>0</v>
      </c>
      <c r="CG325" s="857">
        <f>SUM(CG327:CG329)</f>
        <v>0</v>
      </c>
      <c r="CH325" s="857">
        <f>SUM(CH327:CH329)</f>
        <v>0</v>
      </c>
      <c r="CI325" s="857">
        <f>SUM(CI327:CI329)</f>
        <v>0</v>
      </c>
      <c r="CJ325" s="857">
        <f>SUM(CJ327:CJ329)</f>
        <v>0</v>
      </c>
      <c r="CK325" s="857">
        <f>SUM(CK327:CK329)</f>
        <v>0</v>
      </c>
      <c r="CL325" s="857">
        <f>SUM(CL327:CL329)</f>
        <v>0</v>
      </c>
      <c r="CM325" s="857">
        <f>SUM(CM327:CM329)</f>
        <v>0</v>
      </c>
      <c r="CN325" s="857">
        <f>SUM(CN327:CN329)</f>
        <v>0</v>
      </c>
      <c r="CO325" s="857">
        <f>SUM(CO327:CO329)</f>
        <v>0</v>
      </c>
      <c r="CP325" s="857">
        <f>SUM(CP327:CP329)</f>
        <v>0</v>
      </c>
      <c r="CQ325" s="857">
        <f>SUM(CQ327:CQ329)</f>
        <v>0</v>
      </c>
      <c r="CR325" s="857">
        <f>SUM(CR327:CR329)</f>
        <v>0</v>
      </c>
      <c r="CS325" s="857">
        <f>SUM(CS327:CS329)</f>
        <v>0</v>
      </c>
      <c r="CT325" s="1730"/>
      <c r="CU325" s="1619"/>
      <c r="CV325" s="1619"/>
      <c r="CW325" s="1170" t="s">
        <v>806</v>
      </c>
      <c r="CX325" s="1175"/>
      <c r="CY325" s="1175"/>
      <c r="CZ325" s="1175"/>
      <c r="DA325" s="1176"/>
      <c r="DB325" s="1176"/>
    </row>
    <row s="1619" customFormat="1" customHeight="1" ht="16.5" hidden="1">
      <c r="A326" s="1440"/>
      <c r="B326" s="924"/>
      <c r="C326" s="1440"/>
      <c r="D326" s="1440"/>
      <c r="E326" s="794">
        <v>17.1</v>
      </c>
      <c r="F326" s="919" cm="1" t="str">
        <f t="array" ref="F326:F326">OFFSET(G326,-1,-1)</f>
        <v>2</v>
      </c>
      <c r="G326" s="962"/>
      <c r="H326" s="962"/>
      <c r="I326" s="962"/>
      <c r="J326" s="962"/>
      <c r="K326" s="962"/>
      <c r="L326" s="919" cm="1" t="str">
        <f t="array" ref="L326:L326">OFFSET(M326,-1,-1)</f>
        <v>false</v>
      </c>
      <c r="M326" s="962"/>
      <c r="N326" s="962"/>
      <c r="O326" s="962"/>
      <c r="P326" s="962"/>
      <c r="Q326" s="962"/>
      <c r="R326" s="919" t="s">
        <v>725</v>
      </c>
      <c r="S326" s="156" cm="1" t="str">
        <f t="array" ref="S326:S326">OFFSET(T326,-1,-1)</f>
        <v>true</v>
      </c>
      <c r="T326" s="919" t="b">
        <v>0</v>
      </c>
      <c r="U326" s="816">
        <f>AND(S326,IF(ISBLANK(T326),TRUE,T326))</f>
        <v>0</v>
      </c>
      <c r="V326" s="1440"/>
      <c r="W326" s="1440"/>
      <c r="X326" s="1440"/>
      <c r="Y326" s="1440"/>
      <c r="Z326" s="1440"/>
      <c r="AA326" s="817"/>
      <c r="AB326" s="1483"/>
      <c r="AC326" s="1619"/>
      <c r="AD326" s="157" t="str">
        <f>AD325&amp;".0"</f>
        <v>24.0</v>
      </c>
      <c r="AE326" s="1507" t="s">
        <v>736</v>
      </c>
      <c r="AF326" s="162"/>
      <c r="AG326" s="1011" t="s">
        <v>805</v>
      </c>
      <c r="AH326" s="86">
        <f>AH$299*AH325/1000</f>
        <v>0</v>
      </c>
      <c r="AI326" s="86">
        <f>AI$299*AI325/1000</f>
        <v>0</v>
      </c>
      <c r="AJ326" s="86">
        <f>AJ$299*AJ325/1000</f>
        <v>0</v>
      </c>
      <c r="AK326" s="86">
        <f>AK$299*AK325/1000</f>
        <v>0</v>
      </c>
      <c r="AL326" s="859">
        <f>AM326+AN326</f>
        <v>4485.9999935</v>
      </c>
      <c r="AM326" s="87">
        <f>AM$299*AM325</f>
        <v>3353.0394112</v>
      </c>
      <c r="AN326" s="87">
        <f>AN$299*AN325</f>
        <v>1132.9605823</v>
      </c>
      <c r="AO326" s="859">
        <f>AP326+AQ326</f>
        <v>4735.998484</v>
      </c>
      <c r="AP326" s="976">
        <f>AP$299*AP325</f>
        <v>3539.8995968</v>
      </c>
      <c r="AQ326" s="976">
        <f>AQ$299*AQ325</f>
        <v>1196.0988872</v>
      </c>
      <c r="AR326" s="859">
        <f>AS326+AT326</f>
        <v>4914.9996015</v>
      </c>
      <c r="AS326" s="976">
        <f>AS$299*AS325</f>
        <v>3673.6931328</v>
      </c>
      <c r="AT326" s="976">
        <f>AT$299*AT325</f>
        <v>1241.3064687</v>
      </c>
      <c r="AU326" s="859">
        <f>AV326+AW326</f>
        <v>5100.9992955</v>
      </c>
      <c r="AV326" s="976">
        <f>AV$299*AV325</f>
        <v>3812.7177216</v>
      </c>
      <c r="AW326" s="976">
        <f>AW$299*AW325</f>
        <v>1288.2815739</v>
      </c>
      <c r="AX326" s="859">
        <f>AY326+AZ326</f>
        <v>5295.0043105</v>
      </c>
      <c r="AY326" s="976">
        <f>AY$299*AY325</f>
        <v>3957.7258496</v>
      </c>
      <c r="AZ326" s="976">
        <f>AZ$299*AZ325</f>
        <v>1337.2784609</v>
      </c>
      <c r="BA326" s="859">
        <f>BB326+BC326</f>
        <v>0</v>
      </c>
      <c r="BB326" s="87">
        <f>BB$299*BB325</f>
        <v>0</v>
      </c>
      <c r="BC326" s="87">
        <f>BC$299*BC325</f>
        <v>0</v>
      </c>
      <c r="BD326" s="859">
        <f>BE326+BF326</f>
        <v>0</v>
      </c>
      <c r="BE326" s="87">
        <f>BE$299*BE325</f>
        <v>0</v>
      </c>
      <c r="BF326" s="87">
        <f>BF$299*BF325</f>
        <v>0</v>
      </c>
      <c r="BG326" s="859">
        <f>BH326+BI326</f>
        <v>0</v>
      </c>
      <c r="BH326" s="87">
        <f>BH$299*BH325</f>
        <v>0</v>
      </c>
      <c r="BI326" s="87">
        <f>BI$299*BI325</f>
        <v>0</v>
      </c>
      <c r="BJ326" s="859">
        <f>BK326+BL326</f>
        <v>0</v>
      </c>
      <c r="BK326" s="87">
        <f>BK$299*BK325</f>
        <v>0</v>
      </c>
      <c r="BL326" s="87">
        <f>BL$299*BL325</f>
        <v>0</v>
      </c>
      <c r="BM326" s="859">
        <f>BN326+BO326</f>
        <v>0</v>
      </c>
      <c r="BN326" s="87">
        <f>BN$299*BN325</f>
        <v>0</v>
      </c>
      <c r="BO326" s="87">
        <f>BO$299*BO325</f>
        <v>0</v>
      </c>
      <c r="BP326" s="859">
        <f>BQ326+BR326</f>
        <v>3879.0440814893</v>
      </c>
      <c r="BQ326" s="976">
        <f>BQ$299*BQ325</f>
        <v>2899.37309448543</v>
      </c>
      <c r="BR326" s="976">
        <f>BR$299*BR325</f>
        <v>979.670987003866</v>
      </c>
      <c r="BS326" s="859">
        <f>BT326+BU326</f>
        <v>4049.72384966631</v>
      </c>
      <c r="BT326" s="976">
        <f>BT$299*BT325</f>
        <v>3026.94687741482</v>
      </c>
      <c r="BU326" s="976">
        <f>BU$299*BU325</f>
        <v>1022.77697225149</v>
      </c>
      <c r="BV326" s="859">
        <f>BW326+BX326</f>
        <v>4159.06399719003</v>
      </c>
      <c r="BW326" s="976">
        <f>BW$299*BW325</f>
        <v>3108.6726519143</v>
      </c>
      <c r="BX326" s="976">
        <f>BX$299*BX325</f>
        <v>1050.39134527573</v>
      </c>
      <c r="BY326" s="859">
        <f>BZ326+CA326</f>
        <v>4271.35876361082</v>
      </c>
      <c r="BZ326" s="976">
        <f>BZ$299*BZ325</f>
        <v>3192.60684229013</v>
      </c>
      <c r="CA326" s="976">
        <f>CA$299*CA325</f>
        <v>1078.75192132069</v>
      </c>
      <c r="CB326" s="859">
        <f>CC326+CD326</f>
        <v>4386.68514225501</v>
      </c>
      <c r="CC326" s="976">
        <f>CC$299*CC325</f>
        <v>3278.80699683878</v>
      </c>
      <c r="CD326" s="976">
        <f>CD$299*CD325</f>
        <v>1107.87814541623</v>
      </c>
      <c r="CE326" s="859">
        <f>CF326+CG326</f>
        <v>0</v>
      </c>
      <c r="CF326" s="87">
        <f>CF$299*CF325</f>
        <v>0</v>
      </c>
      <c r="CG326" s="87">
        <f>CG$299*CG325</f>
        <v>0</v>
      </c>
      <c r="CH326" s="859">
        <f>CI326+CJ326</f>
        <v>0</v>
      </c>
      <c r="CI326" s="87">
        <f>CI$299*CI325</f>
        <v>0</v>
      </c>
      <c r="CJ326" s="87">
        <f>CJ$299*CJ325</f>
        <v>0</v>
      </c>
      <c r="CK326" s="859">
        <f>CL326+CM326</f>
        <v>0</v>
      </c>
      <c r="CL326" s="87">
        <f>CL$299*CL325</f>
        <v>0</v>
      </c>
      <c r="CM326" s="87">
        <f>CM$299*CM325</f>
        <v>0</v>
      </c>
      <c r="CN326" s="859">
        <f>CO326+CP326</f>
        <v>0</v>
      </c>
      <c r="CO326" s="87">
        <f>CO$299*CO325</f>
        <v>0</v>
      </c>
      <c r="CP326" s="87">
        <f>CP$299*CP325</f>
        <v>0</v>
      </c>
      <c r="CQ326" s="859">
        <f>CR326+CS326</f>
        <v>0</v>
      </c>
      <c r="CR326" s="87">
        <f>CR$299*CR325</f>
        <v>0</v>
      </c>
      <c r="CS326" s="87">
        <f>CS$299*CS325</f>
        <v>0</v>
      </c>
      <c r="CT326" s="73"/>
      <c r="CU326" s="1619"/>
      <c r="CV326" s="1619"/>
      <c r="CW326" s="1170" t="s">
        <v>807</v>
      </c>
      <c r="CX326" s="1175"/>
      <c r="CY326" s="1175"/>
      <c r="CZ326" s="1175"/>
      <c r="DA326" s="1176"/>
      <c r="DB326" s="1176"/>
    </row>
    <row s="1619" customFormat="1" customHeight="1" ht="16.5" hidden="1">
      <c r="E327" s="794">
        <v>17.1</v>
      </c>
      <c r="F327" s="919" cm="1" t="str">
        <f t="array" ref="F327:F327">OFFSET(G327,-1,-1)</f>
        <v>2</v>
      </c>
      <c r="L327" s="919" cm="1" t="str">
        <f t="array" ref="L327:L327">OFFSET(M327,-1,-1)</f>
        <v>false</v>
      </c>
      <c r="S327" s="156" cm="1" t="str">
        <f t="array" ref="S327:S327">OFFSET(T327,-1,-1)</f>
        <v>true</v>
      </c>
      <c r="T327" s="156">
        <f>AD327&lt;&gt;"24.0"</f>
        <v>0</v>
      </c>
      <c r="U327" s="816">
        <f>AND(S327,IF(ISBLANK(T327),TRUE,T327))</f>
        <v>0</v>
      </c>
      <c r="X327" s="156" t="s">
        <v>233</v>
      </c>
      <c r="AB327" s="1483"/>
      <c r="AD327" s="157" t="s">
        <v>808</v>
      </c>
      <c r="AE327" s="971"/>
      <c r="AF327" s="622"/>
      <c r="AG327" s="1011" t="s">
        <v>805</v>
      </c>
      <c r="AH327" s="86"/>
      <c r="AI327" s="87"/>
      <c r="AJ327" s="87"/>
      <c r="AK327" s="87"/>
      <c r="AL327" s="859">
        <f>AM327+AN327</f>
        <v>0</v>
      </c>
      <c r="AM327" s="87">
        <f>AM322*AM314/1000</f>
        <v>0</v>
      </c>
      <c r="AN327" s="87">
        <f>AN322*AN314/1000</f>
        <v>0</v>
      </c>
      <c r="AO327" s="859">
        <f>AP327+AQ327</f>
        <v>0</v>
      </c>
      <c r="AP327" s="976">
        <f>AP322*AP314/1000</f>
        <v>0</v>
      </c>
      <c r="AQ327" s="976">
        <f>AQ322*AQ314/1000</f>
        <v>0</v>
      </c>
      <c r="AR327" s="859">
        <f>AS327+AT327</f>
        <v>0</v>
      </c>
      <c r="AS327" s="976">
        <f>AS322*AS314/1000</f>
        <v>0</v>
      </c>
      <c r="AT327" s="976">
        <f>AT322*AT314/1000</f>
        <v>0</v>
      </c>
      <c r="AU327" s="859">
        <f>AV327+AW327</f>
        <v>0</v>
      </c>
      <c r="AV327" s="976">
        <f>AV322*AV314/1000</f>
        <v>0</v>
      </c>
      <c r="AW327" s="976">
        <f>AW322*AW314/1000</f>
        <v>0</v>
      </c>
      <c r="AX327" s="859">
        <f>AY327+AZ327</f>
        <v>0</v>
      </c>
      <c r="AY327" s="976">
        <f>AY322*AY314/1000</f>
        <v>0</v>
      </c>
      <c r="AZ327" s="976">
        <f>AZ322*AZ314/1000</f>
        <v>0</v>
      </c>
      <c r="BA327" s="859">
        <f>BB327+BC327</f>
        <v>0</v>
      </c>
      <c r="BB327" s="87">
        <f>BB322*BB314/1000</f>
        <v>0</v>
      </c>
      <c r="BC327" s="87">
        <f>BC322*BC314/1000</f>
        <v>0</v>
      </c>
      <c r="BD327" s="859">
        <f>BE327+BF327</f>
        <v>0</v>
      </c>
      <c r="BE327" s="87">
        <f>BE322*BE314/1000</f>
        <v>0</v>
      </c>
      <c r="BF327" s="87">
        <f>BF322*BF314/1000</f>
        <v>0</v>
      </c>
      <c r="BG327" s="859">
        <f>BH327+BI327</f>
        <v>0</v>
      </c>
      <c r="BH327" s="87">
        <f>BH322*BH314/1000</f>
        <v>0</v>
      </c>
      <c r="BI327" s="87">
        <f>BI322*BI314/1000</f>
        <v>0</v>
      </c>
      <c r="BJ327" s="859">
        <f>BK327+BL327</f>
        <v>0</v>
      </c>
      <c r="BK327" s="87">
        <f>BK322*BK314/1000</f>
        <v>0</v>
      </c>
      <c r="BL327" s="87">
        <f>BL322*BL314/1000</f>
        <v>0</v>
      </c>
      <c r="BM327" s="859">
        <f>BN327+BO327</f>
        <v>0</v>
      </c>
      <c r="BN327" s="87">
        <f>BN322*BN314/1000</f>
        <v>0</v>
      </c>
      <c r="BO327" s="87">
        <f>BO322*BO314/1000</f>
        <v>0</v>
      </c>
      <c r="BP327" s="859">
        <f>BQ327+BR327</f>
        <v>0</v>
      </c>
      <c r="BQ327" s="976">
        <f>BQ322*BQ314/1000</f>
        <v>0</v>
      </c>
      <c r="BR327" s="976">
        <f>BR322*BR314/1000</f>
        <v>0</v>
      </c>
      <c r="BS327" s="859">
        <f>BT327+BU327</f>
        <v>0</v>
      </c>
      <c r="BT327" s="976">
        <f>BT322*BT314/1000</f>
        <v>0</v>
      </c>
      <c r="BU327" s="976">
        <f>BU322*BU314/1000</f>
        <v>0</v>
      </c>
      <c r="BV327" s="859">
        <f>BW327+BX327</f>
        <v>0</v>
      </c>
      <c r="BW327" s="976">
        <f>BW322*BW314/1000</f>
        <v>0</v>
      </c>
      <c r="BX327" s="976">
        <f>BX322*BX314/1000</f>
        <v>0</v>
      </c>
      <c r="BY327" s="859">
        <f>BZ327+CA327</f>
        <v>0</v>
      </c>
      <c r="BZ327" s="976">
        <f>BZ322*BZ314/1000</f>
        <v>0</v>
      </c>
      <c r="CA327" s="976">
        <f>CA322*CA314/1000</f>
        <v>0</v>
      </c>
      <c r="CB327" s="859">
        <f>CC327+CD327</f>
        <v>0</v>
      </c>
      <c r="CC327" s="976">
        <f>CC322*CC314/1000</f>
        <v>0</v>
      </c>
      <c r="CD327" s="976">
        <f>CD322*CD314/1000</f>
        <v>0</v>
      </c>
      <c r="CE327" s="859">
        <f>CF327+CG327</f>
        <v>0</v>
      </c>
      <c r="CF327" s="87">
        <f>CF322*CF314/1000</f>
        <v>0</v>
      </c>
      <c r="CG327" s="87">
        <f>CG322*CG314/1000</f>
        <v>0</v>
      </c>
      <c r="CH327" s="859">
        <f>CI327+CJ327</f>
        <v>0</v>
      </c>
      <c r="CI327" s="87">
        <f>CI322*CI314/1000</f>
        <v>0</v>
      </c>
      <c r="CJ327" s="87">
        <f>CJ322*CJ314/1000</f>
        <v>0</v>
      </c>
      <c r="CK327" s="859">
        <f>CL327+CM327</f>
        <v>0</v>
      </c>
      <c r="CL327" s="87">
        <f>CL322*CL314/1000</f>
        <v>0</v>
      </c>
      <c r="CM327" s="87">
        <f>CM322*CM314/1000</f>
        <v>0</v>
      </c>
      <c r="CN327" s="859">
        <f>CO327+CP327</f>
        <v>0</v>
      </c>
      <c r="CO327" s="87">
        <f>CO322*CO314/1000</f>
        <v>0</v>
      </c>
      <c r="CP327" s="87">
        <f>CP322*CP314/1000</f>
        <v>0</v>
      </c>
      <c r="CQ327" s="859">
        <f>CR327+CS327</f>
        <v>0</v>
      </c>
      <c r="CR327" s="87">
        <f>CR322*CR314/1000</f>
        <v>0</v>
      </c>
      <c r="CS327" s="87">
        <f>CS322*CS314/1000</f>
        <v>0</v>
      </c>
      <c r="CT327" s="73"/>
      <c r="CW327" s="1170" t="s">
        <v>807</v>
      </c>
      <c r="CX327" s="1175" t="s">
        <v>787</v>
      </c>
      <c r="CY327" s="1179" cm="1" t="str">
        <f t="array" ref="CY327:CY327">AE327</f>
        <v>0</v>
      </c>
      <c r="CZ327" s="1179" cm="1" t="str">
        <f t="array" ref="CZ327:CZ327">AF327</f>
        <v>0</v>
      </c>
      <c r="DA327" s="1176"/>
      <c r="DB327" s="1176"/>
    </row>
    <row s="1619" customFormat="1" customHeight="1" ht="16.5">
      <c r="A328" s="1619"/>
      <c r="B328" s="1619"/>
      <c r="C328" s="1619"/>
      <c r="D328" s="1619"/>
      <c r="E328" s="794">
        <v>17.1</v>
      </c>
      <c r="F328" s="919" cm="1" t="str">
        <f t="array" ref="F328:F328">OFFSET(G328,-1,-1)</f>
        <v>2</v>
      </c>
      <c r="G328" s="1619"/>
      <c r="H328" s="1619"/>
      <c r="I328" s="1619"/>
      <c r="J328" s="1619"/>
      <c r="K328" s="1619"/>
      <c r="L328" s="919" cm="1" t="str">
        <f t="array" ref="L328:L328">OFFSET(M328,-1,-1)</f>
        <v>false</v>
      </c>
      <c r="M328" s="1619"/>
      <c r="N328" s="1619"/>
      <c r="O328" s="1619"/>
      <c r="P328" s="1619"/>
      <c r="Q328" s="1619"/>
      <c r="R328" s="1619"/>
      <c r="S328" s="156" cm="1" t="str">
        <f t="array" ref="S328:S328">OFFSET(T328,-1,-1)</f>
        <v>true</v>
      </c>
      <c r="T328" s="156">
        <f>AD328&lt;&gt;"24.0"</f>
        <v>1</v>
      </c>
      <c r="U328" s="816">
        <f>AND(S328,IF(ISBLANK(T328),TRUE,T328))</f>
        <v>1</v>
      </c>
      <c r="V328" s="1619"/>
      <c r="W328" s="1619"/>
      <c r="X328" s="156" t="str">
        <f>'Топливо 4.4'!$AE$323&amp;'Топливо 4.4'!$AF$323</f>
        <v>Уголь бурыйБ</v>
      </c>
      <c r="Y328" s="1619"/>
      <c r="Z328" s="1619"/>
      <c r="AA328" s="1619"/>
      <c r="AB328" s="1483"/>
      <c r="AC328" s="1619"/>
      <c r="AD328" s="157" t="s">
        <v>904</v>
      </c>
      <c r="AE328" s="971" cm="1" t="str">
        <f t="array" ref="AE328:AE328">IF(ISBLANK('Топливо 4.4'!$AE$323),"",'Топливо 4.4'!$AE$323)</f>
        <v>Уголь бурый</v>
      </c>
      <c r="AF328" s="622" cm="1" t="str">
        <f t="array" ref="AF328:AF328">IF(ISBLANK('Топливо 4.4'!$AF$323),"",'Топливо 4.4'!$AF$323)</f>
        <v>Б</v>
      </c>
      <c r="AG328" s="1011" t="s">
        <v>805</v>
      </c>
      <c r="AH328" s="1768"/>
      <c r="AI328" s="1766"/>
      <c r="AJ328" s="1766"/>
      <c r="AK328" s="1766"/>
      <c r="AL328" s="859">
        <f>AM328+AN328</f>
        <v>4485.9999935</v>
      </c>
      <c r="AM328" s="1766">
        <f>AM323*AM315/1000</f>
        <v>3353.0394112</v>
      </c>
      <c r="AN328" s="1766">
        <f>AN323*AN315/1000</f>
        <v>1132.9605823</v>
      </c>
      <c r="AO328" s="859">
        <f>AP328+AQ328</f>
        <v>4735.998484</v>
      </c>
      <c r="AP328" s="976">
        <f>AP323*AP315/1000</f>
        <v>3539.8995968</v>
      </c>
      <c r="AQ328" s="976">
        <f>AQ323*AQ315/1000</f>
        <v>1196.0988872</v>
      </c>
      <c r="AR328" s="859">
        <f>AS328+AT328</f>
        <v>4914.9996015</v>
      </c>
      <c r="AS328" s="976">
        <f>AS323*AS315/1000</f>
        <v>3673.6931328</v>
      </c>
      <c r="AT328" s="976">
        <f>AT323*AT315/1000</f>
        <v>1241.3064687</v>
      </c>
      <c r="AU328" s="859">
        <f>AV328+AW328</f>
        <v>5100.9992955</v>
      </c>
      <c r="AV328" s="976">
        <f>AV323*AV315/1000</f>
        <v>3812.7177216</v>
      </c>
      <c r="AW328" s="976">
        <f>AW323*AW315/1000</f>
        <v>1288.2815739</v>
      </c>
      <c r="AX328" s="859">
        <f>AY328+AZ328</f>
        <v>5295.0043105</v>
      </c>
      <c r="AY328" s="976">
        <f>AY323*AY315/1000</f>
        <v>3957.7258496</v>
      </c>
      <c r="AZ328" s="976">
        <f>AZ323*AZ315/1000</f>
        <v>1337.2784609</v>
      </c>
      <c r="BA328" s="859">
        <f>BB328+BC328</f>
        <v>0</v>
      </c>
      <c r="BB328" s="1766">
        <f>BB323*BB315/1000</f>
        <v>0</v>
      </c>
      <c r="BC328" s="1766">
        <f>BC323*BC315/1000</f>
        <v>0</v>
      </c>
      <c r="BD328" s="859">
        <f>BE328+BF328</f>
        <v>0</v>
      </c>
      <c r="BE328" s="1766">
        <f>BE323*BE315/1000</f>
        <v>0</v>
      </c>
      <c r="BF328" s="1766">
        <f>BF323*BF315/1000</f>
        <v>0</v>
      </c>
      <c r="BG328" s="859">
        <f>BH328+BI328</f>
        <v>0</v>
      </c>
      <c r="BH328" s="1766">
        <f>BH323*BH315/1000</f>
        <v>0</v>
      </c>
      <c r="BI328" s="1766">
        <f>BI323*BI315/1000</f>
        <v>0</v>
      </c>
      <c r="BJ328" s="859">
        <f>BK328+BL328</f>
        <v>0</v>
      </c>
      <c r="BK328" s="1766">
        <f>BK323*BK315/1000</f>
        <v>0</v>
      </c>
      <c r="BL328" s="1766">
        <f>BL323*BL315/1000</f>
        <v>0</v>
      </c>
      <c r="BM328" s="859">
        <f>BN328+BO328</f>
        <v>0</v>
      </c>
      <c r="BN328" s="1766">
        <f>BN323*BN315/1000</f>
        <v>0</v>
      </c>
      <c r="BO328" s="1766">
        <f>BO323*BO315/1000</f>
        <v>0</v>
      </c>
      <c r="BP328" s="859">
        <f>BQ328+BR328</f>
        <v>3879.0440814893</v>
      </c>
      <c r="BQ328" s="976">
        <f>BQ323*BQ315/1000</f>
        <v>2899.37309448543</v>
      </c>
      <c r="BR328" s="976">
        <f>BR323*BR315/1000</f>
        <v>979.670987003866</v>
      </c>
      <c r="BS328" s="859">
        <f>BT328+BU328</f>
        <v>4049.72384966631</v>
      </c>
      <c r="BT328" s="976">
        <f>BT323*BT315/1000</f>
        <v>3026.94687741482</v>
      </c>
      <c r="BU328" s="976">
        <f>BU323*BU315/1000</f>
        <v>1022.77697225149</v>
      </c>
      <c r="BV328" s="859">
        <f>BW328+BX328</f>
        <v>4159.06399719003</v>
      </c>
      <c r="BW328" s="976">
        <f>BW323*BW315/1000</f>
        <v>3108.6726519143</v>
      </c>
      <c r="BX328" s="976">
        <f>BX323*BX315/1000</f>
        <v>1050.39134527573</v>
      </c>
      <c r="BY328" s="859">
        <f>BZ328+CA328</f>
        <v>4271.35876361082</v>
      </c>
      <c r="BZ328" s="976">
        <f>BZ323*BZ315/1000</f>
        <v>3192.60684229013</v>
      </c>
      <c r="CA328" s="976">
        <f>CA323*CA315/1000</f>
        <v>1078.75192132069</v>
      </c>
      <c r="CB328" s="859">
        <f>CC328+CD328</f>
        <v>4386.68514225501</v>
      </c>
      <c r="CC328" s="976">
        <f>CC323*CC315/1000</f>
        <v>3278.80699683878</v>
      </c>
      <c r="CD328" s="976">
        <f>CD323*CD315/1000</f>
        <v>1107.87814541623</v>
      </c>
      <c r="CE328" s="859">
        <f>CF328+CG328</f>
        <v>0</v>
      </c>
      <c r="CF328" s="1766">
        <f>CF323*CF315/1000</f>
        <v>0</v>
      </c>
      <c r="CG328" s="1766">
        <f>CG323*CG315/1000</f>
        <v>0</v>
      </c>
      <c r="CH328" s="859">
        <f>CI328+CJ328</f>
        <v>0</v>
      </c>
      <c r="CI328" s="1766">
        <f>CI323*CI315/1000</f>
        <v>0</v>
      </c>
      <c r="CJ328" s="1766">
        <f>CJ323*CJ315/1000</f>
        <v>0</v>
      </c>
      <c r="CK328" s="859">
        <f>CL328+CM328</f>
        <v>0</v>
      </c>
      <c r="CL328" s="1766">
        <f>CL323*CL315/1000</f>
        <v>0</v>
      </c>
      <c r="CM328" s="1766">
        <f>CM323*CM315/1000</f>
        <v>0</v>
      </c>
      <c r="CN328" s="859">
        <f>CO328+CP328</f>
        <v>0</v>
      </c>
      <c r="CO328" s="1766">
        <f>CO323*CO315/1000</f>
        <v>0</v>
      </c>
      <c r="CP328" s="1766">
        <f>CP323*CP315/1000</f>
        <v>0</v>
      </c>
      <c r="CQ328" s="859">
        <f>CR328+CS328</f>
        <v>0</v>
      </c>
      <c r="CR328" s="1766">
        <f>CR323*CR315/1000</f>
        <v>0</v>
      </c>
      <c r="CS328" s="1766">
        <f>CS323*CS315/1000</f>
        <v>0</v>
      </c>
      <c r="CT328" s="1730"/>
      <c r="CU328" s="1619"/>
      <c r="CV328" s="1619"/>
      <c r="CW328" s="1170" t="s">
        <v>807</v>
      </c>
      <c r="CX328" s="1175" t="s">
        <v>787</v>
      </c>
      <c r="CY328" s="1179" cm="1" t="str">
        <f t="array" ref="CY328:CY328">AE328</f>
        <v>Уголь бурый</v>
      </c>
      <c r="CZ328" s="1179" cm="1" t="str">
        <f t="array" ref="CZ328:CZ328">AF328</f>
        <v>Б</v>
      </c>
      <c r="DA328" s="1176"/>
      <c r="DB328" s="1176"/>
    </row>
    <row s="1619" customFormat="1" customHeight="1" ht="17.25" hidden="1">
      <c r="A329" s="1440"/>
      <c r="B329" s="924"/>
      <c r="C329" s="1440"/>
      <c r="D329" s="1440"/>
      <c r="E329" s="794">
        <v>0</v>
      </c>
      <c r="F329" s="919" cm="1" t="str">
        <f t="array" ref="F329:F329">OFFSET(G329,-1,-1)</f>
        <v>2</v>
      </c>
      <c r="G329" s="962"/>
      <c r="H329" s="962"/>
      <c r="I329" s="962"/>
      <c r="J329" s="962"/>
      <c r="K329" s="962"/>
      <c r="L329" s="919" cm="1" t="str">
        <f t="array" ref="L329:L329">OFFSET(M329,-1,-1)</f>
        <v>false</v>
      </c>
      <c r="M329" s="962"/>
      <c r="N329" s="962"/>
      <c r="O329" s="962"/>
      <c r="P329" s="962"/>
      <c r="Q329" s="962"/>
      <c r="R329" s="1440"/>
      <c r="S329" s="156" cm="1" t="str">
        <f t="array" ref="S329:S329">OFFSET(T329,-1,-1)</f>
        <v>true</v>
      </c>
      <c r="T329" s="1440"/>
      <c r="U329" s="816">
        <f>AND(S329,IF(ISBLANK(T329),TRUE,T329))</f>
        <v>1</v>
      </c>
      <c r="V329" s="1440"/>
      <c r="W329" s="1440"/>
      <c r="X329" s="970" t="str">
        <f>"{                  
         funcDyn: 'msg1',
         blok: 'blok_2',
         wsCross: 'Топливо 4.4',
         linkFormula: 'AE-AE#AF-AF',
         levelDyn: "&amp;Y275&amp;"
}"</f>
        <v>{                  
         funcDyn: 'msg1',
         blok: 'blok_2',
         wsCross: 'Топливо 4.4',
         linkFormula: 'AE-AE#AF-AF',
         levelDyn: 2
}</v>
      </c>
      <c r="Y329" s="1440"/>
      <c r="Z329" s="1440"/>
      <c r="AA329" s="817"/>
      <c r="AB329" s="1483"/>
      <c r="AC329" s="1619"/>
      <c r="AD329" s="973"/>
      <c r="AE329" s="972" t="s">
        <v>235</v>
      </c>
      <c r="AF329" s="871"/>
      <c r="AG329" s="856"/>
      <c r="AH329" s="858"/>
      <c r="AI329" s="860"/>
      <c r="AJ329" s="860"/>
      <c r="AK329" s="860"/>
      <c r="AL329" s="860"/>
      <c r="AM329" s="860"/>
      <c r="AN329" s="860"/>
      <c r="AO329" s="860"/>
      <c r="AP329" s="860"/>
      <c r="AQ329" s="860"/>
      <c r="AR329" s="860"/>
      <c r="AS329" s="860"/>
      <c r="AT329" s="860"/>
      <c r="AU329" s="860"/>
      <c r="AV329" s="860"/>
      <c r="AW329" s="860"/>
      <c r="AX329" s="860"/>
      <c r="AY329" s="860"/>
      <c r="AZ329" s="860"/>
      <c r="BA329" s="860"/>
      <c r="BB329" s="860"/>
      <c r="BC329" s="860"/>
      <c r="BD329" s="860"/>
      <c r="BE329" s="860"/>
      <c r="BF329" s="860"/>
      <c r="BG329" s="860"/>
      <c r="BH329" s="860"/>
      <c r="BI329" s="860"/>
      <c r="BJ329" s="860"/>
      <c r="BK329" s="860"/>
      <c r="BL329" s="860"/>
      <c r="BM329" s="860"/>
      <c r="BN329" s="860"/>
      <c r="BO329" s="860"/>
      <c r="BP329" s="860"/>
      <c r="BQ329" s="860"/>
      <c r="BR329" s="860"/>
      <c r="BS329" s="860"/>
      <c r="BT329" s="860"/>
      <c r="BU329" s="860"/>
      <c r="BV329" s="860"/>
      <c r="BW329" s="860"/>
      <c r="BX329" s="860"/>
      <c r="BY329" s="860"/>
      <c r="BZ329" s="860"/>
      <c r="CA329" s="860"/>
      <c r="CB329" s="860"/>
      <c r="CC329" s="860"/>
      <c r="CD329" s="860"/>
      <c r="CE329" s="860"/>
      <c r="CF329" s="860"/>
      <c r="CG329" s="860"/>
      <c r="CH329" s="860"/>
      <c r="CI329" s="860"/>
      <c r="CJ329" s="860"/>
      <c r="CK329" s="860"/>
      <c r="CL329" s="860"/>
      <c r="CM329" s="860"/>
      <c r="CN329" s="860"/>
      <c r="CO329" s="860"/>
      <c r="CP329" s="860"/>
      <c r="CQ329" s="860"/>
      <c r="CR329" s="860"/>
      <c r="CS329" s="860"/>
      <c r="CT329" s="91"/>
      <c r="CU329" s="1619"/>
      <c r="CV329" s="1619"/>
      <c r="CW329" s="1170" t="str">
        <f>IF(AND(ISNUMBER(VALUE(TRIM(SUBSTITUTE(AD329,".","")))),TRIM(SUBSTITUTE(AD329,".",""))&lt;&gt;""),"P"&amp;SUBSTITUTE(AD329,".",""),"")</f>
        <v/>
      </c>
      <c r="CX329" s="1175"/>
      <c r="CY329" s="1175"/>
      <c r="CZ329" s="1175"/>
      <c r="DA329" s="1176"/>
      <c r="DB329" s="1176"/>
    </row>
    <row s="1619" customFormat="1" customHeight="1" ht="21.75" hidden="1">
      <c r="A330" s="1440"/>
      <c r="B330" s="924"/>
      <c r="C330" s="1440"/>
      <c r="D330" s="1440"/>
      <c r="E330" s="794">
        <v>22.5</v>
      </c>
      <c r="F330" s="919" cm="1" t="str">
        <f t="array" ref="F330:F330">OFFSET(G330,-1,-1)</f>
        <v>2</v>
      </c>
      <c r="G330" s="962"/>
      <c r="H330" s="962"/>
      <c r="I330" s="962"/>
      <c r="J330" s="962"/>
      <c r="K330" s="962"/>
      <c r="L330" s="919" cm="1" t="str">
        <f t="array" ref="L330:L330">OFFSET(M330,-1,-1)</f>
        <v>false</v>
      </c>
      <c r="M330" s="962"/>
      <c r="N330" s="962"/>
      <c r="O330" s="962"/>
      <c r="P330" s="962"/>
      <c r="Q330" s="962"/>
      <c r="R330" s="919" t="s">
        <v>725</v>
      </c>
      <c r="S330" s="156" cm="1" t="str">
        <f t="array" ref="S330:S330">OFFSET(T330,-1,-1)</f>
        <v>true</v>
      </c>
      <c r="T330" s="156" cm="1" t="str">
        <f t="array" ref="T330:T330">L330</f>
        <v>false</v>
      </c>
      <c r="U330" s="816">
        <f>AND(S330,IF(ISBLANK(T330),TRUE,T330))</f>
        <v>0</v>
      </c>
      <c r="V330" s="1440"/>
      <c r="W330" s="1440"/>
      <c r="X330" s="1440"/>
      <c r="Y330" s="1440"/>
      <c r="Z330" s="1440"/>
      <c r="AA330" s="817"/>
      <c r="AB330" s="1483"/>
      <c r="AC330" s="1619"/>
      <c r="AD330" s="157">
        <v>25</v>
      </c>
      <c r="AE330" s="1505" t="s">
        <v>809</v>
      </c>
      <c r="AF330" s="159"/>
      <c r="AG330" s="1011" t="s">
        <v>805</v>
      </c>
      <c r="AH330" s="857">
        <f>SUM(AH331:AH333)</f>
        <v>0</v>
      </c>
      <c r="AI330" s="857">
        <f>SUM(AI331:AI333)</f>
        <v>0</v>
      </c>
      <c r="AJ330" s="857">
        <f>SUM(AJ331:AJ333)</f>
        <v>0</v>
      </c>
      <c r="AK330" s="857">
        <f>SUM(AK331:AK333)</f>
        <v>0</v>
      </c>
      <c r="AL330" s="857">
        <f>SUM(AL331:AL333)</f>
        <v>4485.9999935</v>
      </c>
      <c r="AM330" s="857">
        <f>SUM(AM331:AM333)</f>
        <v>3353.0394112</v>
      </c>
      <c r="AN330" s="857">
        <f>SUM(AN331:AN333)</f>
        <v>1132.9605823</v>
      </c>
      <c r="AO330" s="857">
        <f>SUM(AO331:AO333)</f>
        <v>4735.998484</v>
      </c>
      <c r="AP330" s="857">
        <f>SUM(AP331:AP333)</f>
        <v>3539.8995968</v>
      </c>
      <c r="AQ330" s="857">
        <f>SUM(AQ331:AQ333)</f>
        <v>1196.0988872</v>
      </c>
      <c r="AR330" s="857">
        <f>SUM(AR331:AR333)</f>
        <v>4914.9996015</v>
      </c>
      <c r="AS330" s="857">
        <f>SUM(AS331:AS333)</f>
        <v>3673.6931328</v>
      </c>
      <c r="AT330" s="857">
        <f>SUM(AT331:AT333)</f>
        <v>1241.3064687</v>
      </c>
      <c r="AU330" s="857">
        <f>SUM(AU331:AU333)</f>
        <v>5100.9992955</v>
      </c>
      <c r="AV330" s="857">
        <f>SUM(AV331:AV333)</f>
        <v>3812.7177216</v>
      </c>
      <c r="AW330" s="857">
        <f>SUM(AW331:AW333)</f>
        <v>1288.2815739</v>
      </c>
      <c r="AX330" s="857">
        <f>SUM(AX331:AX333)</f>
        <v>5295.0043105</v>
      </c>
      <c r="AY330" s="857">
        <f>SUM(AY331:AY333)</f>
        <v>3957.7258496</v>
      </c>
      <c r="AZ330" s="857">
        <f>SUM(AZ331:AZ333)</f>
        <v>1337.2784609</v>
      </c>
      <c r="BA330" s="857">
        <f>SUM(BA331:BA333)</f>
        <v>0</v>
      </c>
      <c r="BB330" s="857">
        <f>SUM(BB331:BB333)</f>
        <v>0</v>
      </c>
      <c r="BC330" s="857">
        <f>SUM(BC331:BC333)</f>
        <v>0</v>
      </c>
      <c r="BD330" s="857">
        <f>SUM(BD331:BD333)</f>
        <v>0</v>
      </c>
      <c r="BE330" s="857">
        <f>SUM(BE331:BE333)</f>
        <v>0</v>
      </c>
      <c r="BF330" s="857">
        <f>SUM(BF331:BF333)</f>
        <v>0</v>
      </c>
      <c r="BG330" s="857">
        <f>SUM(BG331:BG333)</f>
        <v>0</v>
      </c>
      <c r="BH330" s="857">
        <f>SUM(BH331:BH333)</f>
        <v>0</v>
      </c>
      <c r="BI330" s="857">
        <f>SUM(BI331:BI333)</f>
        <v>0</v>
      </c>
      <c r="BJ330" s="857">
        <f>SUM(BJ331:BJ333)</f>
        <v>0</v>
      </c>
      <c r="BK330" s="857">
        <f>SUM(BK331:BK333)</f>
        <v>0</v>
      </c>
      <c r="BL330" s="857">
        <f>SUM(BL331:BL333)</f>
        <v>0</v>
      </c>
      <c r="BM330" s="857">
        <f>SUM(BM331:BM333)</f>
        <v>0</v>
      </c>
      <c r="BN330" s="857">
        <f>SUM(BN331:BN333)</f>
        <v>0</v>
      </c>
      <c r="BO330" s="857">
        <f>SUM(BO331:BO333)</f>
        <v>0</v>
      </c>
      <c r="BP330" s="857">
        <f>SUM(BP331:BP333)</f>
        <v>3879.0440814893</v>
      </c>
      <c r="BQ330" s="857">
        <f>SUM(BQ331:BQ333)</f>
        <v>2899.37309448543</v>
      </c>
      <c r="BR330" s="857">
        <f>SUM(BR331:BR333)</f>
        <v>979.670987003866</v>
      </c>
      <c r="BS330" s="857">
        <f>SUM(BS331:BS333)</f>
        <v>4049.72384966631</v>
      </c>
      <c r="BT330" s="857">
        <f>SUM(BT331:BT333)</f>
        <v>3026.94687741482</v>
      </c>
      <c r="BU330" s="857">
        <f>SUM(BU331:BU333)</f>
        <v>1022.77697225149</v>
      </c>
      <c r="BV330" s="857">
        <f>SUM(BV331:BV333)</f>
        <v>4159.06399719003</v>
      </c>
      <c r="BW330" s="857">
        <f>SUM(BW331:BW333)</f>
        <v>3108.6726519143</v>
      </c>
      <c r="BX330" s="857">
        <f>SUM(BX331:BX333)</f>
        <v>1050.39134527573</v>
      </c>
      <c r="BY330" s="857">
        <f>SUM(BY331:BY333)</f>
        <v>4271.35876361082</v>
      </c>
      <c r="BZ330" s="857">
        <f>SUM(BZ331:BZ333)</f>
        <v>3192.60684229013</v>
      </c>
      <c r="CA330" s="857">
        <f>SUM(CA331:CA333)</f>
        <v>1078.75192132069</v>
      </c>
      <c r="CB330" s="857">
        <f>SUM(CB331:CB333)</f>
        <v>4386.68514225501</v>
      </c>
      <c r="CC330" s="857">
        <f>SUM(CC331:CC333)</f>
        <v>3278.80699683878</v>
      </c>
      <c r="CD330" s="857">
        <f>SUM(CD331:CD333)</f>
        <v>1107.87814541623</v>
      </c>
      <c r="CE330" s="857">
        <f>SUM(CE331:CE333)</f>
        <v>0</v>
      </c>
      <c r="CF330" s="857">
        <f>SUM(CF331:CF333)</f>
        <v>0</v>
      </c>
      <c r="CG330" s="857">
        <f>SUM(CG331:CG333)</f>
        <v>0</v>
      </c>
      <c r="CH330" s="857">
        <f>SUM(CH331:CH333)</f>
        <v>0</v>
      </c>
      <c r="CI330" s="857">
        <f>SUM(CI331:CI333)</f>
        <v>0</v>
      </c>
      <c r="CJ330" s="857">
        <f>SUM(CJ331:CJ333)</f>
        <v>0</v>
      </c>
      <c r="CK330" s="857">
        <f>SUM(CK331:CK333)</f>
        <v>0</v>
      </c>
      <c r="CL330" s="857">
        <f>SUM(CL331:CL333)</f>
        <v>0</v>
      </c>
      <c r="CM330" s="857">
        <f>SUM(CM331:CM333)</f>
        <v>0</v>
      </c>
      <c r="CN330" s="857">
        <f>SUM(CN331:CN333)</f>
        <v>0</v>
      </c>
      <c r="CO330" s="857">
        <f>SUM(CO331:CO333)</f>
        <v>0</v>
      </c>
      <c r="CP330" s="857">
        <f>SUM(CP331:CP333)</f>
        <v>0</v>
      </c>
      <c r="CQ330" s="857">
        <f>SUM(CQ331:CQ333)</f>
        <v>0</v>
      </c>
      <c r="CR330" s="857">
        <f>SUM(CR331:CR333)</f>
        <v>0</v>
      </c>
      <c r="CS330" s="857">
        <f>SUM(CS331:CS333)</f>
        <v>0</v>
      </c>
      <c r="CT330" s="73"/>
      <c r="CU330" s="1619"/>
      <c r="CV330" s="1619"/>
      <c r="CW330" s="1170" t="s">
        <v>810</v>
      </c>
      <c r="CX330" s="1175"/>
      <c r="CY330" s="1175"/>
      <c r="CZ330" s="1175"/>
      <c r="DA330" s="1176"/>
      <c r="DB330" s="1176"/>
    </row>
    <row s="1619" customFormat="1" customHeight="1" ht="16.5" hidden="1">
      <c r="E331" s="794">
        <v>17.1</v>
      </c>
      <c r="F331" s="919" cm="1" t="str">
        <f t="array" ref="F331:F331">OFFSET(G331,-1,-1)</f>
        <v>2</v>
      </c>
      <c r="L331" s="919" cm="1" t="str">
        <f t="array" ref="L331:L331">OFFSET(M331,-1,-1)</f>
        <v>false</v>
      </c>
      <c r="R331" s="919" t="s">
        <v>725</v>
      </c>
      <c r="S331" s="156" cm="1" t="str">
        <f t="array" ref="S331:S331">OFFSET(T331,-1,-1)</f>
        <v>true</v>
      </c>
      <c r="T331" s="156">
        <f>AND(L331,AD331&lt;&gt;"25.0")</f>
        <v>0</v>
      </c>
      <c r="U331" s="816">
        <f>AND(S331,IF(ISBLANK(T331),TRUE,T331))</f>
        <v>0</v>
      </c>
      <c r="X331" s="156" t="s">
        <v>233</v>
      </c>
      <c r="AB331" s="1483"/>
      <c r="AD331" s="157" t="s">
        <v>811</v>
      </c>
      <c r="AE331" s="971"/>
      <c r="AF331" s="622"/>
      <c r="AG331" s="1011" t="s">
        <v>805</v>
      </c>
      <c r="AH331" s="86">
        <f>AH$299*AH327</f>
        <v>0</v>
      </c>
      <c r="AI331" s="87">
        <f>AI$299*AI327</f>
        <v>0</v>
      </c>
      <c r="AJ331" s="87">
        <f>AJ$299*AJ327</f>
        <v>0</v>
      </c>
      <c r="AK331" s="87">
        <f>AK$299*AK327</f>
        <v>0</v>
      </c>
      <c r="AL331" s="859">
        <f>AM331+AN331</f>
        <v>0</v>
      </c>
      <c r="AM331" s="87">
        <f>AM$299*AM327</f>
        <v>0</v>
      </c>
      <c r="AN331" s="87">
        <f>AN$299*AN327</f>
        <v>0</v>
      </c>
      <c r="AO331" s="859">
        <f>AP331+AQ331</f>
        <v>0</v>
      </c>
      <c r="AP331" s="976">
        <f>AP$299*AP327</f>
        <v>0</v>
      </c>
      <c r="AQ331" s="976">
        <f>AQ$299*AQ327</f>
        <v>0</v>
      </c>
      <c r="AR331" s="859">
        <f>AS331+AT331</f>
        <v>0</v>
      </c>
      <c r="AS331" s="976">
        <f>AS$299*AS327</f>
        <v>0</v>
      </c>
      <c r="AT331" s="976">
        <f>AT$299*AT327</f>
        <v>0</v>
      </c>
      <c r="AU331" s="859">
        <f>AV331+AW331</f>
        <v>0</v>
      </c>
      <c r="AV331" s="976">
        <f>AV$299*AV327</f>
        <v>0</v>
      </c>
      <c r="AW331" s="976">
        <f>AW$299*AW327</f>
        <v>0</v>
      </c>
      <c r="AX331" s="859">
        <f>AY331+AZ331</f>
        <v>0</v>
      </c>
      <c r="AY331" s="976">
        <f>AY$299*AY327</f>
        <v>0</v>
      </c>
      <c r="AZ331" s="976">
        <f>AZ$299*AZ327</f>
        <v>0</v>
      </c>
      <c r="BA331" s="859">
        <f>BB331+BC331</f>
        <v>0</v>
      </c>
      <c r="BB331" s="87">
        <f>BB$299*BB327</f>
        <v>0</v>
      </c>
      <c r="BC331" s="87">
        <f>BC$299*BC327</f>
        <v>0</v>
      </c>
      <c r="BD331" s="859">
        <f>BE331+BF331</f>
        <v>0</v>
      </c>
      <c r="BE331" s="87">
        <f>BE$299*BE327</f>
        <v>0</v>
      </c>
      <c r="BF331" s="87">
        <f>BF$299*BF327</f>
        <v>0</v>
      </c>
      <c r="BG331" s="859">
        <f>BH331+BI331</f>
        <v>0</v>
      </c>
      <c r="BH331" s="87">
        <f>BH$299*BH327</f>
        <v>0</v>
      </c>
      <c r="BI331" s="87">
        <f>BI$299*BI327</f>
        <v>0</v>
      </c>
      <c r="BJ331" s="859">
        <f>BK331+BL331</f>
        <v>0</v>
      </c>
      <c r="BK331" s="87">
        <f>BK$299*BK327</f>
        <v>0</v>
      </c>
      <c r="BL331" s="87">
        <f>BL$299*BL327</f>
        <v>0</v>
      </c>
      <c r="BM331" s="859">
        <f>BN331+BO331</f>
        <v>0</v>
      </c>
      <c r="BN331" s="87">
        <f>BN$299*BN327</f>
        <v>0</v>
      </c>
      <c r="BO331" s="87">
        <f>BO$299*BO327</f>
        <v>0</v>
      </c>
      <c r="BP331" s="859">
        <f>BQ331+BR331</f>
        <v>0</v>
      </c>
      <c r="BQ331" s="976">
        <f>BQ$299*BQ327</f>
        <v>0</v>
      </c>
      <c r="BR331" s="976">
        <f>BR$299*BR327</f>
        <v>0</v>
      </c>
      <c r="BS331" s="859">
        <f>BT331+BU331</f>
        <v>0</v>
      </c>
      <c r="BT331" s="976">
        <f>BT$299*BT327</f>
        <v>0</v>
      </c>
      <c r="BU331" s="976">
        <f>BU$299*BU327</f>
        <v>0</v>
      </c>
      <c r="BV331" s="859">
        <f>BW331+BX331</f>
        <v>0</v>
      </c>
      <c r="BW331" s="976">
        <f>BW$299*BW327</f>
        <v>0</v>
      </c>
      <c r="BX331" s="976">
        <f>BX$299*BX327</f>
        <v>0</v>
      </c>
      <c r="BY331" s="859">
        <f>BZ331+CA331</f>
        <v>0</v>
      </c>
      <c r="BZ331" s="976">
        <f>BZ$299*BZ327</f>
        <v>0</v>
      </c>
      <c r="CA331" s="976">
        <f>CA$299*CA327</f>
        <v>0</v>
      </c>
      <c r="CB331" s="859">
        <f>CC331+CD331</f>
        <v>0</v>
      </c>
      <c r="CC331" s="976">
        <f>CC$299*CC327</f>
        <v>0</v>
      </c>
      <c r="CD331" s="976">
        <f>CD$299*CD327</f>
        <v>0</v>
      </c>
      <c r="CE331" s="859">
        <f>CF331+CG331</f>
        <v>0</v>
      </c>
      <c r="CF331" s="87">
        <f>CF$299*CF327</f>
        <v>0</v>
      </c>
      <c r="CG331" s="87">
        <f>CG$299*CG327</f>
        <v>0</v>
      </c>
      <c r="CH331" s="859">
        <f>CI331+CJ331</f>
        <v>0</v>
      </c>
      <c r="CI331" s="87">
        <f>CI$299*CI327</f>
        <v>0</v>
      </c>
      <c r="CJ331" s="87">
        <f>CJ$299*CJ327</f>
        <v>0</v>
      </c>
      <c r="CK331" s="859">
        <f>CL331+CM331</f>
        <v>0</v>
      </c>
      <c r="CL331" s="87">
        <f>CL$299*CL327</f>
        <v>0</v>
      </c>
      <c r="CM331" s="87">
        <f>CM$299*CM327</f>
        <v>0</v>
      </c>
      <c r="CN331" s="859">
        <f>CO331+CP331</f>
        <v>0</v>
      </c>
      <c r="CO331" s="87">
        <f>CO$299*CO327</f>
        <v>0</v>
      </c>
      <c r="CP331" s="87">
        <f>CP$299*CP327</f>
        <v>0</v>
      </c>
      <c r="CQ331" s="859">
        <f>CR331+CS331</f>
        <v>0</v>
      </c>
      <c r="CR331" s="87">
        <f>CR$299*CR327</f>
        <v>0</v>
      </c>
      <c r="CS331" s="87">
        <f>CS$299*CS327</f>
        <v>0</v>
      </c>
      <c r="CT331" s="73"/>
      <c r="CW331" s="1170" t="s">
        <v>810</v>
      </c>
      <c r="CX331" s="1175" t="s">
        <v>787</v>
      </c>
      <c r="CY331" s="1179" cm="1" t="str">
        <f t="array" ref="CY331:CY331">AE331</f>
        <v>0</v>
      </c>
      <c r="CZ331" s="1179" cm="1" t="str">
        <f t="array" ref="CZ331:CZ331">AF331</f>
        <v>0</v>
      </c>
      <c r="DA331" s="1176"/>
      <c r="DB331" s="1176"/>
    </row>
    <row s="1619" customFormat="1" customHeight="1" ht="16.5" hidden="1">
      <c r="A332" s="1619"/>
      <c r="B332" s="1619"/>
      <c r="C332" s="1619"/>
      <c r="D332" s="1619"/>
      <c r="E332" s="794">
        <v>17.1</v>
      </c>
      <c r="F332" s="919" cm="1" t="str">
        <f t="array" ref="F332:F332">OFFSET(G332,-1,-1)</f>
        <v>2</v>
      </c>
      <c r="G332" s="1619"/>
      <c r="H332" s="1619"/>
      <c r="I332" s="1619"/>
      <c r="J332" s="1619"/>
      <c r="K332" s="1619"/>
      <c r="L332" s="919" cm="1" t="str">
        <f t="array" ref="L332:L332">OFFSET(M332,-1,-1)</f>
        <v>false</v>
      </c>
      <c r="M332" s="1619"/>
      <c r="N332" s="1619"/>
      <c r="O332" s="1619"/>
      <c r="P332" s="1619"/>
      <c r="Q332" s="1619"/>
      <c r="R332" s="919" t="s">
        <v>725</v>
      </c>
      <c r="S332" s="156" cm="1" t="str">
        <f t="array" ref="S332:S332">OFFSET(T332,-1,-1)</f>
        <v>true</v>
      </c>
      <c r="T332" s="156">
        <f>AND(L332,AD332&lt;&gt;"25.0")</f>
        <v>0</v>
      </c>
      <c r="U332" s="816">
        <f>AND(S332,IF(ISBLANK(T332),TRUE,T332))</f>
        <v>0</v>
      </c>
      <c r="V332" s="1619"/>
      <c r="W332" s="1619"/>
      <c r="X332" s="156" t="str">
        <f>'Топливо 4.4'!$AE$328&amp;'Топливо 4.4'!$AF$328</f>
        <v>Уголь бурыйБ</v>
      </c>
      <c r="Y332" s="1619"/>
      <c r="Z332" s="1619"/>
      <c r="AA332" s="1619"/>
      <c r="AB332" s="1483"/>
      <c r="AC332" s="1619"/>
      <c r="AD332" s="157" t="s">
        <v>905</v>
      </c>
      <c r="AE332" s="971" cm="1" t="str">
        <f t="array" ref="AE332:AE332">IF(ISBLANK('Топливо 4.4'!$AE$328),"",'Топливо 4.4'!$AE$328)</f>
        <v>Уголь бурый</v>
      </c>
      <c r="AF332" s="622" cm="1" t="str">
        <f t="array" ref="AF332:AF332">IF(ISBLANK('Топливо 4.4'!$AF$328),"",'Топливо 4.4'!$AF$328)</f>
        <v>Б</v>
      </c>
      <c r="AG332" s="1011" t="s">
        <v>805</v>
      </c>
      <c r="AH332" s="86">
        <f>AH$299*AH328</f>
        <v>0</v>
      </c>
      <c r="AI332" s="87">
        <f>AI$299*AI328</f>
        <v>0</v>
      </c>
      <c r="AJ332" s="87">
        <f>AJ$299*AJ328</f>
        <v>0</v>
      </c>
      <c r="AK332" s="87">
        <f>AK$299*AK328</f>
        <v>0</v>
      </c>
      <c r="AL332" s="859">
        <f>AM332+AN332</f>
        <v>4485.9999935</v>
      </c>
      <c r="AM332" s="87">
        <f>AM$299*AM328</f>
        <v>3353.0394112</v>
      </c>
      <c r="AN332" s="87">
        <f>AN$299*AN328</f>
        <v>1132.9605823</v>
      </c>
      <c r="AO332" s="859">
        <f>AP332+AQ332</f>
        <v>4735.998484</v>
      </c>
      <c r="AP332" s="976">
        <f>AP$299*AP328</f>
        <v>3539.8995968</v>
      </c>
      <c r="AQ332" s="976">
        <f>AQ$299*AQ328</f>
        <v>1196.0988872</v>
      </c>
      <c r="AR332" s="859">
        <f>AS332+AT332</f>
        <v>4914.9996015</v>
      </c>
      <c r="AS332" s="976">
        <f>AS$299*AS328</f>
        <v>3673.6931328</v>
      </c>
      <c r="AT332" s="976">
        <f>AT$299*AT328</f>
        <v>1241.3064687</v>
      </c>
      <c r="AU332" s="859">
        <f>AV332+AW332</f>
        <v>5100.9992955</v>
      </c>
      <c r="AV332" s="976">
        <f>AV$299*AV328</f>
        <v>3812.7177216</v>
      </c>
      <c r="AW332" s="976">
        <f>AW$299*AW328</f>
        <v>1288.2815739</v>
      </c>
      <c r="AX332" s="859">
        <f>AY332+AZ332</f>
        <v>5295.0043105</v>
      </c>
      <c r="AY332" s="976">
        <f>AY$299*AY328</f>
        <v>3957.7258496</v>
      </c>
      <c r="AZ332" s="976">
        <f>AZ$299*AZ328</f>
        <v>1337.2784609</v>
      </c>
      <c r="BA332" s="859">
        <f>BB332+BC332</f>
        <v>0</v>
      </c>
      <c r="BB332" s="87">
        <f>BB$299*BB328</f>
        <v>0</v>
      </c>
      <c r="BC332" s="87">
        <f>BC$299*BC328</f>
        <v>0</v>
      </c>
      <c r="BD332" s="859">
        <f>BE332+BF332</f>
        <v>0</v>
      </c>
      <c r="BE332" s="87">
        <f>BE$299*BE328</f>
        <v>0</v>
      </c>
      <c r="BF332" s="87">
        <f>BF$299*BF328</f>
        <v>0</v>
      </c>
      <c r="BG332" s="859">
        <f>BH332+BI332</f>
        <v>0</v>
      </c>
      <c r="BH332" s="87">
        <f>BH$299*BH328</f>
        <v>0</v>
      </c>
      <c r="BI332" s="87">
        <f>BI$299*BI328</f>
        <v>0</v>
      </c>
      <c r="BJ332" s="859">
        <f>BK332+BL332</f>
        <v>0</v>
      </c>
      <c r="BK332" s="87">
        <f>BK$299*BK328</f>
        <v>0</v>
      </c>
      <c r="BL332" s="87">
        <f>BL$299*BL328</f>
        <v>0</v>
      </c>
      <c r="BM332" s="859">
        <f>BN332+BO332</f>
        <v>0</v>
      </c>
      <c r="BN332" s="87">
        <f>BN$299*BN328</f>
        <v>0</v>
      </c>
      <c r="BO332" s="87">
        <f>BO$299*BO328</f>
        <v>0</v>
      </c>
      <c r="BP332" s="859">
        <f>BQ332+BR332</f>
        <v>3879.0440814893</v>
      </c>
      <c r="BQ332" s="976">
        <f>BQ$299*BQ328</f>
        <v>2899.37309448543</v>
      </c>
      <c r="BR332" s="976">
        <f>BR$299*BR328</f>
        <v>979.670987003866</v>
      </c>
      <c r="BS332" s="859">
        <f>BT332+BU332</f>
        <v>4049.72384966631</v>
      </c>
      <c r="BT332" s="976">
        <f>BT$299*BT328</f>
        <v>3026.94687741482</v>
      </c>
      <c r="BU332" s="976">
        <f>BU$299*BU328</f>
        <v>1022.77697225149</v>
      </c>
      <c r="BV332" s="859">
        <f>BW332+BX332</f>
        <v>4159.06399719003</v>
      </c>
      <c r="BW332" s="976">
        <f>BW$299*BW328</f>
        <v>3108.6726519143</v>
      </c>
      <c r="BX332" s="976">
        <f>BX$299*BX328</f>
        <v>1050.39134527573</v>
      </c>
      <c r="BY332" s="859">
        <f>BZ332+CA332</f>
        <v>4271.35876361082</v>
      </c>
      <c r="BZ332" s="976">
        <f>BZ$299*BZ328</f>
        <v>3192.60684229013</v>
      </c>
      <c r="CA332" s="976">
        <f>CA$299*CA328</f>
        <v>1078.75192132069</v>
      </c>
      <c r="CB332" s="859">
        <f>CC332+CD332</f>
        <v>4386.68514225501</v>
      </c>
      <c r="CC332" s="976">
        <f>CC$299*CC328</f>
        <v>3278.80699683878</v>
      </c>
      <c r="CD332" s="976">
        <f>CD$299*CD328</f>
        <v>1107.87814541623</v>
      </c>
      <c r="CE332" s="859">
        <f>CF332+CG332</f>
        <v>0</v>
      </c>
      <c r="CF332" s="87">
        <f>CF$299*CF328</f>
        <v>0</v>
      </c>
      <c r="CG332" s="87">
        <f>CG$299*CG328</f>
        <v>0</v>
      </c>
      <c r="CH332" s="859">
        <f>CI332+CJ332</f>
        <v>0</v>
      </c>
      <c r="CI332" s="87">
        <f>CI$299*CI328</f>
        <v>0</v>
      </c>
      <c r="CJ332" s="87">
        <f>CJ$299*CJ328</f>
        <v>0</v>
      </c>
      <c r="CK332" s="859">
        <f>CL332+CM332</f>
        <v>0</v>
      </c>
      <c r="CL332" s="87">
        <f>CL$299*CL328</f>
        <v>0</v>
      </c>
      <c r="CM332" s="87">
        <f>CM$299*CM328</f>
        <v>0</v>
      </c>
      <c r="CN332" s="859">
        <f>CO332+CP332</f>
        <v>0</v>
      </c>
      <c r="CO332" s="87">
        <f>CO$299*CO328</f>
        <v>0</v>
      </c>
      <c r="CP332" s="87">
        <f>CP$299*CP328</f>
        <v>0</v>
      </c>
      <c r="CQ332" s="859">
        <f>CR332+CS332</f>
        <v>0</v>
      </c>
      <c r="CR332" s="87">
        <f>CR$299*CR328</f>
        <v>0</v>
      </c>
      <c r="CS332" s="87">
        <f>CS$299*CS328</f>
        <v>0</v>
      </c>
      <c r="CT332" s="73"/>
      <c r="CU332" s="1619"/>
      <c r="CV332" s="1619"/>
      <c r="CW332" s="1170" t="s">
        <v>810</v>
      </c>
      <c r="CX332" s="1175" t="s">
        <v>787</v>
      </c>
      <c r="CY332" s="1179" cm="1" t="str">
        <f t="array" ref="CY332:CY332">AE332</f>
        <v>Уголь бурый</v>
      </c>
      <c r="CZ332" s="1179" cm="1" t="str">
        <f t="array" ref="CZ332:CZ332">AF332</f>
        <v>Б</v>
      </c>
      <c r="DA332" s="1176"/>
      <c r="DB332" s="1176"/>
    </row>
    <row s="1619" customFormat="1" customHeight="1" ht="15" hidden="1">
      <c r="A333" s="1440"/>
      <c r="B333" s="924"/>
      <c r="C333" s="1440"/>
      <c r="D333" s="1440"/>
      <c r="E333" s="794">
        <v>0</v>
      </c>
      <c r="F333" s="919" cm="1" t="str">
        <f t="array" ref="F333:F333">OFFSET(G333,-1,-1)</f>
        <v>2</v>
      </c>
      <c r="G333" s="962"/>
      <c r="H333" s="962"/>
      <c r="I333" s="962"/>
      <c r="J333" s="962"/>
      <c r="K333" s="962"/>
      <c r="L333" s="919" cm="1" t="str">
        <f t="array" ref="L333:L333">OFFSET(M333,-1,-1)</f>
        <v>false</v>
      </c>
      <c r="M333" s="962"/>
      <c r="N333" s="962"/>
      <c r="O333" s="962"/>
      <c r="P333" s="962"/>
      <c r="Q333" s="962"/>
      <c r="R333" s="1440"/>
      <c r="S333" s="156" cm="1" t="str">
        <f t="array" ref="S333:S333">OFFSET(T333,-1,-1)</f>
        <v>true</v>
      </c>
      <c r="T333" s="1440"/>
      <c r="U333" s="816">
        <f>AND(S333,IF(ISBLANK(T333),TRUE,T333))</f>
        <v>1</v>
      </c>
      <c r="V333" s="1440"/>
      <c r="W333" s="1440"/>
      <c r="X333" s="970" t="str">
        <f>"{                  
         funcDyn: 'msg1',
         blok: 'blok_2',
         wsCross: 'Топливо 4.4',
         linkFormula: 'AE-AE#AF-AF',
         levelDyn: "&amp;Y275&amp;"
}"</f>
        <v>{                  
         funcDyn: 'msg1',
         blok: 'blok_2',
         wsCross: 'Топливо 4.4',
         linkFormula: 'AE-AE#AF-AF',
         levelDyn: 2
}</v>
      </c>
      <c r="Y333" s="1440"/>
      <c r="Z333" s="1440"/>
      <c r="AA333" s="817"/>
      <c r="AB333" s="1484"/>
      <c r="AC333" s="1619"/>
      <c r="AD333" s="973"/>
      <c r="AE333" s="972" t="s">
        <v>235</v>
      </c>
      <c r="AF333" s="871"/>
      <c r="AG333" s="1011"/>
      <c r="AH333" s="858"/>
      <c r="AI333" s="860"/>
      <c r="AJ333" s="860"/>
      <c r="AK333" s="860"/>
      <c r="AL333" s="860"/>
      <c r="AM333" s="860"/>
      <c r="AN333" s="860"/>
      <c r="AO333" s="860"/>
      <c r="AP333" s="860"/>
      <c r="AQ333" s="860"/>
      <c r="AR333" s="860"/>
      <c r="AS333" s="860"/>
      <c r="AT333" s="860"/>
      <c r="AU333" s="860"/>
      <c r="AV333" s="860"/>
      <c r="AW333" s="860"/>
      <c r="AX333" s="860"/>
      <c r="AY333" s="860"/>
      <c r="AZ333" s="860"/>
      <c r="BA333" s="860"/>
      <c r="BB333" s="860"/>
      <c r="BC333" s="860"/>
      <c r="BD333" s="860"/>
      <c r="BE333" s="860"/>
      <c r="BF333" s="860"/>
      <c r="BG333" s="860"/>
      <c r="BH333" s="860"/>
      <c r="BI333" s="860"/>
      <c r="BJ333" s="860"/>
      <c r="BK333" s="860"/>
      <c r="BL333" s="860"/>
      <c r="BM333" s="860"/>
      <c r="BN333" s="860"/>
      <c r="BO333" s="860"/>
      <c r="BP333" s="860"/>
      <c r="BQ333" s="860"/>
      <c r="BR333" s="860"/>
      <c r="BS333" s="860"/>
      <c r="BT333" s="860"/>
      <c r="BU333" s="860"/>
      <c r="BV333" s="860"/>
      <c r="BW333" s="860"/>
      <c r="BX333" s="860"/>
      <c r="BY333" s="860"/>
      <c r="BZ333" s="860"/>
      <c r="CA333" s="860"/>
      <c r="CB333" s="860"/>
      <c r="CC333" s="860"/>
      <c r="CD333" s="860"/>
      <c r="CE333" s="860"/>
      <c r="CF333" s="860"/>
      <c r="CG333" s="860"/>
      <c r="CH333" s="860"/>
      <c r="CI333" s="860"/>
      <c r="CJ333" s="860"/>
      <c r="CK333" s="860"/>
      <c r="CL333" s="860"/>
      <c r="CM333" s="860"/>
      <c r="CN333" s="860"/>
      <c r="CO333" s="860"/>
      <c r="CP333" s="860"/>
      <c r="CQ333" s="860"/>
      <c r="CR333" s="860"/>
      <c r="CS333" s="860"/>
      <c r="CT333" s="91"/>
      <c r="CU333" s="1619"/>
      <c r="CV333" s="1619"/>
      <c r="CW333" s="1170" t="str">
        <f>IF(AND(ISNUMBER(VALUE(TRIM(SUBSTITUTE(AD333,".","")))),TRIM(SUBSTITUTE(AD333,".",""))&lt;&gt;""),"P"&amp;SUBSTITUTE(AD333,".",""),"")</f>
        <v/>
      </c>
      <c r="CX333" s="1175"/>
      <c r="CY333" s="1175"/>
      <c r="CZ333" s="1175"/>
      <c r="DA333" s="1176"/>
      <c r="DB333" s="1176"/>
    </row>
    <row s="1619" customFormat="1" customHeight="1" ht="16.5">
      <c r="A334" s="1440"/>
      <c r="B334" s="924"/>
      <c r="C334" s="1440"/>
      <c r="D334" s="1440"/>
      <c r="E334" s="794">
        <v>17.1</v>
      </c>
      <c r="F334" s="919" cm="1" t="str">
        <f t="array" ref="F334:F334">OFFSET(G334,-1,-1)</f>
        <v>2</v>
      </c>
      <c r="G334" s="962"/>
      <c r="H334" s="962"/>
      <c r="I334" s="962"/>
      <c r="J334" s="962"/>
      <c r="K334" s="962"/>
      <c r="L334" s="919" cm="1" t="str">
        <f t="array" ref="L334:L334">OFFSET(M334,-1,-1)</f>
        <v>false</v>
      </c>
      <c r="M334" s="962"/>
      <c r="N334" s="962"/>
      <c r="O334" s="962"/>
      <c r="P334" s="962"/>
      <c r="Q334" s="962"/>
      <c r="R334" s="1440"/>
      <c r="S334" s="156" cm="1" t="str">
        <f t="array" ref="S334:S334">OFFSET(T334,-1,-1)</f>
        <v>true</v>
      </c>
      <c r="T334" s="1440"/>
      <c r="U334" s="816">
        <f>AND(S334,IF(ISBLANK(T334),TRUE,T334))</f>
        <v>1</v>
      </c>
      <c r="V334" s="1440"/>
      <c r="W334" s="1440"/>
      <c r="X334" s="1440"/>
      <c r="Y334" s="1440"/>
      <c r="Z334" s="1440"/>
      <c r="AA334" s="817"/>
      <c r="AB334" s="1488" t="s">
        <v>812</v>
      </c>
      <c r="AC334" s="1619"/>
      <c r="AD334" s="170">
        <v>26</v>
      </c>
      <c r="AE334" s="1494" t="s">
        <v>813</v>
      </c>
      <c r="AF334" s="320"/>
      <c r="AG334" s="1007"/>
      <c r="AH334" s="858"/>
      <c r="AI334" s="860"/>
      <c r="AJ334" s="860"/>
      <c r="AK334" s="860"/>
      <c r="AL334" s="860"/>
      <c r="AM334" s="860"/>
      <c r="AN334" s="860"/>
      <c r="AO334" s="860"/>
      <c r="AP334" s="860"/>
      <c r="AQ334" s="860"/>
      <c r="AR334" s="860"/>
      <c r="AS334" s="860"/>
      <c r="AT334" s="860"/>
      <c r="AU334" s="860"/>
      <c r="AV334" s="860"/>
      <c r="AW334" s="860"/>
      <c r="AX334" s="860"/>
      <c r="AY334" s="860"/>
      <c r="AZ334" s="860"/>
      <c r="BA334" s="860"/>
      <c r="BB334" s="860"/>
      <c r="BC334" s="860"/>
      <c r="BD334" s="860"/>
      <c r="BE334" s="860"/>
      <c r="BF334" s="860"/>
      <c r="BG334" s="860"/>
      <c r="BH334" s="860"/>
      <c r="BI334" s="860"/>
      <c r="BJ334" s="860"/>
      <c r="BK334" s="860"/>
      <c r="BL334" s="860"/>
      <c r="BM334" s="860"/>
      <c r="BN334" s="860"/>
      <c r="BO334" s="860"/>
      <c r="BP334" s="860"/>
      <c r="BQ334" s="860"/>
      <c r="BR334" s="860"/>
      <c r="BS334" s="860"/>
      <c r="BT334" s="860"/>
      <c r="BU334" s="860"/>
      <c r="BV334" s="860"/>
      <c r="BW334" s="860"/>
      <c r="BX334" s="860"/>
      <c r="BY334" s="860"/>
      <c r="BZ334" s="860"/>
      <c r="CA334" s="860"/>
      <c r="CB334" s="860"/>
      <c r="CC334" s="860"/>
      <c r="CD334" s="860"/>
      <c r="CE334" s="860"/>
      <c r="CF334" s="860"/>
      <c r="CG334" s="860"/>
      <c r="CH334" s="860"/>
      <c r="CI334" s="860"/>
      <c r="CJ334" s="860"/>
      <c r="CK334" s="860"/>
      <c r="CL334" s="860"/>
      <c r="CM334" s="860"/>
      <c r="CN334" s="860"/>
      <c r="CO334" s="860"/>
      <c r="CP334" s="860"/>
      <c r="CQ334" s="860"/>
      <c r="CR334" s="860"/>
      <c r="CS334" s="860"/>
      <c r="CT334" s="1730"/>
      <c r="CU334" s="1619"/>
      <c r="CV334" s="1619"/>
      <c r="CW334" s="1170" t="s">
        <v>814</v>
      </c>
      <c r="CX334" s="1175"/>
      <c r="CY334" s="1175"/>
      <c r="CZ334" s="1175"/>
      <c r="DA334" s="1176"/>
      <c r="DB334" s="1176"/>
    </row>
    <row s="1619" customFormat="1" customHeight="1" ht="16.5" hidden="1">
      <c r="E335" s="794">
        <v>17.1</v>
      </c>
      <c r="F335" s="919" cm="1" t="str">
        <f t="array" ref="F335:F335">OFFSET(G335,-1,-1)</f>
        <v>2</v>
      </c>
      <c r="L335" s="919" cm="1" t="str">
        <f t="array" ref="L335:L335">OFFSET(M335,-1,-1)</f>
        <v>false</v>
      </c>
      <c r="S335" s="156" cm="1" t="str">
        <f t="array" ref="S335:S335">OFFSET(T335,-1,-1)</f>
        <v>true</v>
      </c>
      <c r="T335" s="156">
        <f>AD335&lt;&gt;"26.0"</f>
        <v>0</v>
      </c>
      <c r="U335" s="816">
        <f>AND(S335,IF(ISBLANK(T335),TRUE,T335))</f>
        <v>0</v>
      </c>
      <c r="X335" s="156" t="s">
        <v>233</v>
      </c>
      <c r="AB335" s="1489"/>
      <c r="AD335" s="157" t="s">
        <v>815</v>
      </c>
      <c r="AE335" s="971"/>
      <c r="AF335" s="622"/>
      <c r="AG335" s="856" t="s">
        <v>490</v>
      </c>
      <c r="AH335" s="90"/>
      <c r="AI335" s="94"/>
      <c r="AJ335" s="94"/>
      <c r="AK335" s="94"/>
      <c r="AL335" s="860"/>
      <c r="AM335" s="87"/>
      <c r="AN335" s="87"/>
      <c r="AO335" s="860"/>
      <c r="AP335" s="981"/>
      <c r="AQ335" s="981"/>
      <c r="AR335" s="860"/>
      <c r="AS335" s="981"/>
      <c r="AT335" s="981"/>
      <c r="AU335" s="860"/>
      <c r="AV335" s="981"/>
      <c r="AW335" s="981"/>
      <c r="AX335" s="860"/>
      <c r="AY335" s="981"/>
      <c r="AZ335" s="981"/>
      <c r="BA335" s="860"/>
      <c r="BB335" s="94"/>
      <c r="BC335" s="94"/>
      <c r="BD335" s="860"/>
      <c r="BE335" s="94"/>
      <c r="BF335" s="94"/>
      <c r="BG335" s="860"/>
      <c r="BH335" s="94"/>
      <c r="BI335" s="94"/>
      <c r="BJ335" s="860"/>
      <c r="BK335" s="94"/>
      <c r="BL335" s="94"/>
      <c r="BM335" s="860"/>
      <c r="BN335" s="94"/>
      <c r="BO335" s="94"/>
      <c r="BP335" s="860"/>
      <c r="BQ335" s="981"/>
      <c r="BR335" s="981"/>
      <c r="BS335" s="860"/>
      <c r="BT335" s="981"/>
      <c r="BU335" s="981"/>
      <c r="BV335" s="860"/>
      <c r="BW335" s="981"/>
      <c r="BX335" s="981"/>
      <c r="BY335" s="860"/>
      <c r="BZ335" s="981"/>
      <c r="CA335" s="981"/>
      <c r="CB335" s="860"/>
      <c r="CC335" s="981"/>
      <c r="CD335" s="981"/>
      <c r="CE335" s="860"/>
      <c r="CF335" s="94"/>
      <c r="CG335" s="94"/>
      <c r="CH335" s="860"/>
      <c r="CI335" s="94"/>
      <c r="CJ335" s="94"/>
      <c r="CK335" s="860"/>
      <c r="CL335" s="94"/>
      <c r="CM335" s="94"/>
      <c r="CN335" s="860"/>
      <c r="CO335" s="94"/>
      <c r="CP335" s="94"/>
      <c r="CQ335" s="860"/>
      <c r="CR335" s="94"/>
      <c r="CS335" s="94"/>
      <c r="CT335" s="73"/>
      <c r="CW335" s="1170" t="s">
        <v>814</v>
      </c>
      <c r="CX335" s="1175" t="s">
        <v>787</v>
      </c>
      <c r="CY335" s="1179" cm="1" t="str">
        <f t="array" ref="CY335:CY335">AE335</f>
        <v>0</v>
      </c>
      <c r="CZ335" s="1179" cm="1" t="str">
        <f t="array" ref="CZ335:CZ335">AF335</f>
        <v>0</v>
      </c>
      <c r="DA335" s="1176"/>
      <c r="DB335" s="1176"/>
    </row>
    <row s="1619" customFormat="1" customHeight="1" ht="16.5">
      <c r="A336" s="1619"/>
      <c r="B336" s="1619"/>
      <c r="C336" s="1619"/>
      <c r="D336" s="1619"/>
      <c r="E336" s="794">
        <v>17.1</v>
      </c>
      <c r="F336" s="919" cm="1" t="str">
        <f t="array" ref="F336:F336">OFFSET(G336,-1,-1)</f>
        <v>2</v>
      </c>
      <c r="G336" s="1619"/>
      <c r="H336" s="1619"/>
      <c r="I336" s="1619"/>
      <c r="J336" s="1619"/>
      <c r="K336" s="1619"/>
      <c r="L336" s="919" cm="1" t="str">
        <f t="array" ref="L336:L336">OFFSET(M336,-1,-1)</f>
        <v>false</v>
      </c>
      <c r="M336" s="1619"/>
      <c r="N336" s="1619"/>
      <c r="O336" s="1619"/>
      <c r="P336" s="1619"/>
      <c r="Q336" s="1619"/>
      <c r="R336" s="1619"/>
      <c r="S336" s="156" cm="1" t="str">
        <f t="array" ref="S336:S336">OFFSET(T336,-1,-1)</f>
        <v>true</v>
      </c>
      <c r="T336" s="156">
        <f>AD336&lt;&gt;"26.0"</f>
        <v>1</v>
      </c>
      <c r="U336" s="816">
        <f>AND(S336,IF(ISBLANK(T336),TRUE,T336))</f>
        <v>1</v>
      </c>
      <c r="V336" s="1619"/>
      <c r="W336" s="1619"/>
      <c r="X336" s="156" t="str">
        <f>'Топливо 4.4'!$AE$332&amp;'Топливо 4.4'!$AF$332</f>
        <v>Уголь бурыйБ</v>
      </c>
      <c r="Y336" s="1619"/>
      <c r="Z336" s="1619"/>
      <c r="AA336" s="1619"/>
      <c r="AB336" s="1489"/>
      <c r="AC336" s="1619"/>
      <c r="AD336" s="157" t="s">
        <v>906</v>
      </c>
      <c r="AE336" s="971" cm="1" t="str">
        <f t="array" ref="AE336:AE336">IF(ISBLANK('Топливо 4.4'!$AE$332),"",'Топливо 4.4'!$AE$332)</f>
        <v>Уголь бурый</v>
      </c>
      <c r="AF336" s="622" cm="1" t="str">
        <f t="array" ref="AF336:AF336">IF(ISBLANK('Топливо 4.4'!$AF$332),"",'Топливо 4.4'!$AF$332)</f>
        <v>Б</v>
      </c>
      <c r="AG336" s="856" t="s">
        <v>490</v>
      </c>
      <c r="AH336" s="1772"/>
      <c r="AI336" s="1777"/>
      <c r="AJ336" s="1777"/>
      <c r="AK336" s="1777"/>
      <c r="AL336" s="860"/>
      <c r="AM336" s="1766"/>
      <c r="AN336" s="1766"/>
      <c r="AO336" s="860"/>
      <c r="AP336" s="981"/>
      <c r="AQ336" s="981"/>
      <c r="AR336" s="860"/>
      <c r="AS336" s="981"/>
      <c r="AT336" s="981"/>
      <c r="AU336" s="860"/>
      <c r="AV336" s="981"/>
      <c r="AW336" s="981"/>
      <c r="AX336" s="860"/>
      <c r="AY336" s="981"/>
      <c r="AZ336" s="981"/>
      <c r="BA336" s="860"/>
      <c r="BB336" s="1777"/>
      <c r="BC336" s="1777"/>
      <c r="BD336" s="860"/>
      <c r="BE336" s="1777"/>
      <c r="BF336" s="1777"/>
      <c r="BG336" s="860"/>
      <c r="BH336" s="1777"/>
      <c r="BI336" s="1777"/>
      <c r="BJ336" s="860"/>
      <c r="BK336" s="1777"/>
      <c r="BL336" s="1777"/>
      <c r="BM336" s="860"/>
      <c r="BN336" s="1777"/>
      <c r="BO336" s="1777"/>
      <c r="BP336" s="860"/>
      <c r="BQ336" s="981"/>
      <c r="BR336" s="981"/>
      <c r="BS336" s="860"/>
      <c r="BT336" s="981"/>
      <c r="BU336" s="981"/>
      <c r="BV336" s="860"/>
      <c r="BW336" s="981"/>
      <c r="BX336" s="981"/>
      <c r="BY336" s="860"/>
      <c r="BZ336" s="981"/>
      <c r="CA336" s="981"/>
      <c r="CB336" s="860"/>
      <c r="CC336" s="981"/>
      <c r="CD336" s="981"/>
      <c r="CE336" s="860"/>
      <c r="CF336" s="1777"/>
      <c r="CG336" s="1777"/>
      <c r="CH336" s="860"/>
      <c r="CI336" s="1777"/>
      <c r="CJ336" s="1777"/>
      <c r="CK336" s="860"/>
      <c r="CL336" s="1777"/>
      <c r="CM336" s="1777"/>
      <c r="CN336" s="860"/>
      <c r="CO336" s="1777"/>
      <c r="CP336" s="1777"/>
      <c r="CQ336" s="860"/>
      <c r="CR336" s="1777"/>
      <c r="CS336" s="1777"/>
      <c r="CT336" s="1730"/>
      <c r="CU336" s="1619"/>
      <c r="CV336" s="1619"/>
      <c r="CW336" s="1170" t="s">
        <v>814</v>
      </c>
      <c r="CX336" s="1175" t="s">
        <v>787</v>
      </c>
      <c r="CY336" s="1179" cm="1" t="str">
        <f t="array" ref="CY336:CY336">AE336</f>
        <v>Уголь бурый</v>
      </c>
      <c r="CZ336" s="1179" cm="1" t="str">
        <f t="array" ref="CZ336:CZ336">AF336</f>
        <v>Б</v>
      </c>
      <c r="DA336" s="1176"/>
      <c r="DB336" s="1176"/>
    </row>
    <row s="1619" customFormat="1" customHeight="1" ht="15" hidden="1">
      <c r="A337" s="1440"/>
      <c r="B337" s="924"/>
      <c r="C337" s="1440"/>
      <c r="D337" s="1440"/>
      <c r="E337" s="794">
        <v>0</v>
      </c>
      <c r="F337" s="919" cm="1" t="str">
        <f t="array" ref="F337:F337">OFFSET(G337,-1,-1)</f>
        <v>2</v>
      </c>
      <c r="G337" s="962"/>
      <c r="H337" s="962"/>
      <c r="I337" s="962"/>
      <c r="J337" s="962"/>
      <c r="K337" s="962"/>
      <c r="L337" s="919" cm="1" t="str">
        <f t="array" ref="L337:L337">OFFSET(M337,-1,-1)</f>
        <v>false</v>
      </c>
      <c r="M337" s="962"/>
      <c r="N337" s="962"/>
      <c r="O337" s="962"/>
      <c r="P337" s="962"/>
      <c r="Q337" s="962"/>
      <c r="R337" s="1440"/>
      <c r="S337" s="156" cm="1" t="str">
        <f t="array" ref="S337:S337">OFFSET(T337,-1,-1)</f>
        <v>true</v>
      </c>
      <c r="T337" s="1440"/>
      <c r="U337" s="816">
        <f>AND(S337,IF(ISBLANK(T337),TRUE,T337))</f>
        <v>1</v>
      </c>
      <c r="V337" s="1440"/>
      <c r="W337" s="1440"/>
      <c r="X337" s="970" t="str">
        <f>"{                  
         funcDyn: 'msg1',
         blok: 'blok_2',
         wsCross: 'Топливо 4.4',
         linkFormula: 'AE-AE#AF-AF',
         levelDyn: "&amp;Y275&amp;"
}"</f>
        <v>{                  
         funcDyn: 'msg1',
         blok: 'blok_2',
         wsCross: 'Топливо 4.4',
         linkFormula: 'AE-AE#AF-AF',
         levelDyn: 2
}</v>
      </c>
      <c r="Y337" s="1440"/>
      <c r="Z337" s="1440"/>
      <c r="AA337" s="817"/>
      <c r="AB337" s="1489"/>
      <c r="AC337" s="1619"/>
      <c r="AD337" s="973"/>
      <c r="AE337" s="972" t="s">
        <v>235</v>
      </c>
      <c r="AF337" s="871"/>
      <c r="AG337" s="856"/>
      <c r="AH337" s="873"/>
      <c r="AI337" s="95"/>
      <c r="AJ337" s="95"/>
      <c r="AK337" s="95"/>
      <c r="AL337" s="860"/>
      <c r="AM337" s="95"/>
      <c r="AN337" s="95"/>
      <c r="AO337" s="860"/>
      <c r="AP337" s="95"/>
      <c r="AQ337" s="95"/>
      <c r="AR337" s="860"/>
      <c r="AS337" s="95"/>
      <c r="AT337" s="95"/>
      <c r="AU337" s="860"/>
      <c r="AV337" s="95"/>
      <c r="AW337" s="95"/>
      <c r="AX337" s="860"/>
      <c r="AY337" s="95"/>
      <c r="AZ337" s="95"/>
      <c r="BA337" s="860"/>
      <c r="BB337" s="95"/>
      <c r="BC337" s="95"/>
      <c r="BD337" s="860"/>
      <c r="BE337" s="95"/>
      <c r="BF337" s="95"/>
      <c r="BG337" s="860"/>
      <c r="BH337" s="95"/>
      <c r="BI337" s="95"/>
      <c r="BJ337" s="860"/>
      <c r="BK337" s="95"/>
      <c r="BL337" s="95"/>
      <c r="BM337" s="860"/>
      <c r="BN337" s="95"/>
      <c r="BO337" s="95"/>
      <c r="BP337" s="860"/>
      <c r="BQ337" s="95"/>
      <c r="BR337" s="95"/>
      <c r="BS337" s="860"/>
      <c r="BT337" s="95"/>
      <c r="BU337" s="95"/>
      <c r="BV337" s="860"/>
      <c r="BW337" s="95"/>
      <c r="BX337" s="95"/>
      <c r="BY337" s="860"/>
      <c r="BZ337" s="95"/>
      <c r="CA337" s="95"/>
      <c r="CB337" s="860"/>
      <c r="CC337" s="95"/>
      <c r="CD337" s="95"/>
      <c r="CE337" s="860"/>
      <c r="CF337" s="95"/>
      <c r="CG337" s="95"/>
      <c r="CH337" s="860"/>
      <c r="CI337" s="95"/>
      <c r="CJ337" s="95"/>
      <c r="CK337" s="860"/>
      <c r="CL337" s="95"/>
      <c r="CM337" s="95"/>
      <c r="CN337" s="860"/>
      <c r="CO337" s="95"/>
      <c r="CP337" s="95"/>
      <c r="CQ337" s="860"/>
      <c r="CR337" s="95"/>
      <c r="CS337" s="95"/>
      <c r="CT337" s="91"/>
      <c r="CU337" s="1619"/>
      <c r="CV337" s="1619"/>
      <c r="CW337" s="1170" t="str">
        <f>IF(AND(ISNUMBER(VALUE(TRIM(SUBSTITUTE(AD337,".","")))),TRIM(SUBSTITUTE(AD337,".",""))&lt;&gt;""),"P"&amp;SUBSTITUTE(AD337,".",""),"")</f>
        <v/>
      </c>
      <c r="CX337" s="1175"/>
      <c r="CY337" s="1175"/>
      <c r="CZ337" s="1175"/>
      <c r="DA337" s="1176"/>
      <c r="DB337" s="1176"/>
    </row>
    <row s="1619" customFormat="1" customHeight="1" ht="16.5">
      <c r="A338" s="1440"/>
      <c r="B338" s="924"/>
      <c r="C338" s="1440"/>
      <c r="D338" s="1440"/>
      <c r="E338" s="794">
        <v>17.1</v>
      </c>
      <c r="F338" s="919" cm="1" t="str">
        <f t="array" ref="F338:F338">OFFSET(G338,-1,-1)</f>
        <v>2</v>
      </c>
      <c r="G338" s="962"/>
      <c r="H338" s="962"/>
      <c r="I338" s="962"/>
      <c r="J338" s="962"/>
      <c r="K338" s="962"/>
      <c r="L338" s="919" cm="1" t="str">
        <f t="array" ref="L338:L338">OFFSET(M338,-1,-1)</f>
        <v>false</v>
      </c>
      <c r="M338" s="962"/>
      <c r="N338" s="962"/>
      <c r="O338" s="962"/>
      <c r="P338" s="962"/>
      <c r="Q338" s="962"/>
      <c r="R338" s="1440"/>
      <c r="S338" s="156" cm="1" t="str">
        <f t="array" ref="S338:S338">OFFSET(T338,-1,-1)</f>
        <v>true</v>
      </c>
      <c r="T338" s="1440"/>
      <c r="U338" s="816">
        <f>AND(S338,IF(ISBLANK(T338),TRUE,T338))</f>
        <v>1</v>
      </c>
      <c r="V338" s="1440"/>
      <c r="W338" s="1440"/>
      <c r="X338" s="1440"/>
      <c r="Y338" s="1440"/>
      <c r="Z338" s="1440"/>
      <c r="AA338" s="817"/>
      <c r="AB338" s="1489"/>
      <c r="AC338" s="1619"/>
      <c r="AD338" s="170">
        <v>27</v>
      </c>
      <c r="AE338" s="1494" t="s">
        <v>816</v>
      </c>
      <c r="AF338" s="320"/>
      <c r="AG338" s="1007"/>
      <c r="AH338" s="858"/>
      <c r="AI338" s="860"/>
      <c r="AJ338" s="860"/>
      <c r="AK338" s="860"/>
      <c r="AL338" s="860"/>
      <c r="AM338" s="860"/>
      <c r="AN338" s="860"/>
      <c r="AO338" s="860"/>
      <c r="AP338" s="860"/>
      <c r="AQ338" s="860"/>
      <c r="AR338" s="860"/>
      <c r="AS338" s="860"/>
      <c r="AT338" s="860"/>
      <c r="AU338" s="860"/>
      <c r="AV338" s="860"/>
      <c r="AW338" s="860"/>
      <c r="AX338" s="860"/>
      <c r="AY338" s="860"/>
      <c r="AZ338" s="860"/>
      <c r="BA338" s="860"/>
      <c r="BB338" s="860"/>
      <c r="BC338" s="860"/>
      <c r="BD338" s="860"/>
      <c r="BE338" s="860"/>
      <c r="BF338" s="860"/>
      <c r="BG338" s="860"/>
      <c r="BH338" s="860"/>
      <c r="BI338" s="860"/>
      <c r="BJ338" s="860"/>
      <c r="BK338" s="860"/>
      <c r="BL338" s="860"/>
      <c r="BM338" s="860"/>
      <c r="BN338" s="860"/>
      <c r="BO338" s="860"/>
      <c r="BP338" s="860"/>
      <c r="BQ338" s="860"/>
      <c r="BR338" s="860"/>
      <c r="BS338" s="860"/>
      <c r="BT338" s="860"/>
      <c r="BU338" s="860"/>
      <c r="BV338" s="860"/>
      <c r="BW338" s="860"/>
      <c r="BX338" s="860"/>
      <c r="BY338" s="860"/>
      <c r="BZ338" s="860"/>
      <c r="CA338" s="860"/>
      <c r="CB338" s="860"/>
      <c r="CC338" s="860"/>
      <c r="CD338" s="860"/>
      <c r="CE338" s="860"/>
      <c r="CF338" s="860"/>
      <c r="CG338" s="860"/>
      <c r="CH338" s="860"/>
      <c r="CI338" s="860"/>
      <c r="CJ338" s="860"/>
      <c r="CK338" s="860"/>
      <c r="CL338" s="860"/>
      <c r="CM338" s="860"/>
      <c r="CN338" s="860"/>
      <c r="CO338" s="860"/>
      <c r="CP338" s="860"/>
      <c r="CQ338" s="860"/>
      <c r="CR338" s="860"/>
      <c r="CS338" s="860"/>
      <c r="CT338" s="1730"/>
      <c r="CU338" s="1619"/>
      <c r="CV338" s="1619"/>
      <c r="CW338" s="1170" t="s">
        <v>817</v>
      </c>
      <c r="CX338" s="1175"/>
      <c r="CY338" s="1175"/>
      <c r="CZ338" s="1175"/>
      <c r="DA338" s="1176"/>
      <c r="DB338" s="1176"/>
    </row>
    <row s="1619" customFormat="1" customHeight="1" ht="16.5" hidden="1">
      <c r="E339" s="794">
        <v>17.1</v>
      </c>
      <c r="F339" s="919" cm="1" t="str">
        <f t="array" ref="F339:F339">OFFSET(G339,-1,-1)</f>
        <v>2</v>
      </c>
      <c r="L339" s="919" cm="1" t="str">
        <f t="array" ref="L339:L339">OFFSET(M339,-1,-1)</f>
        <v>false</v>
      </c>
      <c r="S339" s="156" cm="1" t="str">
        <f t="array" ref="S339:S339">OFFSET(T339,-1,-1)</f>
        <v>true</v>
      </c>
      <c r="T339" s="156">
        <f>AD339&lt;&gt;"27.0"</f>
        <v>0</v>
      </c>
      <c r="U339" s="816">
        <f>AND(S339,IF(ISBLANK(T339),TRUE,T339))</f>
        <v>0</v>
      </c>
      <c r="X339" s="156" t="s">
        <v>233</v>
      </c>
      <c r="AB339" s="1489"/>
      <c r="AD339" s="157" t="s">
        <v>818</v>
      </c>
      <c r="AE339" s="971"/>
      <c r="AF339" s="622"/>
      <c r="AG339" s="1067" t="str">
        <f>"руб./"&amp;_xlfn.IFERROR(INDEX(fuel_ed_izm_list,MATCH(AE339,fuel_list,0)),"")</f>
        <v>руб./</v>
      </c>
      <c r="AH339" s="86">
        <f>_xlfn.IFERROR(AH344/AH314,0)*1000</f>
        <v>0</v>
      </c>
      <c r="AI339" s="86">
        <f>_xlfn.IFERROR(AI344/AI314,0)*1000</f>
        <v>0</v>
      </c>
      <c r="AJ339" s="86">
        <f>_xlfn.IFERROR(AJ344/AJ314,0)*1000</f>
        <v>0</v>
      </c>
      <c r="AK339" s="86">
        <f>_xlfn.IFERROR(AK344/AK314,0)*1000</f>
        <v>0</v>
      </c>
      <c r="AL339" s="859">
        <f>_xlfn.IFERROR(AL344/AL314,0)*1000</f>
        <v>0</v>
      </c>
      <c r="AM339" s="87"/>
      <c r="AN339" s="87"/>
      <c r="AO339" s="859">
        <f>_xlfn.IFERROR(AO344/AO314,0)*1000</f>
        <v>0</v>
      </c>
      <c r="AP339" s="976"/>
      <c r="AQ339" s="976"/>
      <c r="AR339" s="859">
        <f>_xlfn.IFERROR(AR344/AR314,0)*1000</f>
        <v>0</v>
      </c>
      <c r="AS339" s="976"/>
      <c r="AT339" s="976"/>
      <c r="AU339" s="859">
        <f>_xlfn.IFERROR(AU344/AU314,0)*1000</f>
        <v>0</v>
      </c>
      <c r="AV339" s="976"/>
      <c r="AW339" s="976"/>
      <c r="AX339" s="859">
        <f>_xlfn.IFERROR(AX344/AX314,0)*1000</f>
        <v>0</v>
      </c>
      <c r="AY339" s="976"/>
      <c r="AZ339" s="976"/>
      <c r="BA339" s="859">
        <f>_xlfn.IFERROR(BA344/BA314,0)*1000</f>
        <v>0</v>
      </c>
      <c r="BB339" s="87"/>
      <c r="BC339" s="87"/>
      <c r="BD339" s="859">
        <f>_xlfn.IFERROR(BD344/BD314,0)*1000</f>
        <v>0</v>
      </c>
      <c r="BE339" s="87"/>
      <c r="BF339" s="87"/>
      <c r="BG339" s="859">
        <f>_xlfn.IFERROR(BG344/BG314,0)*1000</f>
        <v>0</v>
      </c>
      <c r="BH339" s="87"/>
      <c r="BI339" s="87"/>
      <c r="BJ339" s="859">
        <f>_xlfn.IFERROR(BJ344/BJ314,0)*1000</f>
        <v>0</v>
      </c>
      <c r="BK339" s="87"/>
      <c r="BL339" s="87"/>
      <c r="BM339" s="859">
        <f>_xlfn.IFERROR(BM344/BM314,0)*1000</f>
        <v>0</v>
      </c>
      <c r="BN339" s="87"/>
      <c r="BO339" s="87"/>
      <c r="BP339" s="859">
        <f>_xlfn.IFERROR(BP344/BP314,0)*1000</f>
        <v>0</v>
      </c>
      <c r="BQ339" s="976"/>
      <c r="BR339" s="976"/>
      <c r="BS339" s="859">
        <f>_xlfn.IFERROR(BS344/BS314,0)*1000</f>
        <v>0</v>
      </c>
      <c r="BT339" s="976"/>
      <c r="BU339" s="976"/>
      <c r="BV339" s="859">
        <f>_xlfn.IFERROR(BV344/BV314,0)*1000</f>
        <v>0</v>
      </c>
      <c r="BW339" s="976"/>
      <c r="BX339" s="976"/>
      <c r="BY339" s="859">
        <f>_xlfn.IFERROR(BY344/BY314,0)*1000</f>
        <v>0</v>
      </c>
      <c r="BZ339" s="976"/>
      <c r="CA339" s="976"/>
      <c r="CB339" s="859">
        <f>_xlfn.IFERROR(CB344/CB314,0)*1000</f>
        <v>0</v>
      </c>
      <c r="CC339" s="976"/>
      <c r="CD339" s="976"/>
      <c r="CE339" s="859">
        <f>_xlfn.IFERROR(CE344/CE314,0)*1000</f>
        <v>0</v>
      </c>
      <c r="CF339" s="87"/>
      <c r="CG339" s="87"/>
      <c r="CH339" s="859">
        <f>_xlfn.IFERROR(CH344/CH314,0)*1000</f>
        <v>0</v>
      </c>
      <c r="CI339" s="87"/>
      <c r="CJ339" s="87"/>
      <c r="CK339" s="859">
        <f>_xlfn.IFERROR(CK344/CK314,0)*1000</f>
        <v>0</v>
      </c>
      <c r="CL339" s="87"/>
      <c r="CM339" s="87"/>
      <c r="CN339" s="859">
        <f>_xlfn.IFERROR(CN344/CN314,0)*1000</f>
        <v>0</v>
      </c>
      <c r="CO339" s="87"/>
      <c r="CP339" s="87"/>
      <c r="CQ339" s="859">
        <f>_xlfn.IFERROR(CQ344/CQ314,0)*1000</f>
        <v>0</v>
      </c>
      <c r="CR339" s="87"/>
      <c r="CS339" s="87"/>
      <c r="CT339" s="73"/>
      <c r="CW339" s="1170" t="s">
        <v>817</v>
      </c>
      <c r="CX339" s="1175" t="s">
        <v>787</v>
      </c>
      <c r="CY339" s="1179" cm="1" t="str">
        <f t="array" ref="CY339:CY339">AE339</f>
        <v>0</v>
      </c>
      <c r="CZ339" s="1179" cm="1" t="str">
        <f t="array" ref="CZ339:CZ339">AF339</f>
        <v>0</v>
      </c>
      <c r="DA339" s="1176"/>
      <c r="DB339" s="1176"/>
    </row>
    <row s="1619" customFormat="1" customHeight="1" ht="16.5">
      <c r="A340" s="1619"/>
      <c r="B340" s="1619"/>
      <c r="C340" s="1619"/>
      <c r="D340" s="1619"/>
      <c r="E340" s="794">
        <v>17.1</v>
      </c>
      <c r="F340" s="919" cm="1" t="str">
        <f t="array" ref="F340:F340">OFFSET(G340,-1,-1)</f>
        <v>2</v>
      </c>
      <c r="G340" s="1619"/>
      <c r="H340" s="1619"/>
      <c r="I340" s="1619"/>
      <c r="J340" s="1619"/>
      <c r="K340" s="1619"/>
      <c r="L340" s="919" cm="1" t="str">
        <f t="array" ref="L340:L340">OFFSET(M340,-1,-1)</f>
        <v>false</v>
      </c>
      <c r="M340" s="1619"/>
      <c r="N340" s="1619"/>
      <c r="O340" s="1619"/>
      <c r="P340" s="1619"/>
      <c r="Q340" s="1619"/>
      <c r="R340" s="1619"/>
      <c r="S340" s="156" cm="1" t="str">
        <f t="array" ref="S340:S340">OFFSET(T340,-1,-1)</f>
        <v>true</v>
      </c>
      <c r="T340" s="156">
        <f>AD340&lt;&gt;"27.0"</f>
        <v>1</v>
      </c>
      <c r="U340" s="816">
        <f>AND(S340,IF(ISBLANK(T340),TRUE,T340))</f>
        <v>1</v>
      </c>
      <c r="V340" s="1619"/>
      <c r="W340" s="1619"/>
      <c r="X340" s="156" t="str">
        <f>'Топливо 4.4'!$AE$336&amp;'Топливо 4.4'!$AF$336</f>
        <v>Уголь бурыйБ</v>
      </c>
      <c r="Y340" s="1619"/>
      <c r="Z340" s="1619"/>
      <c r="AA340" s="1619"/>
      <c r="AB340" s="1489"/>
      <c r="AC340" s="1619"/>
      <c r="AD340" s="157" t="s">
        <v>907</v>
      </c>
      <c r="AE340" s="971" cm="1" t="str">
        <f t="array" ref="AE340:AE340">IF(ISBLANK('Топливо 4.4'!$AE$336),"",'Топливо 4.4'!$AE$336)</f>
        <v>Уголь бурый</v>
      </c>
      <c r="AF340" s="622" cm="1" t="str">
        <f t="array" ref="AF340:AF340">IF(ISBLANK('Топливо 4.4'!$AF$336),"",'Топливо 4.4'!$AF$336)</f>
        <v>Б</v>
      </c>
      <c r="AG340" s="1067" t="str">
        <f>"руб./"&amp;_xlfn.IFERROR(INDEX(fuel_ed_izm_list,MATCH(AE340,fuel_list,0)),"")</f>
        <v>руб./тнт</v>
      </c>
      <c r="AH340" s="1768">
        <f>_xlfn.IFERROR(AH345/AH315,0)*1000</f>
        <v>0</v>
      </c>
      <c r="AI340" s="1768">
        <f>_xlfn.IFERROR(AI345/AI315,0)*1000</f>
        <v>0</v>
      </c>
      <c r="AJ340" s="1768">
        <f>_xlfn.IFERROR(AJ345/AJ315,0)*1000</f>
        <v>0</v>
      </c>
      <c r="AK340" s="1768">
        <f>_xlfn.IFERROR(AK345/AK315,0)*1000</f>
        <v>0</v>
      </c>
      <c r="AL340" s="859">
        <f>_xlfn.IFERROR(AL345/AL315,0)*1000</f>
        <v>0</v>
      </c>
      <c r="AM340" s="1766"/>
      <c r="AN340" s="1766"/>
      <c r="AO340" s="859">
        <f>_xlfn.IFERROR(AO345/AO315,0)*1000</f>
        <v>0</v>
      </c>
      <c r="AP340" s="976"/>
      <c r="AQ340" s="976"/>
      <c r="AR340" s="859">
        <f>_xlfn.IFERROR(AR345/AR315,0)*1000</f>
        <v>0</v>
      </c>
      <c r="AS340" s="976"/>
      <c r="AT340" s="976"/>
      <c r="AU340" s="859">
        <f>_xlfn.IFERROR(AU345/AU315,0)*1000</f>
        <v>0</v>
      </c>
      <c r="AV340" s="976"/>
      <c r="AW340" s="976"/>
      <c r="AX340" s="859">
        <f>_xlfn.IFERROR(AX345/AX315,0)*1000</f>
        <v>0</v>
      </c>
      <c r="AY340" s="976"/>
      <c r="AZ340" s="976"/>
      <c r="BA340" s="859">
        <f>_xlfn.IFERROR(BA345/BA315,0)*1000</f>
        <v>0</v>
      </c>
      <c r="BB340" s="1766"/>
      <c r="BC340" s="1766"/>
      <c r="BD340" s="859">
        <f>_xlfn.IFERROR(BD345/BD315,0)*1000</f>
        <v>0</v>
      </c>
      <c r="BE340" s="1766"/>
      <c r="BF340" s="1766"/>
      <c r="BG340" s="859">
        <f>_xlfn.IFERROR(BG345/BG315,0)*1000</f>
        <v>0</v>
      </c>
      <c r="BH340" s="1766"/>
      <c r="BI340" s="1766"/>
      <c r="BJ340" s="859">
        <f>_xlfn.IFERROR(BJ345/BJ315,0)*1000</f>
        <v>0</v>
      </c>
      <c r="BK340" s="1766"/>
      <c r="BL340" s="1766"/>
      <c r="BM340" s="859">
        <f>_xlfn.IFERROR(BM345/BM315,0)*1000</f>
        <v>0</v>
      </c>
      <c r="BN340" s="1766"/>
      <c r="BO340" s="1766"/>
      <c r="BP340" s="859">
        <f>_xlfn.IFERROR(BP345/BP315,0)*1000</f>
        <v>0</v>
      </c>
      <c r="BQ340" s="976"/>
      <c r="BR340" s="976"/>
      <c r="BS340" s="859">
        <f>_xlfn.IFERROR(BS345/BS315,0)*1000</f>
        <v>0</v>
      </c>
      <c r="BT340" s="976"/>
      <c r="BU340" s="976"/>
      <c r="BV340" s="859">
        <f>_xlfn.IFERROR(BV345/BV315,0)*1000</f>
        <v>0</v>
      </c>
      <c r="BW340" s="976"/>
      <c r="BX340" s="976"/>
      <c r="BY340" s="859">
        <f>_xlfn.IFERROR(BY345/BY315,0)*1000</f>
        <v>0</v>
      </c>
      <c r="BZ340" s="976"/>
      <c r="CA340" s="976"/>
      <c r="CB340" s="859">
        <f>_xlfn.IFERROR(CB345/CB315,0)*1000</f>
        <v>0</v>
      </c>
      <c r="CC340" s="976"/>
      <c r="CD340" s="976"/>
      <c r="CE340" s="859">
        <f>_xlfn.IFERROR(CE345/CE315,0)*1000</f>
        <v>0</v>
      </c>
      <c r="CF340" s="1766"/>
      <c r="CG340" s="1766"/>
      <c r="CH340" s="859">
        <f>_xlfn.IFERROR(CH345/CH315,0)*1000</f>
        <v>0</v>
      </c>
      <c r="CI340" s="1766"/>
      <c r="CJ340" s="1766"/>
      <c r="CK340" s="859">
        <f>_xlfn.IFERROR(CK345/CK315,0)*1000</f>
        <v>0</v>
      </c>
      <c r="CL340" s="1766"/>
      <c r="CM340" s="1766"/>
      <c r="CN340" s="859">
        <f>_xlfn.IFERROR(CN345/CN315,0)*1000</f>
        <v>0</v>
      </c>
      <c r="CO340" s="1766"/>
      <c r="CP340" s="1766"/>
      <c r="CQ340" s="859">
        <f>_xlfn.IFERROR(CQ345/CQ315,0)*1000</f>
        <v>0</v>
      </c>
      <c r="CR340" s="1766"/>
      <c r="CS340" s="1766"/>
      <c r="CT340" s="1730"/>
      <c r="CU340" s="1619"/>
      <c r="CV340" s="1619"/>
      <c r="CW340" s="1170" t="s">
        <v>817</v>
      </c>
      <c r="CX340" s="1175" t="s">
        <v>787</v>
      </c>
      <c r="CY340" s="1179" cm="1" t="str">
        <f t="array" ref="CY340:CY340">AE340</f>
        <v>Уголь бурый</v>
      </c>
      <c r="CZ340" s="1179" cm="1" t="str">
        <f t="array" ref="CZ340:CZ340">AF340</f>
        <v>Б</v>
      </c>
      <c r="DA340" s="1176"/>
      <c r="DB340" s="1176"/>
    </row>
    <row s="1619" customFormat="1" customHeight="1" ht="15" hidden="1">
      <c r="A341" s="1440"/>
      <c r="B341" s="924"/>
      <c r="C341" s="1440"/>
      <c r="D341" s="1440"/>
      <c r="E341" s="794">
        <v>0</v>
      </c>
      <c r="F341" s="919" cm="1" t="str">
        <f t="array" ref="F341:F341">OFFSET(G341,-1,-1)</f>
        <v>2</v>
      </c>
      <c r="G341" s="962"/>
      <c r="H341" s="962"/>
      <c r="I341" s="962"/>
      <c r="J341" s="962"/>
      <c r="K341" s="962"/>
      <c r="L341" s="919" cm="1" t="str">
        <f t="array" ref="L341:L341">OFFSET(M341,-1,-1)</f>
        <v>false</v>
      </c>
      <c r="M341" s="962"/>
      <c r="N341" s="962"/>
      <c r="O341" s="962"/>
      <c r="P341" s="962"/>
      <c r="Q341" s="962"/>
      <c r="R341" s="1440"/>
      <c r="S341" s="156" cm="1" t="str">
        <f t="array" ref="S341:S341">OFFSET(T341,-1,-1)</f>
        <v>true</v>
      </c>
      <c r="T341" s="1440"/>
      <c r="U341" s="816">
        <f>AND(S341,IF(ISBLANK(T341),TRUE,T341))</f>
        <v>1</v>
      </c>
      <c r="V341" s="1440"/>
      <c r="W341" s="1440"/>
      <c r="X341" s="970" t="str">
        <f>"{                  
         funcDyn: 'msg1',
         blok: 'blok_2',
         wsCross: 'Топливо 4.4',
         linkFormula: 'AE-AE#AF-AF',
         levelDyn: "&amp;Y275&amp;"
}"</f>
        <v>{                  
         funcDyn: 'msg1',
         blok: 'blok_2',
         wsCross: 'Топливо 4.4',
         linkFormula: 'AE-AE#AF-AF',
         levelDyn: 2
}</v>
      </c>
      <c r="Y341" s="1440"/>
      <c r="Z341" s="1440"/>
      <c r="AA341" s="817"/>
      <c r="AB341" s="1489"/>
      <c r="AC341" s="1619"/>
      <c r="AD341" s="973"/>
      <c r="AE341" s="972" t="s">
        <v>235</v>
      </c>
      <c r="AF341" s="871"/>
      <c r="AG341" s="856"/>
      <c r="AH341" s="858"/>
      <c r="AI341" s="860"/>
      <c r="AJ341" s="860"/>
      <c r="AK341" s="860"/>
      <c r="AL341" s="860"/>
      <c r="AM341" s="860"/>
      <c r="AN341" s="860"/>
      <c r="AO341" s="860"/>
      <c r="AP341" s="860"/>
      <c r="AQ341" s="860"/>
      <c r="AR341" s="860"/>
      <c r="AS341" s="860"/>
      <c r="AT341" s="860"/>
      <c r="AU341" s="860"/>
      <c r="AV341" s="860"/>
      <c r="AW341" s="860"/>
      <c r="AX341" s="860"/>
      <c r="AY341" s="860"/>
      <c r="AZ341" s="860"/>
      <c r="BA341" s="860"/>
      <c r="BB341" s="860"/>
      <c r="BC341" s="860"/>
      <c r="BD341" s="860"/>
      <c r="BE341" s="860"/>
      <c r="BF341" s="860"/>
      <c r="BG341" s="860"/>
      <c r="BH341" s="860"/>
      <c r="BI341" s="860"/>
      <c r="BJ341" s="860"/>
      <c r="BK341" s="860"/>
      <c r="BL341" s="860"/>
      <c r="BM341" s="860"/>
      <c r="BN341" s="860"/>
      <c r="BO341" s="860"/>
      <c r="BP341" s="860"/>
      <c r="BQ341" s="860"/>
      <c r="BR341" s="860"/>
      <c r="BS341" s="860"/>
      <c r="BT341" s="860"/>
      <c r="BU341" s="860"/>
      <c r="BV341" s="860"/>
      <c r="BW341" s="860"/>
      <c r="BX341" s="860"/>
      <c r="BY341" s="860"/>
      <c r="BZ341" s="860"/>
      <c r="CA341" s="860"/>
      <c r="CB341" s="860"/>
      <c r="CC341" s="860"/>
      <c r="CD341" s="860"/>
      <c r="CE341" s="860"/>
      <c r="CF341" s="860"/>
      <c r="CG341" s="860"/>
      <c r="CH341" s="860"/>
      <c r="CI341" s="860"/>
      <c r="CJ341" s="860"/>
      <c r="CK341" s="860"/>
      <c r="CL341" s="860"/>
      <c r="CM341" s="860"/>
      <c r="CN341" s="860"/>
      <c r="CO341" s="860"/>
      <c r="CP341" s="860"/>
      <c r="CQ341" s="860"/>
      <c r="CR341" s="860"/>
      <c r="CS341" s="860"/>
      <c r="CT341" s="91"/>
      <c r="CU341" s="1619"/>
      <c r="CV341" s="1619"/>
      <c r="CW341" s="1170" t="str">
        <f>IF(AND(ISNUMBER(VALUE(TRIM(SUBSTITUTE(AD341,".","")))),TRIM(SUBSTITUTE(AD341,".",""))&lt;&gt;""),"P"&amp;SUBSTITUTE(AD341,".",""),"")</f>
        <v/>
      </c>
      <c r="CX341" s="1175"/>
      <c r="CY341" s="1175"/>
      <c r="CZ341" s="1175"/>
      <c r="DA341" s="1176"/>
      <c r="DB341" s="1176"/>
    </row>
    <row s="1619" customFormat="1" customHeight="1" ht="16.5">
      <c r="A342" s="1440"/>
      <c r="B342" s="924"/>
      <c r="C342" s="1440"/>
      <c r="D342" s="1440"/>
      <c r="E342" s="794">
        <v>17.1</v>
      </c>
      <c r="F342" s="919" cm="1" t="str">
        <f t="array" ref="F342:F342">OFFSET(G342,-1,-1)</f>
        <v>2</v>
      </c>
      <c r="G342" s="962"/>
      <c r="H342" s="962"/>
      <c r="I342" s="962"/>
      <c r="J342" s="962"/>
      <c r="K342" s="962"/>
      <c r="L342" s="919" cm="1" t="str">
        <f t="array" ref="L342:L342">OFFSET(M342,-1,-1)</f>
        <v>false</v>
      </c>
      <c r="M342" s="962"/>
      <c r="N342" s="962"/>
      <c r="O342" s="962"/>
      <c r="P342" s="962"/>
      <c r="Q342" s="962"/>
      <c r="R342" s="1440"/>
      <c r="S342" s="156" cm="1" t="str">
        <f t="array" ref="S342:S342">OFFSET(T342,-1,-1)</f>
        <v>true</v>
      </c>
      <c r="T342" s="1440"/>
      <c r="U342" s="816">
        <f>AND(S342,IF(ISBLANK(T342),TRUE,T342))</f>
        <v>1</v>
      </c>
      <c r="V342" s="1440"/>
      <c r="W342" s="1440"/>
      <c r="X342" s="1440"/>
      <c r="Y342" s="1440"/>
      <c r="Z342" s="1440"/>
      <c r="AA342" s="817"/>
      <c r="AB342" s="1489"/>
      <c r="AC342" s="1619"/>
      <c r="AD342" s="170">
        <v>28</v>
      </c>
      <c r="AE342" s="1494" t="s">
        <v>819</v>
      </c>
      <c r="AF342" s="320"/>
      <c r="AG342" s="856" t="s">
        <v>805</v>
      </c>
      <c r="AH342" s="857">
        <f>SUM(AH344:AH346)</f>
        <v>0</v>
      </c>
      <c r="AI342" s="857">
        <f>SUM(AI344:AI346)</f>
        <v>0</v>
      </c>
      <c r="AJ342" s="857">
        <f>SUM(AJ344:AJ346)</f>
        <v>0</v>
      </c>
      <c r="AK342" s="857">
        <f>SUM(AK344:AK346)</f>
        <v>0</v>
      </c>
      <c r="AL342" s="857">
        <f>SUM(AL344:AL346)</f>
        <v>0</v>
      </c>
      <c r="AM342" s="857">
        <f>SUM(AM344:AM346)</f>
        <v>0</v>
      </c>
      <c r="AN342" s="857">
        <f>SUM(AN344:AN346)</f>
        <v>0</v>
      </c>
      <c r="AO342" s="857">
        <f>SUM(AO344:AO346)</f>
        <v>0</v>
      </c>
      <c r="AP342" s="857">
        <f>SUM(AP344:AP346)</f>
        <v>0</v>
      </c>
      <c r="AQ342" s="857">
        <f>SUM(AQ344:AQ346)</f>
        <v>0</v>
      </c>
      <c r="AR342" s="857">
        <f>SUM(AR344:AR346)</f>
        <v>0</v>
      </c>
      <c r="AS342" s="857">
        <f>SUM(AS344:AS346)</f>
        <v>0</v>
      </c>
      <c r="AT342" s="857">
        <f>SUM(AT344:AT346)</f>
        <v>0</v>
      </c>
      <c r="AU342" s="857">
        <f>SUM(AU344:AU346)</f>
        <v>0</v>
      </c>
      <c r="AV342" s="857">
        <f>SUM(AV344:AV346)</f>
        <v>0</v>
      </c>
      <c r="AW342" s="857">
        <f>SUM(AW344:AW346)</f>
        <v>0</v>
      </c>
      <c r="AX342" s="857">
        <f>SUM(AX344:AX346)</f>
        <v>0</v>
      </c>
      <c r="AY342" s="857">
        <f>SUM(AY344:AY346)</f>
        <v>0</v>
      </c>
      <c r="AZ342" s="857">
        <f>SUM(AZ344:AZ346)</f>
        <v>0</v>
      </c>
      <c r="BA342" s="857">
        <f>SUM(BA344:BA346)</f>
        <v>0</v>
      </c>
      <c r="BB342" s="857">
        <f>SUM(BB344:BB346)</f>
        <v>0</v>
      </c>
      <c r="BC342" s="857">
        <f>SUM(BC344:BC346)</f>
        <v>0</v>
      </c>
      <c r="BD342" s="857">
        <f>SUM(BD344:BD346)</f>
        <v>0</v>
      </c>
      <c r="BE342" s="857">
        <f>SUM(BE344:BE346)</f>
        <v>0</v>
      </c>
      <c r="BF342" s="857">
        <f>SUM(BF344:BF346)</f>
        <v>0</v>
      </c>
      <c r="BG342" s="857">
        <f>SUM(BG344:BG346)</f>
        <v>0</v>
      </c>
      <c r="BH342" s="857">
        <f>SUM(BH344:BH346)</f>
        <v>0</v>
      </c>
      <c r="BI342" s="857">
        <f>SUM(BI344:BI346)</f>
        <v>0</v>
      </c>
      <c r="BJ342" s="857">
        <f>SUM(BJ344:BJ346)</f>
        <v>0</v>
      </c>
      <c r="BK342" s="857">
        <f>SUM(BK344:BK346)</f>
        <v>0</v>
      </c>
      <c r="BL342" s="857">
        <f>SUM(BL344:BL346)</f>
        <v>0</v>
      </c>
      <c r="BM342" s="857">
        <f>SUM(BM344:BM346)</f>
        <v>0</v>
      </c>
      <c r="BN342" s="857">
        <f>SUM(BN344:BN346)</f>
        <v>0</v>
      </c>
      <c r="BO342" s="857">
        <f>SUM(BO344:BO346)</f>
        <v>0</v>
      </c>
      <c r="BP342" s="857">
        <f>SUM(BP344:BP346)</f>
        <v>0</v>
      </c>
      <c r="BQ342" s="857">
        <f>SUM(BQ344:BQ346)</f>
        <v>0</v>
      </c>
      <c r="BR342" s="857">
        <f>SUM(BR344:BR346)</f>
        <v>0</v>
      </c>
      <c r="BS342" s="857">
        <f>SUM(BS344:BS346)</f>
        <v>0</v>
      </c>
      <c r="BT342" s="857">
        <f>SUM(BT344:BT346)</f>
        <v>0</v>
      </c>
      <c r="BU342" s="857">
        <f>SUM(BU344:BU346)</f>
        <v>0</v>
      </c>
      <c r="BV342" s="857">
        <f>SUM(BV344:BV346)</f>
        <v>0</v>
      </c>
      <c r="BW342" s="857">
        <f>SUM(BW344:BW346)</f>
        <v>0</v>
      </c>
      <c r="BX342" s="857">
        <f>SUM(BX344:BX346)</f>
        <v>0</v>
      </c>
      <c r="BY342" s="857">
        <f>SUM(BY344:BY346)</f>
        <v>0</v>
      </c>
      <c r="BZ342" s="857">
        <f>SUM(BZ344:BZ346)</f>
        <v>0</v>
      </c>
      <c r="CA342" s="857">
        <f>SUM(CA344:CA346)</f>
        <v>0</v>
      </c>
      <c r="CB342" s="857">
        <f>SUM(CB344:CB346)</f>
        <v>0</v>
      </c>
      <c r="CC342" s="857">
        <f>SUM(CC344:CC346)</f>
        <v>0</v>
      </c>
      <c r="CD342" s="857">
        <f>SUM(CD344:CD346)</f>
        <v>0</v>
      </c>
      <c r="CE342" s="857">
        <f>SUM(CE344:CE346)</f>
        <v>0</v>
      </c>
      <c r="CF342" s="857">
        <f>SUM(CF344:CF346)</f>
        <v>0</v>
      </c>
      <c r="CG342" s="857">
        <f>SUM(CG344:CG346)</f>
        <v>0</v>
      </c>
      <c r="CH342" s="857">
        <f>SUM(CH344:CH346)</f>
        <v>0</v>
      </c>
      <c r="CI342" s="857">
        <f>SUM(CI344:CI346)</f>
        <v>0</v>
      </c>
      <c r="CJ342" s="857">
        <f>SUM(CJ344:CJ346)</f>
        <v>0</v>
      </c>
      <c r="CK342" s="857">
        <f>SUM(CK344:CK346)</f>
        <v>0</v>
      </c>
      <c r="CL342" s="857">
        <f>SUM(CL344:CL346)</f>
        <v>0</v>
      </c>
      <c r="CM342" s="857">
        <f>SUM(CM344:CM346)</f>
        <v>0</v>
      </c>
      <c r="CN342" s="857">
        <f>SUM(CN344:CN346)</f>
        <v>0</v>
      </c>
      <c r="CO342" s="857">
        <f>SUM(CO344:CO346)</f>
        <v>0</v>
      </c>
      <c r="CP342" s="857">
        <f>SUM(CP344:CP346)</f>
        <v>0</v>
      </c>
      <c r="CQ342" s="857">
        <f>SUM(CQ344:CQ346)</f>
        <v>0</v>
      </c>
      <c r="CR342" s="857">
        <f>SUM(CR344:CR346)</f>
        <v>0</v>
      </c>
      <c r="CS342" s="857">
        <f>SUM(CS344:CS346)</f>
        <v>0</v>
      </c>
      <c r="CT342" s="1730"/>
      <c r="CU342" s="1619"/>
      <c r="CV342" s="1619"/>
      <c r="CW342" s="1170" t="s">
        <v>820</v>
      </c>
      <c r="CX342" s="1175"/>
      <c r="CY342" s="1175"/>
      <c r="CZ342" s="1175"/>
      <c r="DA342" s="1176"/>
      <c r="DB342" s="1176"/>
    </row>
    <row s="1619" customFormat="1" customHeight="1" ht="16.5" hidden="1">
      <c r="A343" s="1440"/>
      <c r="B343" s="924"/>
      <c r="C343" s="1440"/>
      <c r="D343" s="1440"/>
      <c r="E343" s="794">
        <v>17.1</v>
      </c>
      <c r="F343" s="919" cm="1" t="str">
        <f t="array" ref="F343:F343">OFFSET(G343,-1,-1)</f>
        <v>2</v>
      </c>
      <c r="G343" s="962"/>
      <c r="H343" s="962"/>
      <c r="I343" s="962"/>
      <c r="J343" s="962"/>
      <c r="K343" s="962"/>
      <c r="L343" s="919" cm="1" t="str">
        <f t="array" ref="L343:L343">OFFSET(M343,-1,-1)</f>
        <v>false</v>
      </c>
      <c r="M343" s="962"/>
      <c r="N343" s="962"/>
      <c r="O343" s="962"/>
      <c r="P343" s="962"/>
      <c r="Q343" s="962"/>
      <c r="R343" s="919" t="s">
        <v>725</v>
      </c>
      <c r="S343" s="156" cm="1" t="str">
        <f t="array" ref="S343:S343">OFFSET(T343,-1,-1)</f>
        <v>true</v>
      </c>
      <c r="T343" s="919" t="b">
        <v>0</v>
      </c>
      <c r="U343" s="816">
        <f>AND(S343,IF(ISBLANK(T343),TRUE,T343))</f>
        <v>0</v>
      </c>
      <c r="V343" s="1440"/>
      <c r="W343" s="1440"/>
      <c r="X343" s="1440"/>
      <c r="Y343" s="1440"/>
      <c r="Z343" s="1440"/>
      <c r="AA343" s="817"/>
      <c r="AB343" s="1489"/>
      <c r="AC343" s="1619"/>
      <c r="AD343" s="157" t="str">
        <f>AD342&amp;".0"</f>
        <v>28.0</v>
      </c>
      <c r="AE343" s="1346" t="s">
        <v>736</v>
      </c>
      <c r="AF343" s="161"/>
      <c r="AG343" s="856" t="s">
        <v>805</v>
      </c>
      <c r="AH343" s="86">
        <f>AH$299*AH342</f>
        <v>0</v>
      </c>
      <c r="AI343" s="87">
        <f>AI$299*AI342</f>
        <v>0</v>
      </c>
      <c r="AJ343" s="87">
        <f>AJ$299*AJ342</f>
        <v>0</v>
      </c>
      <c r="AK343" s="87">
        <f>AK$299*AK342</f>
        <v>0</v>
      </c>
      <c r="AL343" s="859">
        <f>AM343+AN343</f>
        <v>0</v>
      </c>
      <c r="AM343" s="87">
        <f>AM$299*AM342</f>
        <v>0</v>
      </c>
      <c r="AN343" s="87">
        <f>AN$299*AN342</f>
        <v>0</v>
      </c>
      <c r="AO343" s="859">
        <f>AP343+AQ343</f>
        <v>0</v>
      </c>
      <c r="AP343" s="976">
        <f>AP$299*AP342</f>
        <v>0</v>
      </c>
      <c r="AQ343" s="976">
        <f>AQ$299*AQ342</f>
        <v>0</v>
      </c>
      <c r="AR343" s="859">
        <f>AS343+AT343</f>
        <v>0</v>
      </c>
      <c r="AS343" s="976">
        <f>AS$299*AS342</f>
        <v>0</v>
      </c>
      <c r="AT343" s="976">
        <f>AT$299*AT342</f>
        <v>0</v>
      </c>
      <c r="AU343" s="859">
        <f>AV343+AW343</f>
        <v>0</v>
      </c>
      <c r="AV343" s="976">
        <f>AV$299*AV342</f>
        <v>0</v>
      </c>
      <c r="AW343" s="976">
        <f>AW$299*AW342</f>
        <v>0</v>
      </c>
      <c r="AX343" s="859">
        <f>AY343+AZ343</f>
        <v>0</v>
      </c>
      <c r="AY343" s="976">
        <f>AY$299*AY342</f>
        <v>0</v>
      </c>
      <c r="AZ343" s="976">
        <f>AZ$299*AZ342</f>
        <v>0</v>
      </c>
      <c r="BA343" s="859">
        <f>BB343+BC343</f>
        <v>0</v>
      </c>
      <c r="BB343" s="87">
        <f>BB$299*BB342</f>
        <v>0</v>
      </c>
      <c r="BC343" s="87">
        <f>BC$299*BC342</f>
        <v>0</v>
      </c>
      <c r="BD343" s="859">
        <f>BE343+BF343</f>
        <v>0</v>
      </c>
      <c r="BE343" s="87">
        <f>BE$299*BE342</f>
        <v>0</v>
      </c>
      <c r="BF343" s="87">
        <f>BF$299*BF342</f>
        <v>0</v>
      </c>
      <c r="BG343" s="859">
        <f>BH343+BI343</f>
        <v>0</v>
      </c>
      <c r="BH343" s="87">
        <f>BH$299*BH342</f>
        <v>0</v>
      </c>
      <c r="BI343" s="87">
        <f>BI$299*BI342</f>
        <v>0</v>
      </c>
      <c r="BJ343" s="859">
        <f>BK343+BL343</f>
        <v>0</v>
      </c>
      <c r="BK343" s="87">
        <f>BK$299*BK342</f>
        <v>0</v>
      </c>
      <c r="BL343" s="87">
        <f>BL$299*BL342</f>
        <v>0</v>
      </c>
      <c r="BM343" s="859">
        <f>BN343+BO343</f>
        <v>0</v>
      </c>
      <c r="BN343" s="87">
        <f>BN$299*BN342</f>
        <v>0</v>
      </c>
      <c r="BO343" s="87">
        <f>BO$299*BO342</f>
        <v>0</v>
      </c>
      <c r="BP343" s="859">
        <f>BQ343+BR343</f>
        <v>0</v>
      </c>
      <c r="BQ343" s="976">
        <f>BQ$299*BQ342</f>
        <v>0</v>
      </c>
      <c r="BR343" s="976">
        <f>BR$299*BR342</f>
        <v>0</v>
      </c>
      <c r="BS343" s="859">
        <f>BT343+BU343</f>
        <v>0</v>
      </c>
      <c r="BT343" s="976">
        <f>BT$299*BT342</f>
        <v>0</v>
      </c>
      <c r="BU343" s="976">
        <f>BU$299*BU342</f>
        <v>0</v>
      </c>
      <c r="BV343" s="859">
        <f>BW343+BX343</f>
        <v>0</v>
      </c>
      <c r="BW343" s="976">
        <f>BW$299*BW342</f>
        <v>0</v>
      </c>
      <c r="BX343" s="976">
        <f>BX$299*BX342</f>
        <v>0</v>
      </c>
      <c r="BY343" s="859">
        <f>BZ343+CA343</f>
        <v>0</v>
      </c>
      <c r="BZ343" s="976">
        <f>BZ$299*BZ342</f>
        <v>0</v>
      </c>
      <c r="CA343" s="976">
        <f>CA$299*CA342</f>
        <v>0</v>
      </c>
      <c r="CB343" s="859">
        <f>CC343+CD343</f>
        <v>0</v>
      </c>
      <c r="CC343" s="976">
        <f>CC$299*CC342</f>
        <v>0</v>
      </c>
      <c r="CD343" s="976">
        <f>CD$299*CD342</f>
        <v>0</v>
      </c>
      <c r="CE343" s="859">
        <f>CF343+CG343</f>
        <v>0</v>
      </c>
      <c r="CF343" s="87">
        <f>CF$299*CF342</f>
        <v>0</v>
      </c>
      <c r="CG343" s="87">
        <f>CG$299*CG342</f>
        <v>0</v>
      </c>
      <c r="CH343" s="859">
        <f>CI343+CJ343</f>
        <v>0</v>
      </c>
      <c r="CI343" s="87">
        <f>CI$299*CI342</f>
        <v>0</v>
      </c>
      <c r="CJ343" s="87">
        <f>CJ$299*CJ342</f>
        <v>0</v>
      </c>
      <c r="CK343" s="859">
        <f>CL343+CM343</f>
        <v>0</v>
      </c>
      <c r="CL343" s="87">
        <f>CL$299*CL342</f>
        <v>0</v>
      </c>
      <c r="CM343" s="87">
        <f>CM$299*CM342</f>
        <v>0</v>
      </c>
      <c r="CN343" s="859">
        <f>CO343+CP343</f>
        <v>0</v>
      </c>
      <c r="CO343" s="87">
        <f>CO$299*CO342</f>
        <v>0</v>
      </c>
      <c r="CP343" s="87">
        <f>CP$299*CP342</f>
        <v>0</v>
      </c>
      <c r="CQ343" s="859">
        <f>CR343+CS343</f>
        <v>0</v>
      </c>
      <c r="CR343" s="87">
        <f>CR$299*CR342</f>
        <v>0</v>
      </c>
      <c r="CS343" s="87">
        <f>CS$299*CS342</f>
        <v>0</v>
      </c>
      <c r="CT343" s="73"/>
      <c r="CU343" s="1619"/>
      <c r="CV343" s="1619"/>
      <c r="CW343" s="1170" t="s">
        <v>821</v>
      </c>
      <c r="CX343" s="1175"/>
      <c r="CY343" s="1175"/>
      <c r="CZ343" s="1175"/>
      <c r="DA343" s="1176"/>
      <c r="DB343" s="1176"/>
    </row>
    <row s="1619" customFormat="1" customHeight="1" ht="16.5" hidden="1">
      <c r="E344" s="794">
        <v>17.1</v>
      </c>
      <c r="F344" s="919" cm="1" t="str">
        <f t="array" ref="F344:F344">OFFSET(G344,-1,-1)</f>
        <v>2</v>
      </c>
      <c r="L344" s="919" cm="1" t="str">
        <f t="array" ref="L344:L344">OFFSET(M344,-1,-1)</f>
        <v>false</v>
      </c>
      <c r="S344" s="156" cm="1" t="str">
        <f t="array" ref="S344:S344">OFFSET(T344,-1,-1)</f>
        <v>true</v>
      </c>
      <c r="T344" s="156">
        <f>AD344&lt;&gt;"28.0"</f>
        <v>0</v>
      </c>
      <c r="U344" s="816">
        <f>AND(S344,IF(ISBLANK(T344),TRUE,T344))</f>
        <v>0</v>
      </c>
      <c r="X344" s="156" t="s">
        <v>233</v>
      </c>
      <c r="AB344" s="1489"/>
      <c r="AD344" s="157" t="s">
        <v>822</v>
      </c>
      <c r="AE344" s="971"/>
      <c r="AF344" s="622"/>
      <c r="AG344" s="856" t="s">
        <v>805</v>
      </c>
      <c r="AH344" s="86"/>
      <c r="AI344" s="87"/>
      <c r="AJ344" s="87"/>
      <c r="AK344" s="87"/>
      <c r="AL344" s="859">
        <f>AM344+AN344</f>
        <v>0</v>
      </c>
      <c r="AM344" s="87">
        <f>AM339*AM314/1000</f>
        <v>0</v>
      </c>
      <c r="AN344" s="87">
        <f>AN339*AN314/1000</f>
        <v>0</v>
      </c>
      <c r="AO344" s="859">
        <f>AP344+AQ344</f>
        <v>0</v>
      </c>
      <c r="AP344" s="976">
        <f>AP339*AP314/1000</f>
        <v>0</v>
      </c>
      <c r="AQ344" s="976">
        <f>AQ339*AQ314/1000</f>
        <v>0</v>
      </c>
      <c r="AR344" s="859">
        <f>AS344+AT344</f>
        <v>0</v>
      </c>
      <c r="AS344" s="976">
        <f>AS339*AS314/1000</f>
        <v>0</v>
      </c>
      <c r="AT344" s="976">
        <f>AT339*AT314/1000</f>
        <v>0</v>
      </c>
      <c r="AU344" s="859">
        <f>AV344+AW344</f>
        <v>0</v>
      </c>
      <c r="AV344" s="976">
        <f>AV339*AV314/1000</f>
        <v>0</v>
      </c>
      <c r="AW344" s="976">
        <f>AW339*AW314/1000</f>
        <v>0</v>
      </c>
      <c r="AX344" s="859">
        <f>AY344+AZ344</f>
        <v>0</v>
      </c>
      <c r="AY344" s="976">
        <f>AY339*AY314/1000</f>
        <v>0</v>
      </c>
      <c r="AZ344" s="976">
        <f>AZ339*AZ314/1000</f>
        <v>0</v>
      </c>
      <c r="BA344" s="859">
        <f>BB344+BC344</f>
        <v>0</v>
      </c>
      <c r="BB344" s="87">
        <f>BB339*BB314/1000</f>
        <v>0</v>
      </c>
      <c r="BC344" s="87">
        <f>BC339*BC314/1000</f>
        <v>0</v>
      </c>
      <c r="BD344" s="859">
        <f>BE344+BF344</f>
        <v>0</v>
      </c>
      <c r="BE344" s="87">
        <f>BE339*BE314/1000</f>
        <v>0</v>
      </c>
      <c r="BF344" s="87">
        <f>BF339*BF314/1000</f>
        <v>0</v>
      </c>
      <c r="BG344" s="859">
        <f>BH344+BI344</f>
        <v>0</v>
      </c>
      <c r="BH344" s="87">
        <f>BH339*BH314/1000</f>
        <v>0</v>
      </c>
      <c r="BI344" s="87">
        <f>BI339*BI314/1000</f>
        <v>0</v>
      </c>
      <c r="BJ344" s="859">
        <f>BK344+BL344</f>
        <v>0</v>
      </c>
      <c r="BK344" s="87">
        <f>BK339*BK314/1000</f>
        <v>0</v>
      </c>
      <c r="BL344" s="87">
        <f>BL339*BL314/1000</f>
        <v>0</v>
      </c>
      <c r="BM344" s="859">
        <f>BN344+BO344</f>
        <v>0</v>
      </c>
      <c r="BN344" s="87">
        <f>BN339*BN314/1000</f>
        <v>0</v>
      </c>
      <c r="BO344" s="87">
        <f>BO339*BO314/1000</f>
        <v>0</v>
      </c>
      <c r="BP344" s="859">
        <f>BQ344+BR344</f>
        <v>0</v>
      </c>
      <c r="BQ344" s="976">
        <f>BQ339*BQ314/1000</f>
        <v>0</v>
      </c>
      <c r="BR344" s="976">
        <f>BR339*BR314/1000</f>
        <v>0</v>
      </c>
      <c r="BS344" s="859">
        <f>BT344+BU344</f>
        <v>0</v>
      </c>
      <c r="BT344" s="976">
        <f>BT339*BT314/1000</f>
        <v>0</v>
      </c>
      <c r="BU344" s="976">
        <f>BU339*BU314/1000</f>
        <v>0</v>
      </c>
      <c r="BV344" s="859">
        <f>BW344+BX344</f>
        <v>0</v>
      </c>
      <c r="BW344" s="976">
        <f>BW339*BW314/1000</f>
        <v>0</v>
      </c>
      <c r="BX344" s="976">
        <f>BX339*BX314/1000</f>
        <v>0</v>
      </c>
      <c r="BY344" s="859">
        <f>BZ344+CA344</f>
        <v>0</v>
      </c>
      <c r="BZ344" s="976">
        <f>BZ339*BZ314/1000</f>
        <v>0</v>
      </c>
      <c r="CA344" s="976">
        <f>CA339*CA314/1000</f>
        <v>0</v>
      </c>
      <c r="CB344" s="859">
        <f>CC344+CD344</f>
        <v>0</v>
      </c>
      <c r="CC344" s="976">
        <f>CC339*CC314/1000</f>
        <v>0</v>
      </c>
      <c r="CD344" s="976">
        <f>CD339*CD314/1000</f>
        <v>0</v>
      </c>
      <c r="CE344" s="859">
        <f>CF344+CG344</f>
        <v>0</v>
      </c>
      <c r="CF344" s="87">
        <f>CF339*CF314/1000</f>
        <v>0</v>
      </c>
      <c r="CG344" s="87">
        <f>CG339*CG314/1000</f>
        <v>0</v>
      </c>
      <c r="CH344" s="859">
        <f>CI344+CJ344</f>
        <v>0</v>
      </c>
      <c r="CI344" s="87">
        <f>CI339*CI314/1000</f>
        <v>0</v>
      </c>
      <c r="CJ344" s="87">
        <f>CJ339*CJ314/1000</f>
        <v>0</v>
      </c>
      <c r="CK344" s="859">
        <f>CL344+CM344</f>
        <v>0</v>
      </c>
      <c r="CL344" s="87">
        <f>CL339*CL314/1000</f>
        <v>0</v>
      </c>
      <c r="CM344" s="87">
        <f>CM339*CM314/1000</f>
        <v>0</v>
      </c>
      <c r="CN344" s="859">
        <f>CO344+CP344</f>
        <v>0</v>
      </c>
      <c r="CO344" s="87">
        <f>CO339*CO314/1000</f>
        <v>0</v>
      </c>
      <c r="CP344" s="87">
        <f>CP339*CP314/1000</f>
        <v>0</v>
      </c>
      <c r="CQ344" s="859">
        <f>CR344+CS344</f>
        <v>0</v>
      </c>
      <c r="CR344" s="87">
        <f>CR339*CR314/1000</f>
        <v>0</v>
      </c>
      <c r="CS344" s="87">
        <f>CS339*CS314/1000</f>
        <v>0</v>
      </c>
      <c r="CT344" s="73"/>
      <c r="CW344" s="1170" t="s">
        <v>821</v>
      </c>
      <c r="CX344" s="1175" t="s">
        <v>787</v>
      </c>
      <c r="CY344" s="1179" cm="1" t="str">
        <f t="array" ref="CY344:CY344">AE344</f>
        <v>0</v>
      </c>
      <c r="CZ344" s="1179" cm="1" t="str">
        <f t="array" ref="CZ344:CZ344">AF344</f>
        <v>0</v>
      </c>
      <c r="DA344" s="1176"/>
      <c r="DB344" s="1176"/>
    </row>
    <row s="1619" customFormat="1" customHeight="1" ht="16.5">
      <c r="A345" s="1619"/>
      <c r="B345" s="1619"/>
      <c r="C345" s="1619"/>
      <c r="D345" s="1619"/>
      <c r="E345" s="794">
        <v>17.1</v>
      </c>
      <c r="F345" s="919" cm="1" t="str">
        <f t="array" ref="F345:F345">OFFSET(G345,-1,-1)</f>
        <v>2</v>
      </c>
      <c r="G345" s="1619"/>
      <c r="H345" s="1619"/>
      <c r="I345" s="1619"/>
      <c r="J345" s="1619"/>
      <c r="K345" s="1619"/>
      <c r="L345" s="919" cm="1" t="str">
        <f t="array" ref="L345:L345">OFFSET(M345,-1,-1)</f>
        <v>false</v>
      </c>
      <c r="M345" s="1619"/>
      <c r="N345" s="1619"/>
      <c r="O345" s="1619"/>
      <c r="P345" s="1619"/>
      <c r="Q345" s="1619"/>
      <c r="R345" s="1619"/>
      <c r="S345" s="156" cm="1" t="str">
        <f t="array" ref="S345:S345">OFFSET(T345,-1,-1)</f>
        <v>true</v>
      </c>
      <c r="T345" s="156">
        <f>AD345&lt;&gt;"28.0"</f>
        <v>1</v>
      </c>
      <c r="U345" s="816">
        <f>AND(S345,IF(ISBLANK(T345),TRUE,T345))</f>
        <v>1</v>
      </c>
      <c r="V345" s="1619"/>
      <c r="W345" s="1619"/>
      <c r="X345" s="156" t="str">
        <f>'Топливо 4.4'!$AE$340&amp;'Топливо 4.4'!$AF$340</f>
        <v>Уголь бурыйБ</v>
      </c>
      <c r="Y345" s="1619"/>
      <c r="Z345" s="1619"/>
      <c r="AA345" s="1619"/>
      <c r="AB345" s="1489"/>
      <c r="AC345" s="1619"/>
      <c r="AD345" s="157" t="s">
        <v>908</v>
      </c>
      <c r="AE345" s="971" cm="1" t="str">
        <f t="array" ref="AE345:AE345">IF(ISBLANK('Топливо 4.4'!$AE$340),"",'Топливо 4.4'!$AE$340)</f>
        <v>Уголь бурый</v>
      </c>
      <c r="AF345" s="622" cm="1" t="str">
        <f t="array" ref="AF345:AF345">IF(ISBLANK('Топливо 4.4'!$AF$340),"",'Топливо 4.4'!$AF$340)</f>
        <v>Б</v>
      </c>
      <c r="AG345" s="856" t="s">
        <v>805</v>
      </c>
      <c r="AH345" s="1768"/>
      <c r="AI345" s="1766"/>
      <c r="AJ345" s="1766"/>
      <c r="AK345" s="1766"/>
      <c r="AL345" s="859">
        <f>AM345+AN345</f>
        <v>0</v>
      </c>
      <c r="AM345" s="1766">
        <f>AM340*AM315/1000</f>
        <v>0</v>
      </c>
      <c r="AN345" s="1766">
        <f>AN340*AN315/1000</f>
        <v>0</v>
      </c>
      <c r="AO345" s="859">
        <f>AP345+AQ345</f>
        <v>0</v>
      </c>
      <c r="AP345" s="976">
        <f>AP340*AP315/1000</f>
        <v>0</v>
      </c>
      <c r="AQ345" s="976">
        <f>AQ340*AQ315/1000</f>
        <v>0</v>
      </c>
      <c r="AR345" s="859">
        <f>AS345+AT345</f>
        <v>0</v>
      </c>
      <c r="AS345" s="976">
        <f>AS340*AS315/1000</f>
        <v>0</v>
      </c>
      <c r="AT345" s="976">
        <f>AT340*AT315/1000</f>
        <v>0</v>
      </c>
      <c r="AU345" s="859">
        <f>AV345+AW345</f>
        <v>0</v>
      </c>
      <c r="AV345" s="976">
        <f>AV340*AV315/1000</f>
        <v>0</v>
      </c>
      <c r="AW345" s="976">
        <f>AW340*AW315/1000</f>
        <v>0</v>
      </c>
      <c r="AX345" s="859">
        <f>AY345+AZ345</f>
        <v>0</v>
      </c>
      <c r="AY345" s="976">
        <f>AY340*AY315/1000</f>
        <v>0</v>
      </c>
      <c r="AZ345" s="976">
        <f>AZ340*AZ315/1000</f>
        <v>0</v>
      </c>
      <c r="BA345" s="859">
        <f>BB345+BC345</f>
        <v>0</v>
      </c>
      <c r="BB345" s="1766">
        <f>BB340*BB315/1000</f>
        <v>0</v>
      </c>
      <c r="BC345" s="1766">
        <f>BC340*BC315/1000</f>
        <v>0</v>
      </c>
      <c r="BD345" s="859">
        <f>BE345+BF345</f>
        <v>0</v>
      </c>
      <c r="BE345" s="1766">
        <f>BE340*BE315/1000</f>
        <v>0</v>
      </c>
      <c r="BF345" s="1766">
        <f>BF340*BF315/1000</f>
        <v>0</v>
      </c>
      <c r="BG345" s="859">
        <f>BH345+BI345</f>
        <v>0</v>
      </c>
      <c r="BH345" s="1766">
        <f>BH340*BH315/1000</f>
        <v>0</v>
      </c>
      <c r="BI345" s="1766">
        <f>BI340*BI315/1000</f>
        <v>0</v>
      </c>
      <c r="BJ345" s="859">
        <f>BK345+BL345</f>
        <v>0</v>
      </c>
      <c r="BK345" s="1766">
        <f>BK340*BK315/1000</f>
        <v>0</v>
      </c>
      <c r="BL345" s="1766">
        <f>BL340*BL315/1000</f>
        <v>0</v>
      </c>
      <c r="BM345" s="859">
        <f>BN345+BO345</f>
        <v>0</v>
      </c>
      <c r="BN345" s="1766">
        <f>BN340*BN315/1000</f>
        <v>0</v>
      </c>
      <c r="BO345" s="1766">
        <f>BO340*BO315/1000</f>
        <v>0</v>
      </c>
      <c r="BP345" s="859">
        <f>BQ345+BR345</f>
        <v>0</v>
      </c>
      <c r="BQ345" s="976">
        <f>BQ340*BQ315/1000</f>
        <v>0</v>
      </c>
      <c r="BR345" s="976">
        <f>BR340*BR315/1000</f>
        <v>0</v>
      </c>
      <c r="BS345" s="859">
        <f>BT345+BU345</f>
        <v>0</v>
      </c>
      <c r="BT345" s="976">
        <f>BT340*BT315/1000</f>
        <v>0</v>
      </c>
      <c r="BU345" s="976">
        <f>BU340*BU315/1000</f>
        <v>0</v>
      </c>
      <c r="BV345" s="859">
        <f>BW345+BX345</f>
        <v>0</v>
      </c>
      <c r="BW345" s="976">
        <f>BW340*BW315/1000</f>
        <v>0</v>
      </c>
      <c r="BX345" s="976">
        <f>BX340*BX315/1000</f>
        <v>0</v>
      </c>
      <c r="BY345" s="859">
        <f>BZ345+CA345</f>
        <v>0</v>
      </c>
      <c r="BZ345" s="976">
        <f>BZ340*BZ315/1000</f>
        <v>0</v>
      </c>
      <c r="CA345" s="976">
        <f>CA340*CA315/1000</f>
        <v>0</v>
      </c>
      <c r="CB345" s="859">
        <f>CC345+CD345</f>
        <v>0</v>
      </c>
      <c r="CC345" s="976">
        <f>CC340*CC315/1000</f>
        <v>0</v>
      </c>
      <c r="CD345" s="976">
        <f>CD340*CD315/1000</f>
        <v>0</v>
      </c>
      <c r="CE345" s="859">
        <f>CF345+CG345</f>
        <v>0</v>
      </c>
      <c r="CF345" s="1766">
        <f>CF340*CF315/1000</f>
        <v>0</v>
      </c>
      <c r="CG345" s="1766">
        <f>CG340*CG315/1000</f>
        <v>0</v>
      </c>
      <c r="CH345" s="859">
        <f>CI345+CJ345</f>
        <v>0</v>
      </c>
      <c r="CI345" s="1766">
        <f>CI340*CI315/1000</f>
        <v>0</v>
      </c>
      <c r="CJ345" s="1766">
        <f>CJ340*CJ315/1000</f>
        <v>0</v>
      </c>
      <c r="CK345" s="859">
        <f>CL345+CM345</f>
        <v>0</v>
      </c>
      <c r="CL345" s="1766">
        <f>CL340*CL315/1000</f>
        <v>0</v>
      </c>
      <c r="CM345" s="1766">
        <f>CM340*CM315/1000</f>
        <v>0</v>
      </c>
      <c r="CN345" s="859">
        <f>CO345+CP345</f>
        <v>0</v>
      </c>
      <c r="CO345" s="1766">
        <f>CO340*CO315/1000</f>
        <v>0</v>
      </c>
      <c r="CP345" s="1766">
        <f>CP340*CP315/1000</f>
        <v>0</v>
      </c>
      <c r="CQ345" s="859">
        <f>CR345+CS345</f>
        <v>0</v>
      </c>
      <c r="CR345" s="1766">
        <f>CR340*CR315/1000</f>
        <v>0</v>
      </c>
      <c r="CS345" s="1766">
        <f>CS340*CS315/1000</f>
        <v>0</v>
      </c>
      <c r="CT345" s="1730"/>
      <c r="CU345" s="1619"/>
      <c r="CV345" s="1619"/>
      <c r="CW345" s="1170" t="s">
        <v>821</v>
      </c>
      <c r="CX345" s="1175" t="s">
        <v>787</v>
      </c>
      <c r="CY345" s="1179" cm="1" t="str">
        <f t="array" ref="CY345:CY345">AE345</f>
        <v>Уголь бурый</v>
      </c>
      <c r="CZ345" s="1179" cm="1" t="str">
        <f t="array" ref="CZ345:CZ345">AF345</f>
        <v>Б</v>
      </c>
      <c r="DA345" s="1176"/>
      <c r="DB345" s="1176"/>
    </row>
    <row s="1619" customFormat="1" customHeight="1" ht="15" hidden="1">
      <c r="A346" s="1440"/>
      <c r="B346" s="924"/>
      <c r="C346" s="1440"/>
      <c r="D346" s="1440"/>
      <c r="E346" s="794">
        <v>0</v>
      </c>
      <c r="F346" s="919" cm="1" t="str">
        <f t="array" ref="F346:F346">OFFSET(G346,-1,-1)</f>
        <v>2</v>
      </c>
      <c r="G346" s="962"/>
      <c r="H346" s="962"/>
      <c r="I346" s="962"/>
      <c r="J346" s="962"/>
      <c r="K346" s="962"/>
      <c r="L346" s="919" cm="1" t="str">
        <f t="array" ref="L346:L346">OFFSET(M346,-1,-1)</f>
        <v>false</v>
      </c>
      <c r="M346" s="962"/>
      <c r="N346" s="962"/>
      <c r="O346" s="962"/>
      <c r="P346" s="962"/>
      <c r="Q346" s="962"/>
      <c r="R346" s="1440"/>
      <c r="S346" s="156" cm="1" t="str">
        <f t="array" ref="S346:S346">OFFSET(T346,-1,-1)</f>
        <v>true</v>
      </c>
      <c r="T346" s="1440"/>
      <c r="U346" s="816">
        <f>AND(S346,IF(ISBLANK(T346),TRUE,T346))</f>
        <v>1</v>
      </c>
      <c r="V346" s="1440"/>
      <c r="W346" s="1440"/>
      <c r="X346" s="970" t="str">
        <f>"{                  
         funcDyn: 'msg1',
         blok: 'blok_2',
         wsCross: 'Топливо 4.4',
         linkFormula: 'AE-AE#AF-AF',
         levelDyn: "&amp;Y275&amp;"
}"</f>
        <v>{                  
         funcDyn: 'msg1',
         blok: 'blok_2',
         wsCross: 'Топливо 4.4',
         linkFormula: 'AE-AE#AF-AF',
         levelDyn: 2
}</v>
      </c>
      <c r="Y346" s="1440"/>
      <c r="Z346" s="1440"/>
      <c r="AA346" s="817"/>
      <c r="AB346" s="1489"/>
      <c r="AC346" s="1619"/>
      <c r="AD346" s="973"/>
      <c r="AE346" s="972" t="s">
        <v>235</v>
      </c>
      <c r="AF346" s="871"/>
      <c r="AG346" s="856"/>
      <c r="AH346" s="858"/>
      <c r="AI346" s="860"/>
      <c r="AJ346" s="860"/>
      <c r="AK346" s="860"/>
      <c r="AL346" s="860"/>
      <c r="AM346" s="860"/>
      <c r="AN346" s="860"/>
      <c r="AO346" s="860"/>
      <c r="AP346" s="860"/>
      <c r="AQ346" s="860"/>
      <c r="AR346" s="860"/>
      <c r="AS346" s="860"/>
      <c r="AT346" s="860"/>
      <c r="AU346" s="860"/>
      <c r="AV346" s="860"/>
      <c r="AW346" s="860"/>
      <c r="AX346" s="860"/>
      <c r="AY346" s="860"/>
      <c r="AZ346" s="860"/>
      <c r="BA346" s="860"/>
      <c r="BB346" s="860"/>
      <c r="BC346" s="860"/>
      <c r="BD346" s="860"/>
      <c r="BE346" s="860"/>
      <c r="BF346" s="860"/>
      <c r="BG346" s="860"/>
      <c r="BH346" s="860"/>
      <c r="BI346" s="860"/>
      <c r="BJ346" s="860"/>
      <c r="BK346" s="860"/>
      <c r="BL346" s="860"/>
      <c r="BM346" s="860"/>
      <c r="BN346" s="860"/>
      <c r="BO346" s="860"/>
      <c r="BP346" s="860"/>
      <c r="BQ346" s="860"/>
      <c r="BR346" s="860"/>
      <c r="BS346" s="860"/>
      <c r="BT346" s="860"/>
      <c r="BU346" s="860"/>
      <c r="BV346" s="860"/>
      <c r="BW346" s="860"/>
      <c r="BX346" s="860"/>
      <c r="BY346" s="860"/>
      <c r="BZ346" s="860"/>
      <c r="CA346" s="860"/>
      <c r="CB346" s="860"/>
      <c r="CC346" s="860"/>
      <c r="CD346" s="860"/>
      <c r="CE346" s="860"/>
      <c r="CF346" s="860"/>
      <c r="CG346" s="860"/>
      <c r="CH346" s="860"/>
      <c r="CI346" s="860"/>
      <c r="CJ346" s="860"/>
      <c r="CK346" s="860"/>
      <c r="CL346" s="860"/>
      <c r="CM346" s="860"/>
      <c r="CN346" s="860"/>
      <c r="CO346" s="860"/>
      <c r="CP346" s="860"/>
      <c r="CQ346" s="860"/>
      <c r="CR346" s="860"/>
      <c r="CS346" s="860"/>
      <c r="CT346" s="91"/>
      <c r="CU346" s="1619"/>
      <c r="CV346" s="1619"/>
      <c r="CW346" s="1170" t="str">
        <f>IF(AND(ISNUMBER(VALUE(TRIM(SUBSTITUTE(AD346,".","")))),TRIM(SUBSTITUTE(AD346,".",""))&lt;&gt;""),"P"&amp;SUBSTITUTE(AD346,".",""),"")</f>
        <v/>
      </c>
      <c r="CX346" s="1175"/>
      <c r="CY346" s="1175"/>
      <c r="CZ346" s="1175"/>
      <c r="DA346" s="1176"/>
      <c r="DB346" s="1176"/>
    </row>
    <row s="1619" customFormat="1" customHeight="1" ht="29.25" hidden="1">
      <c r="A347" s="1440"/>
      <c r="B347" s="924"/>
      <c r="C347" s="1440"/>
      <c r="D347" s="1440"/>
      <c r="E347" s="794">
        <v>30</v>
      </c>
      <c r="F347" s="919" cm="1" t="str">
        <f t="array" ref="F347:F347">OFFSET(G347,-1,-1)</f>
        <v>2</v>
      </c>
      <c r="G347" s="962"/>
      <c r="H347" s="962"/>
      <c r="I347" s="962"/>
      <c r="J347" s="962"/>
      <c r="K347" s="962"/>
      <c r="L347" s="919" cm="1" t="str">
        <f t="array" ref="L347:L347">OFFSET(M347,-1,-1)</f>
        <v>false</v>
      </c>
      <c r="M347" s="962"/>
      <c r="N347" s="962"/>
      <c r="O347" s="962"/>
      <c r="P347" s="962"/>
      <c r="Q347" s="962"/>
      <c r="R347" s="919" t="s">
        <v>725</v>
      </c>
      <c r="S347" s="156" cm="1" t="str">
        <f t="array" ref="S347:S347">OFFSET(T347,-1,-1)</f>
        <v>true</v>
      </c>
      <c r="T347" s="156" cm="1" t="str">
        <f t="array" ref="T347:T347">L347</f>
        <v>false</v>
      </c>
      <c r="U347" s="816">
        <f>AND(S347,IF(ISBLANK(T347),TRUE,T347))</f>
        <v>0</v>
      </c>
      <c r="V347" s="1440"/>
      <c r="W347" s="1440"/>
      <c r="X347" s="1440"/>
      <c r="Y347" s="1440"/>
      <c r="Z347" s="1440"/>
      <c r="AA347" s="817"/>
      <c r="AB347" s="1489"/>
      <c r="AC347" s="1619"/>
      <c r="AD347" s="170">
        <v>29</v>
      </c>
      <c r="AE347" s="1499" t="s">
        <v>823</v>
      </c>
      <c r="AF347" s="160"/>
      <c r="AG347" s="856" t="s">
        <v>805</v>
      </c>
      <c r="AH347" s="857">
        <f>SUM(AH348:AH350)</f>
        <v>0</v>
      </c>
      <c r="AI347" s="857">
        <f>SUM(AI348:AI350)</f>
        <v>0</v>
      </c>
      <c r="AJ347" s="857">
        <f>SUM(AJ348:AJ350)</f>
        <v>0</v>
      </c>
      <c r="AK347" s="857">
        <f>SUM(AK348:AK350)</f>
        <v>0</v>
      </c>
      <c r="AL347" s="857">
        <f>SUM(AL348:AL350)</f>
        <v>0</v>
      </c>
      <c r="AM347" s="857">
        <f>SUM(AM348:AM350)</f>
        <v>0</v>
      </c>
      <c r="AN347" s="857">
        <f>SUM(AN348:AN350)</f>
        <v>0</v>
      </c>
      <c r="AO347" s="857">
        <f>SUM(AO348:AO350)</f>
        <v>0</v>
      </c>
      <c r="AP347" s="857">
        <f>SUM(AP348:AP350)</f>
        <v>0</v>
      </c>
      <c r="AQ347" s="857">
        <f>SUM(AQ348:AQ350)</f>
        <v>0</v>
      </c>
      <c r="AR347" s="857">
        <f>SUM(AR348:AR350)</f>
        <v>0</v>
      </c>
      <c r="AS347" s="857">
        <f>SUM(AS348:AS350)</f>
        <v>0</v>
      </c>
      <c r="AT347" s="857">
        <f>SUM(AT348:AT350)</f>
        <v>0</v>
      </c>
      <c r="AU347" s="857">
        <f>SUM(AU348:AU350)</f>
        <v>0</v>
      </c>
      <c r="AV347" s="857">
        <f>SUM(AV348:AV350)</f>
        <v>0</v>
      </c>
      <c r="AW347" s="857">
        <f>SUM(AW348:AW350)</f>
        <v>0</v>
      </c>
      <c r="AX347" s="857">
        <f>SUM(AX348:AX350)</f>
        <v>0</v>
      </c>
      <c r="AY347" s="857">
        <f>SUM(AY348:AY350)</f>
        <v>0</v>
      </c>
      <c r="AZ347" s="857">
        <f>SUM(AZ348:AZ350)</f>
        <v>0</v>
      </c>
      <c r="BA347" s="857">
        <f>SUM(BA348:BA350)</f>
        <v>0</v>
      </c>
      <c r="BB347" s="857">
        <f>SUM(BB348:BB350)</f>
        <v>0</v>
      </c>
      <c r="BC347" s="857">
        <f>SUM(BC348:BC350)</f>
        <v>0</v>
      </c>
      <c r="BD347" s="857">
        <f>SUM(BD348:BD350)</f>
        <v>0</v>
      </c>
      <c r="BE347" s="857">
        <f>SUM(BE348:BE350)</f>
        <v>0</v>
      </c>
      <c r="BF347" s="857">
        <f>SUM(BF348:BF350)</f>
        <v>0</v>
      </c>
      <c r="BG347" s="857">
        <f>SUM(BG348:BG350)</f>
        <v>0</v>
      </c>
      <c r="BH347" s="857">
        <f>SUM(BH348:BH350)</f>
        <v>0</v>
      </c>
      <c r="BI347" s="857">
        <f>SUM(BI348:BI350)</f>
        <v>0</v>
      </c>
      <c r="BJ347" s="857">
        <f>SUM(BJ348:BJ350)</f>
        <v>0</v>
      </c>
      <c r="BK347" s="857">
        <f>SUM(BK348:BK350)</f>
        <v>0</v>
      </c>
      <c r="BL347" s="857">
        <f>SUM(BL348:BL350)</f>
        <v>0</v>
      </c>
      <c r="BM347" s="857">
        <f>SUM(BM348:BM350)</f>
        <v>0</v>
      </c>
      <c r="BN347" s="857">
        <f>SUM(BN348:BN350)</f>
        <v>0</v>
      </c>
      <c r="BO347" s="857">
        <f>SUM(BO348:BO350)</f>
        <v>0</v>
      </c>
      <c r="BP347" s="857">
        <f>SUM(BP348:BP350)</f>
        <v>0</v>
      </c>
      <c r="BQ347" s="857">
        <f>SUM(BQ348:BQ350)</f>
        <v>0</v>
      </c>
      <c r="BR347" s="857">
        <f>SUM(BR348:BR350)</f>
        <v>0</v>
      </c>
      <c r="BS347" s="857">
        <f>SUM(BS348:BS350)</f>
        <v>0</v>
      </c>
      <c r="BT347" s="857">
        <f>SUM(BT348:BT350)</f>
        <v>0</v>
      </c>
      <c r="BU347" s="857">
        <f>SUM(BU348:BU350)</f>
        <v>0</v>
      </c>
      <c r="BV347" s="857">
        <f>SUM(BV348:BV350)</f>
        <v>0</v>
      </c>
      <c r="BW347" s="857">
        <f>SUM(BW348:BW350)</f>
        <v>0</v>
      </c>
      <c r="BX347" s="857">
        <f>SUM(BX348:BX350)</f>
        <v>0</v>
      </c>
      <c r="BY347" s="857">
        <f>SUM(BY348:BY350)</f>
        <v>0</v>
      </c>
      <c r="BZ347" s="857">
        <f>SUM(BZ348:BZ350)</f>
        <v>0</v>
      </c>
      <c r="CA347" s="857">
        <f>SUM(CA348:CA350)</f>
        <v>0</v>
      </c>
      <c r="CB347" s="857">
        <f>SUM(CB348:CB350)</f>
        <v>0</v>
      </c>
      <c r="CC347" s="857">
        <f>SUM(CC348:CC350)</f>
        <v>0</v>
      </c>
      <c r="CD347" s="857">
        <f>SUM(CD348:CD350)</f>
        <v>0</v>
      </c>
      <c r="CE347" s="857">
        <f>SUM(CE348:CE350)</f>
        <v>0</v>
      </c>
      <c r="CF347" s="857">
        <f>SUM(CF348:CF350)</f>
        <v>0</v>
      </c>
      <c r="CG347" s="857">
        <f>SUM(CG348:CG350)</f>
        <v>0</v>
      </c>
      <c r="CH347" s="857">
        <f>SUM(CH348:CH350)</f>
        <v>0</v>
      </c>
      <c r="CI347" s="857">
        <f>SUM(CI348:CI350)</f>
        <v>0</v>
      </c>
      <c r="CJ347" s="857">
        <f>SUM(CJ348:CJ350)</f>
        <v>0</v>
      </c>
      <c r="CK347" s="857">
        <f>SUM(CK348:CK350)</f>
        <v>0</v>
      </c>
      <c r="CL347" s="857">
        <f>SUM(CL348:CL350)</f>
        <v>0</v>
      </c>
      <c r="CM347" s="857">
        <f>SUM(CM348:CM350)</f>
        <v>0</v>
      </c>
      <c r="CN347" s="857">
        <f>SUM(CN348:CN350)</f>
        <v>0</v>
      </c>
      <c r="CO347" s="857">
        <f>SUM(CO348:CO350)</f>
        <v>0</v>
      </c>
      <c r="CP347" s="857">
        <f>SUM(CP348:CP350)</f>
        <v>0</v>
      </c>
      <c r="CQ347" s="857">
        <f>SUM(CQ348:CQ350)</f>
        <v>0</v>
      </c>
      <c r="CR347" s="857">
        <f>SUM(CR348:CR350)</f>
        <v>0</v>
      </c>
      <c r="CS347" s="857">
        <f>SUM(CS348:CS350)</f>
        <v>0</v>
      </c>
      <c r="CT347" s="73"/>
      <c r="CU347" s="1619"/>
      <c r="CV347" s="1619"/>
      <c r="CW347" s="1170" t="s">
        <v>824</v>
      </c>
      <c r="CX347" s="1175"/>
      <c r="CY347" s="1175"/>
      <c r="CZ347" s="1175"/>
      <c r="DA347" s="1176"/>
      <c r="DB347" s="1176"/>
    </row>
    <row s="1619" customFormat="1" customHeight="1" ht="16.5" hidden="1">
      <c r="E348" s="794">
        <v>17.1</v>
      </c>
      <c r="F348" s="919" cm="1" t="str">
        <f t="array" ref="F348:F348">OFFSET(G348,-1,-1)</f>
        <v>2</v>
      </c>
      <c r="L348" s="919" cm="1" t="str">
        <f t="array" ref="L348:L348">OFFSET(M348,-1,-1)</f>
        <v>false</v>
      </c>
      <c r="R348" s="919" t="s">
        <v>725</v>
      </c>
      <c r="S348" s="156" cm="1" t="str">
        <f t="array" ref="S348:S348">OFFSET(T348,-1,-1)</f>
        <v>true</v>
      </c>
      <c r="T348" s="156">
        <f>AND(L348,AD348&lt;&gt;"29.0")</f>
        <v>0</v>
      </c>
      <c r="U348" s="816">
        <f>AND(S348,IF(ISBLANK(T348),TRUE,T348))</f>
        <v>0</v>
      </c>
      <c r="X348" s="156" t="s">
        <v>233</v>
      </c>
      <c r="AB348" s="1489"/>
      <c r="AD348" s="157" t="s">
        <v>825</v>
      </c>
      <c r="AE348" s="971"/>
      <c r="AF348" s="622"/>
      <c r="AG348" s="856" t="s">
        <v>805</v>
      </c>
      <c r="AH348" s="86">
        <f>AH$299*AH344</f>
        <v>0</v>
      </c>
      <c r="AI348" s="87">
        <f>AI$299*AI344</f>
        <v>0</v>
      </c>
      <c r="AJ348" s="87">
        <f>AJ$299*AJ344</f>
        <v>0</v>
      </c>
      <c r="AK348" s="87">
        <f>AK$299*AK344</f>
        <v>0</v>
      </c>
      <c r="AL348" s="859">
        <f>AM348+AN348</f>
        <v>0</v>
      </c>
      <c r="AM348" s="87">
        <f>AM$299*AM344</f>
        <v>0</v>
      </c>
      <c r="AN348" s="87">
        <f>AN$299*AN344</f>
        <v>0</v>
      </c>
      <c r="AO348" s="859">
        <f>AP348+AQ348</f>
        <v>0</v>
      </c>
      <c r="AP348" s="976">
        <f>AP$299*AP344</f>
        <v>0</v>
      </c>
      <c r="AQ348" s="976">
        <f>AQ$299*AQ344</f>
        <v>0</v>
      </c>
      <c r="AR348" s="859">
        <f>AS348+AT348</f>
        <v>0</v>
      </c>
      <c r="AS348" s="976">
        <f>AS$299*AS344</f>
        <v>0</v>
      </c>
      <c r="AT348" s="976">
        <f>AT$299*AT344</f>
        <v>0</v>
      </c>
      <c r="AU348" s="859">
        <f>AV348+AW348</f>
        <v>0</v>
      </c>
      <c r="AV348" s="976">
        <f>AV$299*AV344</f>
        <v>0</v>
      </c>
      <c r="AW348" s="976">
        <f>AW$299*AW344</f>
        <v>0</v>
      </c>
      <c r="AX348" s="859">
        <f>AY348+AZ348</f>
        <v>0</v>
      </c>
      <c r="AY348" s="976">
        <f>AY$299*AY344</f>
        <v>0</v>
      </c>
      <c r="AZ348" s="976">
        <f>AZ$299*AZ344</f>
        <v>0</v>
      </c>
      <c r="BA348" s="859">
        <f>BB348+BC348</f>
        <v>0</v>
      </c>
      <c r="BB348" s="87">
        <f>BB$299*BB344</f>
        <v>0</v>
      </c>
      <c r="BC348" s="87">
        <f>BC$299*BC344</f>
        <v>0</v>
      </c>
      <c r="BD348" s="859">
        <f>BE348+BF348</f>
        <v>0</v>
      </c>
      <c r="BE348" s="87">
        <f>BE$299*BE344</f>
        <v>0</v>
      </c>
      <c r="BF348" s="87">
        <f>BF$299*BF344</f>
        <v>0</v>
      </c>
      <c r="BG348" s="859">
        <f>BH348+BI348</f>
        <v>0</v>
      </c>
      <c r="BH348" s="87">
        <f>BH$299*BH344</f>
        <v>0</v>
      </c>
      <c r="BI348" s="87">
        <f>BI$299*BI344</f>
        <v>0</v>
      </c>
      <c r="BJ348" s="859">
        <f>BK348+BL348</f>
        <v>0</v>
      </c>
      <c r="BK348" s="87">
        <f>BK$299*BK344</f>
        <v>0</v>
      </c>
      <c r="BL348" s="87">
        <f>BL$299*BL344</f>
        <v>0</v>
      </c>
      <c r="BM348" s="859">
        <f>BN348+BO348</f>
        <v>0</v>
      </c>
      <c r="BN348" s="87">
        <f>BN$299*BN344</f>
        <v>0</v>
      </c>
      <c r="BO348" s="87">
        <f>BO$299*BO344</f>
        <v>0</v>
      </c>
      <c r="BP348" s="859">
        <f>BQ348+BR348</f>
        <v>0</v>
      </c>
      <c r="BQ348" s="976">
        <f>BQ$299*BQ344</f>
        <v>0</v>
      </c>
      <c r="BR348" s="976">
        <f>BR$299*BR344</f>
        <v>0</v>
      </c>
      <c r="BS348" s="859">
        <f>BT348+BU348</f>
        <v>0</v>
      </c>
      <c r="BT348" s="976">
        <f>BT$299*BT344</f>
        <v>0</v>
      </c>
      <c r="BU348" s="976">
        <f>BU$299*BU344</f>
        <v>0</v>
      </c>
      <c r="BV348" s="859">
        <f>BW348+BX348</f>
        <v>0</v>
      </c>
      <c r="BW348" s="976">
        <f>BW$299*BW344</f>
        <v>0</v>
      </c>
      <c r="BX348" s="976">
        <f>BX$299*BX344</f>
        <v>0</v>
      </c>
      <c r="BY348" s="859">
        <f>BZ348+CA348</f>
        <v>0</v>
      </c>
      <c r="BZ348" s="976">
        <f>BZ$299*BZ344</f>
        <v>0</v>
      </c>
      <c r="CA348" s="976">
        <f>CA$299*CA344</f>
        <v>0</v>
      </c>
      <c r="CB348" s="859">
        <f>CC348+CD348</f>
        <v>0</v>
      </c>
      <c r="CC348" s="976">
        <f>CC$299*CC344</f>
        <v>0</v>
      </c>
      <c r="CD348" s="976">
        <f>CD$299*CD344</f>
        <v>0</v>
      </c>
      <c r="CE348" s="859">
        <f>CF348+CG348</f>
        <v>0</v>
      </c>
      <c r="CF348" s="87">
        <f>CF$299*CF344</f>
        <v>0</v>
      </c>
      <c r="CG348" s="87">
        <f>CG$299*CG344</f>
        <v>0</v>
      </c>
      <c r="CH348" s="859">
        <f>CI348+CJ348</f>
        <v>0</v>
      </c>
      <c r="CI348" s="87">
        <f>CI$299*CI344</f>
        <v>0</v>
      </c>
      <c r="CJ348" s="87">
        <f>CJ$299*CJ344</f>
        <v>0</v>
      </c>
      <c r="CK348" s="859">
        <f>CL348+CM348</f>
        <v>0</v>
      </c>
      <c r="CL348" s="87">
        <f>CL$299*CL344</f>
        <v>0</v>
      </c>
      <c r="CM348" s="87">
        <f>CM$299*CM344</f>
        <v>0</v>
      </c>
      <c r="CN348" s="859">
        <f>CO348+CP348</f>
        <v>0</v>
      </c>
      <c r="CO348" s="87">
        <f>CO$299*CO344</f>
        <v>0</v>
      </c>
      <c r="CP348" s="87">
        <f>CP$299*CP344</f>
        <v>0</v>
      </c>
      <c r="CQ348" s="859">
        <f>CR348+CS348</f>
        <v>0</v>
      </c>
      <c r="CR348" s="87">
        <f>CR$299*CR344</f>
        <v>0</v>
      </c>
      <c r="CS348" s="87">
        <f>CS$299*CS344</f>
        <v>0</v>
      </c>
      <c r="CT348" s="73"/>
      <c r="CW348" s="1170" t="s">
        <v>824</v>
      </c>
      <c r="CX348" s="1175" t="s">
        <v>787</v>
      </c>
      <c r="CY348" s="1179" cm="1" t="str">
        <f t="array" ref="CY348:CY348">AE348</f>
        <v>0</v>
      </c>
      <c r="CZ348" s="1179" cm="1" t="str">
        <f t="array" ref="CZ348:CZ348">AF348</f>
        <v>0</v>
      </c>
      <c r="DA348" s="1176"/>
      <c r="DB348" s="1176"/>
    </row>
    <row s="1619" customFormat="1" customHeight="1" ht="16.5" hidden="1">
      <c r="A349" s="1619"/>
      <c r="B349" s="1619"/>
      <c r="C349" s="1619"/>
      <c r="D349" s="1619"/>
      <c r="E349" s="794">
        <v>17.1</v>
      </c>
      <c r="F349" s="919" cm="1" t="str">
        <f t="array" ref="F349:F349">OFFSET(G349,-1,-1)</f>
        <v>2</v>
      </c>
      <c r="G349" s="1619"/>
      <c r="H349" s="1619"/>
      <c r="I349" s="1619"/>
      <c r="J349" s="1619"/>
      <c r="K349" s="1619"/>
      <c r="L349" s="919" cm="1" t="str">
        <f t="array" ref="L349:L349">OFFSET(M349,-1,-1)</f>
        <v>false</v>
      </c>
      <c r="M349" s="1619"/>
      <c r="N349" s="1619"/>
      <c r="O349" s="1619"/>
      <c r="P349" s="1619"/>
      <c r="Q349" s="1619"/>
      <c r="R349" s="919" t="s">
        <v>725</v>
      </c>
      <c r="S349" s="156" cm="1" t="str">
        <f t="array" ref="S349:S349">OFFSET(T349,-1,-1)</f>
        <v>true</v>
      </c>
      <c r="T349" s="156">
        <f>AND(L349,AD349&lt;&gt;"29.0")</f>
        <v>0</v>
      </c>
      <c r="U349" s="816">
        <f>AND(S349,IF(ISBLANK(T349),TRUE,T349))</f>
        <v>0</v>
      </c>
      <c r="V349" s="1619"/>
      <c r="W349" s="1619"/>
      <c r="X349" s="156" t="str">
        <f>'Топливо 4.4'!$AE$345&amp;'Топливо 4.4'!$AF$345</f>
        <v>Уголь бурыйБ</v>
      </c>
      <c r="Y349" s="1619"/>
      <c r="Z349" s="1619"/>
      <c r="AA349" s="1619"/>
      <c r="AB349" s="1489"/>
      <c r="AC349" s="1619"/>
      <c r="AD349" s="157" t="s">
        <v>909</v>
      </c>
      <c r="AE349" s="971" cm="1" t="str">
        <f t="array" ref="AE349:AE349">IF(ISBLANK('Топливо 4.4'!$AE$345),"",'Топливо 4.4'!$AE$345)</f>
        <v>Уголь бурый</v>
      </c>
      <c r="AF349" s="622" cm="1" t="str">
        <f t="array" ref="AF349:AF349">IF(ISBLANK('Топливо 4.4'!$AF$345),"",'Топливо 4.4'!$AF$345)</f>
        <v>Б</v>
      </c>
      <c r="AG349" s="856" t="s">
        <v>805</v>
      </c>
      <c r="AH349" s="86">
        <f>AH$299*AH345</f>
        <v>0</v>
      </c>
      <c r="AI349" s="87">
        <f>AI$299*AI345</f>
        <v>0</v>
      </c>
      <c r="AJ349" s="87">
        <f>AJ$299*AJ345</f>
        <v>0</v>
      </c>
      <c r="AK349" s="87">
        <f>AK$299*AK345</f>
        <v>0</v>
      </c>
      <c r="AL349" s="859">
        <f>AM349+AN349</f>
        <v>0</v>
      </c>
      <c r="AM349" s="87">
        <f>AM$299*AM345</f>
        <v>0</v>
      </c>
      <c r="AN349" s="87">
        <f>AN$299*AN345</f>
        <v>0</v>
      </c>
      <c r="AO349" s="859">
        <f>AP349+AQ349</f>
        <v>0</v>
      </c>
      <c r="AP349" s="976">
        <f>AP$299*AP345</f>
        <v>0</v>
      </c>
      <c r="AQ349" s="976">
        <f>AQ$299*AQ345</f>
        <v>0</v>
      </c>
      <c r="AR349" s="859">
        <f>AS349+AT349</f>
        <v>0</v>
      </c>
      <c r="AS349" s="976">
        <f>AS$299*AS345</f>
        <v>0</v>
      </c>
      <c r="AT349" s="976">
        <f>AT$299*AT345</f>
        <v>0</v>
      </c>
      <c r="AU349" s="859">
        <f>AV349+AW349</f>
        <v>0</v>
      </c>
      <c r="AV349" s="976">
        <f>AV$299*AV345</f>
        <v>0</v>
      </c>
      <c r="AW349" s="976">
        <f>AW$299*AW345</f>
        <v>0</v>
      </c>
      <c r="AX349" s="859">
        <f>AY349+AZ349</f>
        <v>0</v>
      </c>
      <c r="AY349" s="976">
        <f>AY$299*AY345</f>
        <v>0</v>
      </c>
      <c r="AZ349" s="976">
        <f>AZ$299*AZ345</f>
        <v>0</v>
      </c>
      <c r="BA349" s="859">
        <f>BB349+BC349</f>
        <v>0</v>
      </c>
      <c r="BB349" s="87">
        <f>BB$299*BB345</f>
        <v>0</v>
      </c>
      <c r="BC349" s="87">
        <f>BC$299*BC345</f>
        <v>0</v>
      </c>
      <c r="BD349" s="859">
        <f>BE349+BF349</f>
        <v>0</v>
      </c>
      <c r="BE349" s="87">
        <f>BE$299*BE345</f>
        <v>0</v>
      </c>
      <c r="BF349" s="87">
        <f>BF$299*BF345</f>
        <v>0</v>
      </c>
      <c r="BG349" s="859">
        <f>BH349+BI349</f>
        <v>0</v>
      </c>
      <c r="BH349" s="87">
        <f>BH$299*BH345</f>
        <v>0</v>
      </c>
      <c r="BI349" s="87">
        <f>BI$299*BI345</f>
        <v>0</v>
      </c>
      <c r="BJ349" s="859">
        <f>BK349+BL349</f>
        <v>0</v>
      </c>
      <c r="BK349" s="87">
        <f>BK$299*BK345</f>
        <v>0</v>
      </c>
      <c r="BL349" s="87">
        <f>BL$299*BL345</f>
        <v>0</v>
      </c>
      <c r="BM349" s="859">
        <f>BN349+BO349</f>
        <v>0</v>
      </c>
      <c r="BN349" s="87">
        <f>BN$299*BN345</f>
        <v>0</v>
      </c>
      <c r="BO349" s="87">
        <f>BO$299*BO345</f>
        <v>0</v>
      </c>
      <c r="BP349" s="859">
        <f>BQ349+BR349</f>
        <v>0</v>
      </c>
      <c r="BQ349" s="976">
        <f>BQ$299*BQ345</f>
        <v>0</v>
      </c>
      <c r="BR349" s="976">
        <f>BR$299*BR345</f>
        <v>0</v>
      </c>
      <c r="BS349" s="859">
        <f>BT349+BU349</f>
        <v>0</v>
      </c>
      <c r="BT349" s="976">
        <f>BT$299*BT345</f>
        <v>0</v>
      </c>
      <c r="BU349" s="976">
        <f>BU$299*BU345</f>
        <v>0</v>
      </c>
      <c r="BV349" s="859">
        <f>BW349+BX349</f>
        <v>0</v>
      </c>
      <c r="BW349" s="976">
        <f>BW$299*BW345</f>
        <v>0</v>
      </c>
      <c r="BX349" s="976">
        <f>BX$299*BX345</f>
        <v>0</v>
      </c>
      <c r="BY349" s="859">
        <f>BZ349+CA349</f>
        <v>0</v>
      </c>
      <c r="BZ349" s="976">
        <f>BZ$299*BZ345</f>
        <v>0</v>
      </c>
      <c r="CA349" s="976">
        <f>CA$299*CA345</f>
        <v>0</v>
      </c>
      <c r="CB349" s="859">
        <f>CC349+CD349</f>
        <v>0</v>
      </c>
      <c r="CC349" s="976">
        <f>CC$299*CC345</f>
        <v>0</v>
      </c>
      <c r="CD349" s="976">
        <f>CD$299*CD345</f>
        <v>0</v>
      </c>
      <c r="CE349" s="859">
        <f>CF349+CG349</f>
        <v>0</v>
      </c>
      <c r="CF349" s="87">
        <f>CF$299*CF345</f>
        <v>0</v>
      </c>
      <c r="CG349" s="87">
        <f>CG$299*CG345</f>
        <v>0</v>
      </c>
      <c r="CH349" s="859">
        <f>CI349+CJ349</f>
        <v>0</v>
      </c>
      <c r="CI349" s="87">
        <f>CI$299*CI345</f>
        <v>0</v>
      </c>
      <c r="CJ349" s="87">
        <f>CJ$299*CJ345</f>
        <v>0</v>
      </c>
      <c r="CK349" s="859">
        <f>CL349+CM349</f>
        <v>0</v>
      </c>
      <c r="CL349" s="87">
        <f>CL$299*CL345</f>
        <v>0</v>
      </c>
      <c r="CM349" s="87">
        <f>CM$299*CM345</f>
        <v>0</v>
      </c>
      <c r="CN349" s="859">
        <f>CO349+CP349</f>
        <v>0</v>
      </c>
      <c r="CO349" s="87">
        <f>CO$299*CO345</f>
        <v>0</v>
      </c>
      <c r="CP349" s="87">
        <f>CP$299*CP345</f>
        <v>0</v>
      </c>
      <c r="CQ349" s="859">
        <f>CR349+CS349</f>
        <v>0</v>
      </c>
      <c r="CR349" s="87">
        <f>CR$299*CR345</f>
        <v>0</v>
      </c>
      <c r="CS349" s="87">
        <f>CS$299*CS345</f>
        <v>0</v>
      </c>
      <c r="CT349" s="73"/>
      <c r="CU349" s="1619"/>
      <c r="CV349" s="1619"/>
      <c r="CW349" s="1170" t="s">
        <v>824</v>
      </c>
      <c r="CX349" s="1175" t="s">
        <v>787</v>
      </c>
      <c r="CY349" s="1179" cm="1" t="str">
        <f t="array" ref="CY349:CY349">AE349</f>
        <v>Уголь бурый</v>
      </c>
      <c r="CZ349" s="1179" cm="1" t="str">
        <f t="array" ref="CZ349:CZ349">AF349</f>
        <v>Б</v>
      </c>
      <c r="DA349" s="1176"/>
      <c r="DB349" s="1176"/>
    </row>
    <row s="1619" customFormat="1" customHeight="1" ht="15" hidden="1">
      <c r="A350" s="1440"/>
      <c r="B350" s="924"/>
      <c r="C350" s="1440"/>
      <c r="D350" s="1440"/>
      <c r="E350" s="794">
        <v>0</v>
      </c>
      <c r="F350" s="919" cm="1" t="str">
        <f t="array" ref="F350:F350">OFFSET(G350,-1,-1)</f>
        <v>2</v>
      </c>
      <c r="G350" s="962"/>
      <c r="H350" s="962"/>
      <c r="I350" s="962"/>
      <c r="J350" s="962"/>
      <c r="K350" s="962"/>
      <c r="L350" s="919" cm="1" t="str">
        <f t="array" ref="L350:L350">OFFSET(M350,-1,-1)</f>
        <v>false</v>
      </c>
      <c r="M350" s="962"/>
      <c r="N350" s="962"/>
      <c r="O350" s="962"/>
      <c r="P350" s="962"/>
      <c r="Q350" s="962"/>
      <c r="R350" s="1440"/>
      <c r="S350" s="156" cm="1" t="str">
        <f t="array" ref="S350:S350">OFFSET(T350,-1,-1)</f>
        <v>true</v>
      </c>
      <c r="T350" s="1440"/>
      <c r="U350" s="816">
        <f>AND(S350,IF(ISBLANK(T350),TRUE,T350))</f>
        <v>1</v>
      </c>
      <c r="V350" s="1440"/>
      <c r="W350" s="1440"/>
      <c r="X350" s="970" t="str">
        <f>"{                  
         funcDyn: 'msg1',
         blok: 'blok_2',
         wsCross: 'Топливо 4.4',
         linkFormula: 'AE-AE#AF-AF',
         levelDyn: "&amp;Y275&amp;"
}"</f>
        <v>{                  
         funcDyn: 'msg1',
         blok: 'blok_2',
         wsCross: 'Топливо 4.4',
         linkFormula: 'AE-AE#AF-AF',
         levelDyn: 2
}</v>
      </c>
      <c r="Y350" s="1440"/>
      <c r="Z350" s="1440"/>
      <c r="AA350" s="817"/>
      <c r="AB350" s="1490"/>
      <c r="AC350" s="1619"/>
      <c r="AD350" s="973"/>
      <c r="AE350" s="972" t="s">
        <v>235</v>
      </c>
      <c r="AF350" s="871"/>
      <c r="AG350" s="856"/>
      <c r="AH350" s="858"/>
      <c r="AI350" s="860"/>
      <c r="AJ350" s="860"/>
      <c r="AK350" s="860"/>
      <c r="AL350" s="860"/>
      <c r="AM350" s="860"/>
      <c r="AN350" s="860"/>
      <c r="AO350" s="860"/>
      <c r="AP350" s="860"/>
      <c r="AQ350" s="860"/>
      <c r="AR350" s="860"/>
      <c r="AS350" s="860"/>
      <c r="AT350" s="860"/>
      <c r="AU350" s="860"/>
      <c r="AV350" s="860"/>
      <c r="AW350" s="860"/>
      <c r="AX350" s="860"/>
      <c r="AY350" s="860"/>
      <c r="AZ350" s="860"/>
      <c r="BA350" s="860"/>
      <c r="BB350" s="860"/>
      <c r="BC350" s="860"/>
      <c r="BD350" s="860"/>
      <c r="BE350" s="860"/>
      <c r="BF350" s="860"/>
      <c r="BG350" s="860"/>
      <c r="BH350" s="860"/>
      <c r="BI350" s="860"/>
      <c r="BJ350" s="860"/>
      <c r="BK350" s="860"/>
      <c r="BL350" s="860"/>
      <c r="BM350" s="860"/>
      <c r="BN350" s="860"/>
      <c r="BO350" s="860"/>
      <c r="BP350" s="860"/>
      <c r="BQ350" s="860"/>
      <c r="BR350" s="860"/>
      <c r="BS350" s="860"/>
      <c r="BT350" s="860"/>
      <c r="BU350" s="860"/>
      <c r="BV350" s="860"/>
      <c r="BW350" s="860"/>
      <c r="BX350" s="860"/>
      <c r="BY350" s="860"/>
      <c r="BZ350" s="860"/>
      <c r="CA350" s="860"/>
      <c r="CB350" s="860"/>
      <c r="CC350" s="860"/>
      <c r="CD350" s="860"/>
      <c r="CE350" s="860"/>
      <c r="CF350" s="860"/>
      <c r="CG350" s="860"/>
      <c r="CH350" s="860"/>
      <c r="CI350" s="860"/>
      <c r="CJ350" s="860"/>
      <c r="CK350" s="860"/>
      <c r="CL350" s="860"/>
      <c r="CM350" s="860"/>
      <c r="CN350" s="860"/>
      <c r="CO350" s="860"/>
      <c r="CP350" s="860"/>
      <c r="CQ350" s="860"/>
      <c r="CR350" s="860"/>
      <c r="CS350" s="860"/>
      <c r="CT350" s="91"/>
      <c r="CU350" s="1619"/>
      <c r="CV350" s="1619"/>
      <c r="CW350" s="1170" t="str">
        <f>IF(AND(ISNUMBER(VALUE(TRIM(SUBSTITUTE(AD350,".","")))),TRIM(SUBSTITUTE(AD350,".",""))&lt;&gt;""),"P"&amp;SUBSTITUTE(AD350,".",""),"")</f>
        <v/>
      </c>
      <c r="CX350" s="1175"/>
      <c r="CY350" s="1175"/>
      <c r="CZ350" s="1175"/>
      <c r="DA350" s="1176"/>
      <c r="DB350" s="1176"/>
    </row>
    <row s="1619" customFormat="1" customHeight="1" ht="16.5">
      <c r="A351" s="1440"/>
      <c r="B351" s="924"/>
      <c r="C351" s="1440"/>
      <c r="D351" s="1440"/>
      <c r="E351" s="794">
        <v>17.1</v>
      </c>
      <c r="F351" s="919" cm="1" t="str">
        <f t="array" ref="F351:F351">OFFSET(G351,-1,-1)</f>
        <v>2</v>
      </c>
      <c r="G351" s="962"/>
      <c r="H351" s="962"/>
      <c r="I351" s="962"/>
      <c r="J351" s="962"/>
      <c r="K351" s="962"/>
      <c r="L351" s="919" cm="1" t="str">
        <f t="array" ref="L351:L351">OFFSET(M351,-1,-1)</f>
        <v>false</v>
      </c>
      <c r="M351" s="962"/>
      <c r="N351" s="962"/>
      <c r="O351" s="962"/>
      <c r="P351" s="962"/>
      <c r="Q351" s="962"/>
      <c r="R351" s="1440"/>
      <c r="S351" s="156" cm="1" t="str">
        <f t="array" ref="S351:S351">OFFSET(T351,-1,-1)</f>
        <v>true</v>
      </c>
      <c r="T351" s="1440"/>
      <c r="U351" s="816">
        <f>AND(S351,IF(ISBLANK(T351),TRUE,T351))</f>
        <v>1</v>
      </c>
      <c r="V351" s="1440"/>
      <c r="W351" s="1440"/>
      <c r="X351" s="1440"/>
      <c r="Y351" s="1440"/>
      <c r="Z351" s="1440"/>
      <c r="AA351" s="817"/>
      <c r="AB351" s="1491" t="s">
        <v>826</v>
      </c>
      <c r="AC351" s="1619"/>
      <c r="AD351" s="170" t="s">
        <v>827</v>
      </c>
      <c r="AE351" s="1494" t="s">
        <v>828</v>
      </c>
      <c r="AF351" s="320"/>
      <c r="AG351" s="1007"/>
      <c r="AH351" s="858"/>
      <c r="AI351" s="860"/>
      <c r="AJ351" s="860"/>
      <c r="AK351" s="860"/>
      <c r="AL351" s="860"/>
      <c r="AM351" s="860"/>
      <c r="AN351" s="860"/>
      <c r="AO351" s="860"/>
      <c r="AP351" s="860"/>
      <c r="AQ351" s="860"/>
      <c r="AR351" s="860"/>
      <c r="AS351" s="860"/>
      <c r="AT351" s="860"/>
      <c r="AU351" s="860"/>
      <c r="AV351" s="860"/>
      <c r="AW351" s="860"/>
      <c r="AX351" s="860"/>
      <c r="AY351" s="860"/>
      <c r="AZ351" s="860"/>
      <c r="BA351" s="860"/>
      <c r="BB351" s="860"/>
      <c r="BC351" s="860"/>
      <c r="BD351" s="860"/>
      <c r="BE351" s="860"/>
      <c r="BF351" s="860"/>
      <c r="BG351" s="860"/>
      <c r="BH351" s="860"/>
      <c r="BI351" s="860"/>
      <c r="BJ351" s="860"/>
      <c r="BK351" s="860"/>
      <c r="BL351" s="860"/>
      <c r="BM351" s="860"/>
      <c r="BN351" s="860"/>
      <c r="BO351" s="860"/>
      <c r="BP351" s="860"/>
      <c r="BQ351" s="860"/>
      <c r="BR351" s="860"/>
      <c r="BS351" s="860"/>
      <c r="BT351" s="860"/>
      <c r="BU351" s="860"/>
      <c r="BV351" s="860"/>
      <c r="BW351" s="860"/>
      <c r="BX351" s="860"/>
      <c r="BY351" s="860"/>
      <c r="BZ351" s="860"/>
      <c r="CA351" s="860"/>
      <c r="CB351" s="860"/>
      <c r="CC351" s="860"/>
      <c r="CD351" s="860"/>
      <c r="CE351" s="860"/>
      <c r="CF351" s="860"/>
      <c r="CG351" s="860"/>
      <c r="CH351" s="860"/>
      <c r="CI351" s="860"/>
      <c r="CJ351" s="860"/>
      <c r="CK351" s="860"/>
      <c r="CL351" s="860"/>
      <c r="CM351" s="860"/>
      <c r="CN351" s="860"/>
      <c r="CO351" s="860"/>
      <c r="CP351" s="860"/>
      <c r="CQ351" s="860"/>
      <c r="CR351" s="860"/>
      <c r="CS351" s="860"/>
      <c r="CT351" s="1730"/>
      <c r="CU351" s="1619"/>
      <c r="CV351" s="1619"/>
      <c r="CW351" s="1170" t="s">
        <v>829</v>
      </c>
      <c r="CX351" s="1175"/>
      <c r="CY351" s="1175"/>
      <c r="CZ351" s="1175"/>
      <c r="DA351" s="1176"/>
      <c r="DB351" s="1176"/>
    </row>
    <row s="1619" customFormat="1" customHeight="1" ht="16.5" hidden="1">
      <c r="E352" s="794">
        <v>17.1</v>
      </c>
      <c r="F352" s="919" cm="1" t="str">
        <f t="array" ref="F352:F352">OFFSET(G352,-1,-1)</f>
        <v>2</v>
      </c>
      <c r="L352" s="919" cm="1" t="str">
        <f t="array" ref="L352:L352">OFFSET(M352,-1,-1)</f>
        <v>false</v>
      </c>
      <c r="S352" s="156" cm="1" t="str">
        <f t="array" ref="S352:S352">OFFSET(T352,-1,-1)</f>
        <v>true</v>
      </c>
      <c r="T352" s="156">
        <f>AD352&lt;&gt;"30.0"</f>
        <v>0</v>
      </c>
      <c r="U352" s="816">
        <f>AND(S352,IF(ISBLANK(T352),TRUE,T352))</f>
        <v>0</v>
      </c>
      <c r="X352" s="156" t="s">
        <v>233</v>
      </c>
      <c r="AB352" s="1492"/>
      <c r="AD352" s="157" t="s">
        <v>830</v>
      </c>
      <c r="AE352" s="971"/>
      <c r="AF352" s="622"/>
      <c r="AG352" s="856" t="s">
        <v>490</v>
      </c>
      <c r="AH352" s="90"/>
      <c r="AI352" s="94"/>
      <c r="AJ352" s="94"/>
      <c r="AK352" s="94"/>
      <c r="AL352" s="860"/>
      <c r="AM352" s="94"/>
      <c r="AN352" s="94"/>
      <c r="AO352" s="860"/>
      <c r="AP352" s="981"/>
      <c r="AQ352" s="981"/>
      <c r="AR352" s="860"/>
      <c r="AS352" s="981"/>
      <c r="AT352" s="981"/>
      <c r="AU352" s="860"/>
      <c r="AV352" s="981"/>
      <c r="AW352" s="981"/>
      <c r="AX352" s="860"/>
      <c r="AY352" s="981"/>
      <c r="AZ352" s="981"/>
      <c r="BA352" s="860"/>
      <c r="BB352" s="94"/>
      <c r="BC352" s="94"/>
      <c r="BD352" s="860"/>
      <c r="BE352" s="94"/>
      <c r="BF352" s="94"/>
      <c r="BG352" s="860"/>
      <c r="BH352" s="94"/>
      <c r="BI352" s="94"/>
      <c r="BJ352" s="860"/>
      <c r="BK352" s="94"/>
      <c r="BL352" s="94"/>
      <c r="BM352" s="860"/>
      <c r="BN352" s="94"/>
      <c r="BO352" s="94"/>
      <c r="BP352" s="860"/>
      <c r="BQ352" s="981"/>
      <c r="BR352" s="981"/>
      <c r="BS352" s="860"/>
      <c r="BT352" s="981"/>
      <c r="BU352" s="981"/>
      <c r="BV352" s="860"/>
      <c r="BW352" s="981"/>
      <c r="BX352" s="981"/>
      <c r="BY352" s="860"/>
      <c r="BZ352" s="981"/>
      <c r="CA352" s="981"/>
      <c r="CB352" s="860"/>
      <c r="CC352" s="981"/>
      <c r="CD352" s="981"/>
      <c r="CE352" s="860"/>
      <c r="CF352" s="94"/>
      <c r="CG352" s="94"/>
      <c r="CH352" s="860"/>
      <c r="CI352" s="94"/>
      <c r="CJ352" s="94"/>
      <c r="CK352" s="860"/>
      <c r="CL352" s="94"/>
      <c r="CM352" s="94"/>
      <c r="CN352" s="860"/>
      <c r="CO352" s="94"/>
      <c r="CP352" s="94"/>
      <c r="CQ352" s="860"/>
      <c r="CR352" s="94"/>
      <c r="CS352" s="94"/>
      <c r="CT352" s="73"/>
      <c r="CW352" s="1170" t="s">
        <v>829</v>
      </c>
      <c r="CX352" s="1175" t="s">
        <v>787</v>
      </c>
      <c r="CY352" s="1179" cm="1" t="str">
        <f t="array" ref="CY352:CY352">AE352</f>
        <v>0</v>
      </c>
      <c r="CZ352" s="1179" cm="1" t="str">
        <f t="array" ref="CZ352:CZ352">AF352</f>
        <v>0</v>
      </c>
      <c r="DA352" s="1176"/>
      <c r="DB352" s="1176"/>
    </row>
    <row s="1619" customFormat="1" customHeight="1" ht="16.5">
      <c r="A353" s="1619"/>
      <c r="B353" s="1619"/>
      <c r="C353" s="1619"/>
      <c r="D353" s="1619"/>
      <c r="E353" s="794">
        <v>17.1</v>
      </c>
      <c r="F353" s="919" cm="1" t="str">
        <f t="array" ref="F353:F353">OFFSET(G353,-1,-1)</f>
        <v>2</v>
      </c>
      <c r="G353" s="1619"/>
      <c r="H353" s="1619"/>
      <c r="I353" s="1619"/>
      <c r="J353" s="1619"/>
      <c r="K353" s="1619"/>
      <c r="L353" s="919" cm="1" t="str">
        <f t="array" ref="L353:L353">OFFSET(M353,-1,-1)</f>
        <v>false</v>
      </c>
      <c r="M353" s="1619"/>
      <c r="N353" s="1619"/>
      <c r="O353" s="1619"/>
      <c r="P353" s="1619"/>
      <c r="Q353" s="1619"/>
      <c r="R353" s="1619"/>
      <c r="S353" s="156" cm="1" t="str">
        <f t="array" ref="S353:S353">OFFSET(T353,-1,-1)</f>
        <v>true</v>
      </c>
      <c r="T353" s="156">
        <f>AD353&lt;&gt;"30.0"</f>
        <v>1</v>
      </c>
      <c r="U353" s="816">
        <f>AND(S353,IF(ISBLANK(T353),TRUE,T353))</f>
        <v>1</v>
      </c>
      <c r="V353" s="1619"/>
      <c r="W353" s="1619"/>
      <c r="X353" s="156" t="str">
        <f>'Топливо 4.4'!$AE$349&amp;'Топливо 4.4'!$AF$349</f>
        <v>Уголь бурыйБ</v>
      </c>
      <c r="Y353" s="1619"/>
      <c r="Z353" s="1619"/>
      <c r="AA353" s="1619"/>
      <c r="AB353" s="1492"/>
      <c r="AC353" s="1619"/>
      <c r="AD353" s="157" t="s">
        <v>910</v>
      </c>
      <c r="AE353" s="971" cm="1" t="str">
        <f t="array" ref="AE353:AE353">IF(ISBLANK('Топливо 4.4'!$AE$349),"",'Топливо 4.4'!$AE$349)</f>
        <v>Уголь бурый</v>
      </c>
      <c r="AF353" s="622" cm="1" t="str">
        <f t="array" ref="AF353:AF353">IF(ISBLANK('Топливо 4.4'!$AF$349),"",'Топливо 4.4'!$AF$349)</f>
        <v>Б</v>
      </c>
      <c r="AG353" s="856" t="s">
        <v>490</v>
      </c>
      <c r="AH353" s="1772"/>
      <c r="AI353" s="1777"/>
      <c r="AJ353" s="1777"/>
      <c r="AK353" s="1777"/>
      <c r="AL353" s="860"/>
      <c r="AM353" s="1777"/>
      <c r="AN353" s="1777"/>
      <c r="AO353" s="860"/>
      <c r="AP353" s="981"/>
      <c r="AQ353" s="981"/>
      <c r="AR353" s="860"/>
      <c r="AS353" s="981"/>
      <c r="AT353" s="981"/>
      <c r="AU353" s="860"/>
      <c r="AV353" s="981"/>
      <c r="AW353" s="981"/>
      <c r="AX353" s="860"/>
      <c r="AY353" s="981"/>
      <c r="AZ353" s="981"/>
      <c r="BA353" s="860"/>
      <c r="BB353" s="1777"/>
      <c r="BC353" s="1777"/>
      <c r="BD353" s="860"/>
      <c r="BE353" s="1777"/>
      <c r="BF353" s="1777"/>
      <c r="BG353" s="860"/>
      <c r="BH353" s="1777"/>
      <c r="BI353" s="1777"/>
      <c r="BJ353" s="860"/>
      <c r="BK353" s="1777"/>
      <c r="BL353" s="1777"/>
      <c r="BM353" s="860"/>
      <c r="BN353" s="1777"/>
      <c r="BO353" s="1777"/>
      <c r="BP353" s="860"/>
      <c r="BQ353" s="981"/>
      <c r="BR353" s="981"/>
      <c r="BS353" s="860"/>
      <c r="BT353" s="981"/>
      <c r="BU353" s="981"/>
      <c r="BV353" s="860"/>
      <c r="BW353" s="981"/>
      <c r="BX353" s="981"/>
      <c r="BY353" s="860"/>
      <c r="BZ353" s="981"/>
      <c r="CA353" s="981"/>
      <c r="CB353" s="860"/>
      <c r="CC353" s="981"/>
      <c r="CD353" s="981"/>
      <c r="CE353" s="860"/>
      <c r="CF353" s="1777"/>
      <c r="CG353" s="1777"/>
      <c r="CH353" s="860"/>
      <c r="CI353" s="1777"/>
      <c r="CJ353" s="1777"/>
      <c r="CK353" s="860"/>
      <c r="CL353" s="1777"/>
      <c r="CM353" s="1777"/>
      <c r="CN353" s="860"/>
      <c r="CO353" s="1777"/>
      <c r="CP353" s="1777"/>
      <c r="CQ353" s="860"/>
      <c r="CR353" s="1777"/>
      <c r="CS353" s="1777"/>
      <c r="CT353" s="1730"/>
      <c r="CU353" s="1619"/>
      <c r="CV353" s="1619"/>
      <c r="CW353" s="1170" t="s">
        <v>829</v>
      </c>
      <c r="CX353" s="1175" t="s">
        <v>787</v>
      </c>
      <c r="CY353" s="1179" cm="1" t="str">
        <f t="array" ref="CY353:CY353">AE353</f>
        <v>Уголь бурый</v>
      </c>
      <c r="CZ353" s="1179" cm="1" t="str">
        <f t="array" ref="CZ353:CZ353">AF353</f>
        <v>Б</v>
      </c>
      <c r="DA353" s="1176"/>
      <c r="DB353" s="1176"/>
    </row>
    <row s="1619" customFormat="1" customHeight="1" ht="15" hidden="1">
      <c r="A354" s="1440"/>
      <c r="B354" s="924"/>
      <c r="C354" s="1440"/>
      <c r="D354" s="1440"/>
      <c r="E354" s="794">
        <v>0</v>
      </c>
      <c r="F354" s="919" cm="1" t="str">
        <f t="array" ref="F354:F354">OFFSET(G354,-1,-1)</f>
        <v>2</v>
      </c>
      <c r="G354" s="962"/>
      <c r="H354" s="962"/>
      <c r="I354" s="962"/>
      <c r="J354" s="962"/>
      <c r="K354" s="962"/>
      <c r="L354" s="919" cm="1" t="str">
        <f t="array" ref="L354:L354">OFFSET(M354,-1,-1)</f>
        <v>false</v>
      </c>
      <c r="M354" s="962"/>
      <c r="N354" s="962"/>
      <c r="O354" s="962"/>
      <c r="P354" s="962"/>
      <c r="Q354" s="962"/>
      <c r="R354" s="1440"/>
      <c r="S354" s="156" cm="1" t="str">
        <f t="array" ref="S354:S354">OFFSET(T354,-1,-1)</f>
        <v>true</v>
      </c>
      <c r="T354" s="1440"/>
      <c r="U354" s="816">
        <f>AND(S354,IF(ISBLANK(T354),TRUE,T354))</f>
        <v>1</v>
      </c>
      <c r="V354" s="1440"/>
      <c r="W354" s="1440"/>
      <c r="X354" s="970" t="str">
        <f>"{                  
         funcDyn: 'msg1',
         blok: 'blok_2',
         wsCross: 'Топливо 4.4',
         linkFormula: 'AE-AE#AF-AF',
         levelDyn: "&amp;Y275&amp;"
}"</f>
        <v>{                  
         funcDyn: 'msg1',
         blok: 'blok_2',
         wsCross: 'Топливо 4.4',
         linkFormula: 'AE-AE#AF-AF',
         levelDyn: 2
}</v>
      </c>
      <c r="Y354" s="1440"/>
      <c r="Z354" s="1440"/>
      <c r="AA354" s="817"/>
      <c r="AB354" s="1492"/>
      <c r="AC354" s="1619"/>
      <c r="AD354" s="973"/>
      <c r="AE354" s="972" t="s">
        <v>235</v>
      </c>
      <c r="AF354" s="871"/>
      <c r="AG354" s="856"/>
      <c r="AH354" s="873"/>
      <c r="AI354" s="95"/>
      <c r="AJ354" s="95"/>
      <c r="AK354" s="95"/>
      <c r="AL354" s="860"/>
      <c r="AM354" s="95"/>
      <c r="AN354" s="95"/>
      <c r="AO354" s="860"/>
      <c r="AP354" s="95"/>
      <c r="AQ354" s="95"/>
      <c r="AR354" s="860"/>
      <c r="AS354" s="95"/>
      <c r="AT354" s="95"/>
      <c r="AU354" s="860"/>
      <c r="AV354" s="95"/>
      <c r="AW354" s="95"/>
      <c r="AX354" s="860"/>
      <c r="AY354" s="95"/>
      <c r="AZ354" s="95"/>
      <c r="BA354" s="860"/>
      <c r="BB354" s="95"/>
      <c r="BC354" s="95"/>
      <c r="BD354" s="860"/>
      <c r="BE354" s="95"/>
      <c r="BF354" s="95"/>
      <c r="BG354" s="860"/>
      <c r="BH354" s="95"/>
      <c r="BI354" s="95"/>
      <c r="BJ354" s="860"/>
      <c r="BK354" s="95"/>
      <c r="BL354" s="95"/>
      <c r="BM354" s="860"/>
      <c r="BN354" s="95"/>
      <c r="BO354" s="95"/>
      <c r="BP354" s="860"/>
      <c r="BQ354" s="95"/>
      <c r="BR354" s="95"/>
      <c r="BS354" s="860"/>
      <c r="BT354" s="95"/>
      <c r="BU354" s="95"/>
      <c r="BV354" s="860"/>
      <c r="BW354" s="95"/>
      <c r="BX354" s="95"/>
      <c r="BY354" s="860"/>
      <c r="BZ354" s="95"/>
      <c r="CA354" s="95"/>
      <c r="CB354" s="860"/>
      <c r="CC354" s="95"/>
      <c r="CD354" s="95"/>
      <c r="CE354" s="860"/>
      <c r="CF354" s="95"/>
      <c r="CG354" s="95"/>
      <c r="CH354" s="860"/>
      <c r="CI354" s="95"/>
      <c r="CJ354" s="95"/>
      <c r="CK354" s="860"/>
      <c r="CL354" s="95"/>
      <c r="CM354" s="95"/>
      <c r="CN354" s="860"/>
      <c r="CO354" s="95"/>
      <c r="CP354" s="95"/>
      <c r="CQ354" s="860"/>
      <c r="CR354" s="95"/>
      <c r="CS354" s="95"/>
      <c r="CT354" s="91"/>
      <c r="CU354" s="1619"/>
      <c r="CV354" s="1619"/>
      <c r="CW354" s="1170" t="str">
        <f>IF(AND(ISNUMBER(VALUE(TRIM(SUBSTITUTE(AD354,".","")))),TRIM(SUBSTITUTE(AD354,".",""))&lt;&gt;""),"P"&amp;SUBSTITUTE(AD354,".",""),"")</f>
        <v/>
      </c>
      <c r="CX354" s="1175"/>
      <c r="CY354" s="1175"/>
      <c r="CZ354" s="1175"/>
      <c r="DA354" s="1176"/>
      <c r="DB354" s="1176"/>
    </row>
    <row s="1619" customFormat="1" customHeight="1" ht="16.5">
      <c r="A355" s="1440"/>
      <c r="B355" s="924"/>
      <c r="C355" s="1440"/>
      <c r="D355" s="1440"/>
      <c r="E355" s="794">
        <v>17.1</v>
      </c>
      <c r="F355" s="919" cm="1" t="str">
        <f t="array" ref="F355:F355">OFFSET(G355,-1,-1)</f>
        <v>2</v>
      </c>
      <c r="G355" s="962"/>
      <c r="H355" s="962"/>
      <c r="I355" s="962"/>
      <c r="J355" s="962"/>
      <c r="K355" s="962"/>
      <c r="L355" s="919" cm="1" t="str">
        <f t="array" ref="L355:L355">OFFSET(M355,-1,-1)</f>
        <v>false</v>
      </c>
      <c r="M355" s="962"/>
      <c r="N355" s="962"/>
      <c r="O355" s="962"/>
      <c r="P355" s="962"/>
      <c r="Q355" s="962"/>
      <c r="R355" s="1440"/>
      <c r="S355" s="156" cm="1" t="str">
        <f t="array" ref="S355:S355">OFFSET(T355,-1,-1)</f>
        <v>true</v>
      </c>
      <c r="T355" s="1440"/>
      <c r="U355" s="816">
        <f>AND(S355,IF(ISBLANK(T355),TRUE,T355))</f>
        <v>1</v>
      </c>
      <c r="V355" s="1440"/>
      <c r="W355" s="1440"/>
      <c r="X355" s="1440"/>
      <c r="Y355" s="1440"/>
      <c r="Z355" s="1440"/>
      <c r="AA355" s="817"/>
      <c r="AB355" s="1492"/>
      <c r="AC355" s="1619"/>
      <c r="AD355" s="170" t="s">
        <v>831</v>
      </c>
      <c r="AE355" s="1494" t="s">
        <v>832</v>
      </c>
      <c r="AF355" s="320"/>
      <c r="AG355" s="1007"/>
      <c r="AH355" s="858"/>
      <c r="AI355" s="860"/>
      <c r="AJ355" s="860"/>
      <c r="AK355" s="860"/>
      <c r="AL355" s="860"/>
      <c r="AM355" s="860"/>
      <c r="AN355" s="860"/>
      <c r="AO355" s="860"/>
      <c r="AP355" s="860"/>
      <c r="AQ355" s="860"/>
      <c r="AR355" s="860"/>
      <c r="AS355" s="860"/>
      <c r="AT355" s="860"/>
      <c r="AU355" s="860"/>
      <c r="AV355" s="860"/>
      <c r="AW355" s="860"/>
      <c r="AX355" s="860"/>
      <c r="AY355" s="860"/>
      <c r="AZ355" s="860"/>
      <c r="BA355" s="860"/>
      <c r="BB355" s="860"/>
      <c r="BC355" s="860"/>
      <c r="BD355" s="860"/>
      <c r="BE355" s="860"/>
      <c r="BF355" s="860"/>
      <c r="BG355" s="860"/>
      <c r="BH355" s="860"/>
      <c r="BI355" s="860"/>
      <c r="BJ355" s="860"/>
      <c r="BK355" s="860"/>
      <c r="BL355" s="860"/>
      <c r="BM355" s="860"/>
      <c r="BN355" s="860"/>
      <c r="BO355" s="860"/>
      <c r="BP355" s="860"/>
      <c r="BQ355" s="860"/>
      <c r="BR355" s="860"/>
      <c r="BS355" s="860"/>
      <c r="BT355" s="860"/>
      <c r="BU355" s="860"/>
      <c r="BV355" s="860"/>
      <c r="BW355" s="860"/>
      <c r="BX355" s="860"/>
      <c r="BY355" s="860"/>
      <c r="BZ355" s="860"/>
      <c r="CA355" s="860"/>
      <c r="CB355" s="860"/>
      <c r="CC355" s="860"/>
      <c r="CD355" s="860"/>
      <c r="CE355" s="860"/>
      <c r="CF355" s="860"/>
      <c r="CG355" s="860"/>
      <c r="CH355" s="860"/>
      <c r="CI355" s="860"/>
      <c r="CJ355" s="860"/>
      <c r="CK355" s="860"/>
      <c r="CL355" s="860"/>
      <c r="CM355" s="860"/>
      <c r="CN355" s="860"/>
      <c r="CO355" s="860"/>
      <c r="CP355" s="860"/>
      <c r="CQ355" s="860"/>
      <c r="CR355" s="860"/>
      <c r="CS355" s="860"/>
      <c r="CT355" s="1730"/>
      <c r="CU355" s="1619"/>
      <c r="CV355" s="1619"/>
      <c r="CW355" s="1170" t="s">
        <v>833</v>
      </c>
      <c r="CX355" s="1175"/>
      <c r="CY355" s="1175"/>
      <c r="CZ355" s="1175"/>
      <c r="DA355" s="1176"/>
      <c r="DB355" s="1176"/>
    </row>
    <row s="1619" customFormat="1" customHeight="1" ht="16.5" hidden="1">
      <c r="E356" s="794">
        <v>17.1</v>
      </c>
      <c r="F356" s="919" cm="1" t="str">
        <f t="array" ref="F356:F356">OFFSET(G356,-1,-1)</f>
        <v>2</v>
      </c>
      <c r="L356" s="919" cm="1" t="str">
        <f t="array" ref="L356:L356">OFFSET(M356,-1,-1)</f>
        <v>false</v>
      </c>
      <c r="S356" s="156" cm="1" t="str">
        <f t="array" ref="S356:S356">OFFSET(T356,-1,-1)</f>
        <v>true</v>
      </c>
      <c r="T356" s="156">
        <f>AD356&lt;&gt;"31.0"</f>
        <v>0</v>
      </c>
      <c r="U356" s="816">
        <f>AND(S356,IF(ISBLANK(T356),TRUE,T356))</f>
        <v>0</v>
      </c>
      <c r="X356" s="156" t="s">
        <v>233</v>
      </c>
      <c r="AB356" s="1492"/>
      <c r="AD356" s="157" t="s">
        <v>834</v>
      </c>
      <c r="AE356" s="971"/>
      <c r="AF356" s="622"/>
      <c r="AG356" s="1067" t="str">
        <f>"руб./"&amp;_xlfn.IFERROR(INDEX(fuel_ed_izm_list,MATCH(AE356,fuel_list,0)),"")</f>
        <v>руб./</v>
      </c>
      <c r="AH356" s="86">
        <f>_xlfn.IFERROR(AH361/AH314,0)*1000</f>
        <v>0</v>
      </c>
      <c r="AI356" s="86">
        <f>_xlfn.IFERROR(AI361/AI314,0)*1000</f>
        <v>0</v>
      </c>
      <c r="AJ356" s="86">
        <f>_xlfn.IFERROR(AJ361/AJ314,0)*1000</f>
        <v>0</v>
      </c>
      <c r="AK356" s="86">
        <f>_xlfn.IFERROR(AK361/AK314,0)*1000</f>
        <v>0</v>
      </c>
      <c r="AL356" s="859">
        <f>_xlfn.IFERROR(AL361/AL314,0)*1000</f>
        <v>0</v>
      </c>
      <c r="AM356" s="87"/>
      <c r="AN356" s="87"/>
      <c r="AO356" s="859">
        <f>_xlfn.IFERROR(AO361/AO314,0)*1000</f>
        <v>0</v>
      </c>
      <c r="AP356" s="976"/>
      <c r="AQ356" s="976"/>
      <c r="AR356" s="859">
        <f>_xlfn.IFERROR(AR361/AR314,0)*1000</f>
        <v>0</v>
      </c>
      <c r="AS356" s="976"/>
      <c r="AT356" s="976"/>
      <c r="AU356" s="859">
        <f>_xlfn.IFERROR(AU361/AU314,0)*1000</f>
        <v>0</v>
      </c>
      <c r="AV356" s="976"/>
      <c r="AW356" s="976"/>
      <c r="AX356" s="859">
        <f>_xlfn.IFERROR(AX361/AX314,0)*1000</f>
        <v>0</v>
      </c>
      <c r="AY356" s="976"/>
      <c r="AZ356" s="976"/>
      <c r="BA356" s="859">
        <f>_xlfn.IFERROR(BA361/BA314,0)*1000</f>
        <v>0</v>
      </c>
      <c r="BB356" s="87"/>
      <c r="BC356" s="87"/>
      <c r="BD356" s="859">
        <f>_xlfn.IFERROR(BD361/BD314,0)*1000</f>
        <v>0</v>
      </c>
      <c r="BE356" s="87"/>
      <c r="BF356" s="87"/>
      <c r="BG356" s="859">
        <f>_xlfn.IFERROR(BG361/BG314,0)*1000</f>
        <v>0</v>
      </c>
      <c r="BH356" s="87"/>
      <c r="BI356" s="87"/>
      <c r="BJ356" s="859">
        <f>_xlfn.IFERROR(BJ361/BJ314,0)*1000</f>
        <v>0</v>
      </c>
      <c r="BK356" s="87"/>
      <c r="BL356" s="87"/>
      <c r="BM356" s="859">
        <f>_xlfn.IFERROR(BM361/BM314,0)*1000</f>
        <v>0</v>
      </c>
      <c r="BN356" s="87"/>
      <c r="BO356" s="87"/>
      <c r="BP356" s="859">
        <f>_xlfn.IFERROR(BP361/BP314,0)*1000</f>
        <v>0</v>
      </c>
      <c r="BQ356" s="976"/>
      <c r="BR356" s="976"/>
      <c r="BS356" s="859">
        <f>_xlfn.IFERROR(BS361/BS314,0)*1000</f>
        <v>0</v>
      </c>
      <c r="BT356" s="976"/>
      <c r="BU356" s="976"/>
      <c r="BV356" s="859">
        <f>_xlfn.IFERROR(BV361/BV314,0)*1000</f>
        <v>0</v>
      </c>
      <c r="BW356" s="976"/>
      <c r="BX356" s="976"/>
      <c r="BY356" s="859">
        <f>_xlfn.IFERROR(BY361/BY314,0)*1000</f>
        <v>0</v>
      </c>
      <c r="BZ356" s="976"/>
      <c r="CA356" s="976"/>
      <c r="CB356" s="859">
        <f>_xlfn.IFERROR(CB361/CB314,0)*1000</f>
        <v>0</v>
      </c>
      <c r="CC356" s="976"/>
      <c r="CD356" s="976"/>
      <c r="CE356" s="859">
        <f>_xlfn.IFERROR(CE361/CE314,0)*1000</f>
        <v>0</v>
      </c>
      <c r="CF356" s="87"/>
      <c r="CG356" s="87"/>
      <c r="CH356" s="859">
        <f>_xlfn.IFERROR(CH361/CH314,0)*1000</f>
        <v>0</v>
      </c>
      <c r="CI356" s="87"/>
      <c r="CJ356" s="87"/>
      <c r="CK356" s="859">
        <f>_xlfn.IFERROR(CK361/CK314,0)*1000</f>
        <v>0</v>
      </c>
      <c r="CL356" s="87"/>
      <c r="CM356" s="87"/>
      <c r="CN356" s="859">
        <f>_xlfn.IFERROR(CN361/CN314,0)*1000</f>
        <v>0</v>
      </c>
      <c r="CO356" s="87"/>
      <c r="CP356" s="87"/>
      <c r="CQ356" s="859">
        <f>_xlfn.IFERROR(CQ361/CQ314,0)*1000</f>
        <v>0</v>
      </c>
      <c r="CR356" s="87"/>
      <c r="CS356" s="87"/>
      <c r="CT356" s="73"/>
      <c r="CW356" s="1170" t="s">
        <v>833</v>
      </c>
      <c r="CX356" s="1175" t="s">
        <v>787</v>
      </c>
      <c r="CY356" s="1179" cm="1" t="str">
        <f t="array" ref="CY356:CY356">AE356</f>
        <v>0</v>
      </c>
      <c r="CZ356" s="1179" cm="1" t="str">
        <f t="array" ref="CZ356:CZ356">AF356</f>
        <v>0</v>
      </c>
      <c r="DA356" s="1176"/>
      <c r="DB356" s="1176"/>
    </row>
    <row s="1619" customFormat="1" customHeight="1" ht="16.5">
      <c r="A357" s="1619"/>
      <c r="B357" s="1619"/>
      <c r="C357" s="1619"/>
      <c r="D357" s="1619"/>
      <c r="E357" s="794">
        <v>17.1</v>
      </c>
      <c r="F357" s="919" cm="1" t="str">
        <f t="array" ref="F357:F357">OFFSET(G357,-1,-1)</f>
        <v>2</v>
      </c>
      <c r="G357" s="1619"/>
      <c r="H357" s="1619"/>
      <c r="I357" s="1619"/>
      <c r="J357" s="1619"/>
      <c r="K357" s="1619"/>
      <c r="L357" s="919" cm="1" t="str">
        <f t="array" ref="L357:L357">OFFSET(M357,-1,-1)</f>
        <v>false</v>
      </c>
      <c r="M357" s="1619"/>
      <c r="N357" s="1619"/>
      <c r="O357" s="1619"/>
      <c r="P357" s="1619"/>
      <c r="Q357" s="1619"/>
      <c r="R357" s="1619"/>
      <c r="S357" s="156" cm="1" t="str">
        <f t="array" ref="S357:S357">OFFSET(T357,-1,-1)</f>
        <v>true</v>
      </c>
      <c r="T357" s="156">
        <f>AD357&lt;&gt;"31.0"</f>
        <v>1</v>
      </c>
      <c r="U357" s="816">
        <f>AND(S357,IF(ISBLANK(T357),TRUE,T357))</f>
        <v>1</v>
      </c>
      <c r="V357" s="1619"/>
      <c r="W357" s="1619"/>
      <c r="X357" s="156" t="str">
        <f>'Топливо 4.4'!$AE$353&amp;'Топливо 4.4'!$AF$353</f>
        <v>Уголь бурыйБ</v>
      </c>
      <c r="Y357" s="1619"/>
      <c r="Z357" s="1619"/>
      <c r="AA357" s="1619"/>
      <c r="AB357" s="1492"/>
      <c r="AC357" s="1619"/>
      <c r="AD357" s="157" t="s">
        <v>911</v>
      </c>
      <c r="AE357" s="971" cm="1" t="str">
        <f t="array" ref="AE357:AE357">IF(ISBLANK('Топливо 4.4'!$AE$353),"",'Топливо 4.4'!$AE$353)</f>
        <v>Уголь бурый</v>
      </c>
      <c r="AF357" s="622" cm="1" t="str">
        <f t="array" ref="AF357:AF357">IF(ISBLANK('Топливо 4.4'!$AF$353),"",'Топливо 4.4'!$AF$353)</f>
        <v>Б</v>
      </c>
      <c r="AG357" s="1067" t="str">
        <f>"руб./"&amp;_xlfn.IFERROR(INDEX(fuel_ed_izm_list,MATCH(AE357,fuel_list,0)),"")</f>
        <v>руб./тнт</v>
      </c>
      <c r="AH357" s="1768">
        <f>_xlfn.IFERROR(AH362/AH315,0)*1000</f>
        <v>0</v>
      </c>
      <c r="AI357" s="1768">
        <f>_xlfn.IFERROR(AI362/AI315,0)*1000</f>
        <v>0</v>
      </c>
      <c r="AJ357" s="1768">
        <f>_xlfn.IFERROR(AJ362/AJ315,0)*1000</f>
        <v>0</v>
      </c>
      <c r="AK357" s="1768">
        <f>_xlfn.IFERROR(AK362/AK315,0)*1000</f>
        <v>0</v>
      </c>
      <c r="AL357" s="859">
        <f>_xlfn.IFERROR(AL362/AL315,0)*1000</f>
        <v>0</v>
      </c>
      <c r="AM357" s="1766"/>
      <c r="AN357" s="1766"/>
      <c r="AO357" s="859">
        <f>_xlfn.IFERROR(AO362/AO315,0)*1000</f>
        <v>0</v>
      </c>
      <c r="AP357" s="976"/>
      <c r="AQ357" s="976"/>
      <c r="AR357" s="859">
        <f>_xlfn.IFERROR(AR362/AR315,0)*1000</f>
        <v>0</v>
      </c>
      <c r="AS357" s="976"/>
      <c r="AT357" s="976"/>
      <c r="AU357" s="859">
        <f>_xlfn.IFERROR(AU362/AU315,0)*1000</f>
        <v>0</v>
      </c>
      <c r="AV357" s="976"/>
      <c r="AW357" s="976"/>
      <c r="AX357" s="859">
        <f>_xlfn.IFERROR(AX362/AX315,0)*1000</f>
        <v>0</v>
      </c>
      <c r="AY357" s="976"/>
      <c r="AZ357" s="976"/>
      <c r="BA357" s="859">
        <f>_xlfn.IFERROR(BA362/BA315,0)*1000</f>
        <v>0</v>
      </c>
      <c r="BB357" s="1766"/>
      <c r="BC357" s="1766"/>
      <c r="BD357" s="859">
        <f>_xlfn.IFERROR(BD362/BD315,0)*1000</f>
        <v>0</v>
      </c>
      <c r="BE357" s="1766"/>
      <c r="BF357" s="1766"/>
      <c r="BG357" s="859">
        <f>_xlfn.IFERROR(BG362/BG315,0)*1000</f>
        <v>0</v>
      </c>
      <c r="BH357" s="1766"/>
      <c r="BI357" s="1766"/>
      <c r="BJ357" s="859">
        <f>_xlfn.IFERROR(BJ362/BJ315,0)*1000</f>
        <v>0</v>
      </c>
      <c r="BK357" s="1766"/>
      <c r="BL357" s="1766"/>
      <c r="BM357" s="859">
        <f>_xlfn.IFERROR(BM362/BM315,0)*1000</f>
        <v>0</v>
      </c>
      <c r="BN357" s="1766"/>
      <c r="BO357" s="1766"/>
      <c r="BP357" s="859">
        <f>_xlfn.IFERROR(BP362/BP315,0)*1000</f>
        <v>0</v>
      </c>
      <c r="BQ357" s="976"/>
      <c r="BR357" s="976"/>
      <c r="BS357" s="859">
        <f>_xlfn.IFERROR(BS362/BS315,0)*1000</f>
        <v>0</v>
      </c>
      <c r="BT357" s="976"/>
      <c r="BU357" s="976"/>
      <c r="BV357" s="859">
        <f>_xlfn.IFERROR(BV362/BV315,0)*1000</f>
        <v>0</v>
      </c>
      <c r="BW357" s="976"/>
      <c r="BX357" s="976"/>
      <c r="BY357" s="859">
        <f>_xlfn.IFERROR(BY362/BY315,0)*1000</f>
        <v>0</v>
      </c>
      <c r="BZ357" s="976"/>
      <c r="CA357" s="976"/>
      <c r="CB357" s="859">
        <f>_xlfn.IFERROR(CB362/CB315,0)*1000</f>
        <v>0</v>
      </c>
      <c r="CC357" s="976"/>
      <c r="CD357" s="976"/>
      <c r="CE357" s="859">
        <f>_xlfn.IFERROR(CE362/CE315,0)*1000</f>
        <v>0</v>
      </c>
      <c r="CF357" s="1766"/>
      <c r="CG357" s="1766"/>
      <c r="CH357" s="859">
        <f>_xlfn.IFERROR(CH362/CH315,0)*1000</f>
        <v>0</v>
      </c>
      <c r="CI357" s="1766"/>
      <c r="CJ357" s="1766"/>
      <c r="CK357" s="859">
        <f>_xlfn.IFERROR(CK362/CK315,0)*1000</f>
        <v>0</v>
      </c>
      <c r="CL357" s="1766"/>
      <c r="CM357" s="1766"/>
      <c r="CN357" s="859">
        <f>_xlfn.IFERROR(CN362/CN315,0)*1000</f>
        <v>0</v>
      </c>
      <c r="CO357" s="1766"/>
      <c r="CP357" s="1766"/>
      <c r="CQ357" s="859">
        <f>_xlfn.IFERROR(CQ362/CQ315,0)*1000</f>
        <v>0</v>
      </c>
      <c r="CR357" s="1766"/>
      <c r="CS357" s="1766"/>
      <c r="CT357" s="1730"/>
      <c r="CU357" s="1619"/>
      <c r="CV357" s="1619"/>
      <c r="CW357" s="1170" t="s">
        <v>833</v>
      </c>
      <c r="CX357" s="1175" t="s">
        <v>787</v>
      </c>
      <c r="CY357" s="1179" cm="1" t="str">
        <f t="array" ref="CY357:CY357">AE357</f>
        <v>Уголь бурый</v>
      </c>
      <c r="CZ357" s="1179" cm="1" t="str">
        <f t="array" ref="CZ357:CZ357">AF357</f>
        <v>Б</v>
      </c>
      <c r="DA357" s="1176"/>
      <c r="DB357" s="1176"/>
    </row>
    <row s="1619" customFormat="1" customHeight="1" ht="15" hidden="1">
      <c r="A358" s="1440"/>
      <c r="B358" s="924"/>
      <c r="C358" s="1440"/>
      <c r="D358" s="1440"/>
      <c r="E358" s="794">
        <v>0</v>
      </c>
      <c r="F358" s="919" cm="1" t="str">
        <f t="array" ref="F358:F358">OFFSET(G358,-1,-1)</f>
        <v>2</v>
      </c>
      <c r="G358" s="962"/>
      <c r="H358" s="962"/>
      <c r="I358" s="962"/>
      <c r="J358" s="962"/>
      <c r="K358" s="962"/>
      <c r="L358" s="919" cm="1" t="str">
        <f t="array" ref="L358:L358">OFFSET(M358,-1,-1)</f>
        <v>false</v>
      </c>
      <c r="M358" s="962"/>
      <c r="N358" s="962"/>
      <c r="O358" s="962"/>
      <c r="P358" s="962"/>
      <c r="Q358" s="962"/>
      <c r="R358" s="1440"/>
      <c r="S358" s="156" cm="1" t="str">
        <f t="array" ref="S358:S358">OFFSET(T358,-1,-1)</f>
        <v>true</v>
      </c>
      <c r="T358" s="1440"/>
      <c r="U358" s="816">
        <f>AND(S358,IF(ISBLANK(T358),TRUE,T358))</f>
        <v>1</v>
      </c>
      <c r="V358" s="1440"/>
      <c r="W358" s="1440"/>
      <c r="X358" s="970" t="str">
        <f>"{                  
         funcDyn: 'msg1',
         blok: 'blok_2',
         wsCross: 'Топливо 4.4',
         linkFormula: 'AE-AE#AF-AF',
         levelDyn: "&amp;Y275&amp;"
}"</f>
        <v>{                  
         funcDyn: 'msg1',
         blok: 'blok_2',
         wsCross: 'Топливо 4.4',
         linkFormula: 'AE-AE#AF-AF',
         levelDyn: 2
}</v>
      </c>
      <c r="Y358" s="1440"/>
      <c r="Z358" s="1440"/>
      <c r="AA358" s="817"/>
      <c r="AB358" s="1492"/>
      <c r="AC358" s="1619"/>
      <c r="AD358" s="973"/>
      <c r="AE358" s="972" t="s">
        <v>235</v>
      </c>
      <c r="AF358" s="871"/>
      <c r="AG358" s="856"/>
      <c r="AH358" s="860"/>
      <c r="AI358" s="860"/>
      <c r="AJ358" s="860"/>
      <c r="AK358" s="860"/>
      <c r="AL358" s="860"/>
      <c r="AM358" s="860"/>
      <c r="AN358" s="860"/>
      <c r="AO358" s="860"/>
      <c r="AP358" s="860"/>
      <c r="AQ358" s="860"/>
      <c r="AR358" s="860"/>
      <c r="AS358" s="860"/>
      <c r="AT358" s="860"/>
      <c r="AU358" s="860"/>
      <c r="AV358" s="860"/>
      <c r="AW358" s="860"/>
      <c r="AX358" s="860"/>
      <c r="AY358" s="860"/>
      <c r="AZ358" s="860"/>
      <c r="BA358" s="860"/>
      <c r="BB358" s="860"/>
      <c r="BC358" s="860"/>
      <c r="BD358" s="860"/>
      <c r="BE358" s="860"/>
      <c r="BF358" s="860"/>
      <c r="BG358" s="860"/>
      <c r="BH358" s="860"/>
      <c r="BI358" s="860"/>
      <c r="BJ358" s="860"/>
      <c r="BK358" s="860"/>
      <c r="BL358" s="860"/>
      <c r="BM358" s="860"/>
      <c r="BN358" s="860"/>
      <c r="BO358" s="860"/>
      <c r="BP358" s="860"/>
      <c r="BQ358" s="860"/>
      <c r="BR358" s="860"/>
      <c r="BS358" s="860"/>
      <c r="BT358" s="860"/>
      <c r="BU358" s="860"/>
      <c r="BV358" s="860"/>
      <c r="BW358" s="860"/>
      <c r="BX358" s="860"/>
      <c r="BY358" s="860"/>
      <c r="BZ358" s="860"/>
      <c r="CA358" s="860"/>
      <c r="CB358" s="860"/>
      <c r="CC358" s="860"/>
      <c r="CD358" s="860"/>
      <c r="CE358" s="860"/>
      <c r="CF358" s="860"/>
      <c r="CG358" s="860"/>
      <c r="CH358" s="860"/>
      <c r="CI358" s="860"/>
      <c r="CJ358" s="860"/>
      <c r="CK358" s="860"/>
      <c r="CL358" s="860"/>
      <c r="CM358" s="860"/>
      <c r="CN358" s="860"/>
      <c r="CO358" s="860"/>
      <c r="CP358" s="860"/>
      <c r="CQ358" s="860"/>
      <c r="CR358" s="860"/>
      <c r="CS358" s="860"/>
      <c r="CT358" s="91"/>
      <c r="CU358" s="1619"/>
      <c r="CV358" s="1619"/>
      <c r="CW358" s="1170" t="str">
        <f>IF(AND(ISNUMBER(VALUE(TRIM(SUBSTITUTE(AD358,".","")))),TRIM(SUBSTITUTE(AD358,".",""))&lt;&gt;""),"P"&amp;SUBSTITUTE(AD358,".",""),"")</f>
        <v/>
      </c>
      <c r="CX358" s="1175"/>
      <c r="CY358" s="1175"/>
      <c r="CZ358" s="1175"/>
      <c r="DA358" s="1176"/>
      <c r="DB358" s="1176"/>
    </row>
    <row s="1619" customFormat="1" customHeight="1" ht="16.5">
      <c r="A359" s="1440"/>
      <c r="B359" s="924"/>
      <c r="C359" s="1440"/>
      <c r="D359" s="1440"/>
      <c r="E359" s="794">
        <v>17.1</v>
      </c>
      <c r="F359" s="919" cm="1" t="str">
        <f t="array" ref="F359:F359">OFFSET(G359,-1,-1)</f>
        <v>2</v>
      </c>
      <c r="G359" s="962"/>
      <c r="H359" s="962"/>
      <c r="I359" s="962"/>
      <c r="J359" s="962"/>
      <c r="K359" s="962"/>
      <c r="L359" s="919" cm="1" t="str">
        <f t="array" ref="L359:L359">OFFSET(M359,-1,-1)</f>
        <v>false</v>
      </c>
      <c r="M359" s="962"/>
      <c r="N359" s="962"/>
      <c r="O359" s="962"/>
      <c r="P359" s="962"/>
      <c r="Q359" s="962"/>
      <c r="R359" s="1440"/>
      <c r="S359" s="156" cm="1" t="str">
        <f t="array" ref="S359:S359">OFFSET(T359,-1,-1)</f>
        <v>true</v>
      </c>
      <c r="T359" s="1440"/>
      <c r="U359" s="816">
        <f>AND(S359,IF(ISBLANK(T359),TRUE,T359))</f>
        <v>1</v>
      </c>
      <c r="V359" s="1440"/>
      <c r="W359" s="1440"/>
      <c r="X359" s="1440"/>
      <c r="Y359" s="1440"/>
      <c r="Z359" s="1440"/>
      <c r="AA359" s="817"/>
      <c r="AB359" s="1492"/>
      <c r="AC359" s="1619"/>
      <c r="AD359" s="170" t="s">
        <v>835</v>
      </c>
      <c r="AE359" s="1494" t="s">
        <v>836</v>
      </c>
      <c r="AF359" s="320"/>
      <c r="AG359" s="856" t="s">
        <v>805</v>
      </c>
      <c r="AH359" s="857">
        <f>SUM(AH361:AH363)</f>
        <v>0</v>
      </c>
      <c r="AI359" s="857">
        <f>SUM(AI361:AI363)</f>
        <v>0</v>
      </c>
      <c r="AJ359" s="857">
        <f>SUM(AJ361:AJ363)</f>
        <v>0</v>
      </c>
      <c r="AK359" s="857">
        <f>SUM(AK361:AK363)</f>
        <v>0</v>
      </c>
      <c r="AL359" s="857">
        <f>SUM(AL361:AL363)</f>
        <v>0</v>
      </c>
      <c r="AM359" s="857">
        <f>SUM(AM361:AM363)</f>
        <v>0</v>
      </c>
      <c r="AN359" s="857">
        <f>SUM(AN361:AN363)</f>
        <v>0</v>
      </c>
      <c r="AO359" s="857">
        <f>SUM(AO361:AO363)</f>
        <v>0</v>
      </c>
      <c r="AP359" s="857">
        <f>SUM(AP361:AP363)</f>
        <v>0</v>
      </c>
      <c r="AQ359" s="857">
        <f>SUM(AQ361:AQ363)</f>
        <v>0</v>
      </c>
      <c r="AR359" s="857">
        <f>SUM(AR361:AR363)</f>
        <v>0</v>
      </c>
      <c r="AS359" s="857">
        <f>SUM(AS361:AS363)</f>
        <v>0</v>
      </c>
      <c r="AT359" s="857">
        <f>SUM(AT361:AT363)</f>
        <v>0</v>
      </c>
      <c r="AU359" s="857">
        <f>SUM(AU361:AU363)</f>
        <v>0</v>
      </c>
      <c r="AV359" s="857">
        <f>SUM(AV361:AV363)</f>
        <v>0</v>
      </c>
      <c r="AW359" s="857">
        <f>SUM(AW361:AW363)</f>
        <v>0</v>
      </c>
      <c r="AX359" s="857">
        <f>SUM(AX361:AX363)</f>
        <v>0</v>
      </c>
      <c r="AY359" s="857">
        <f>SUM(AY361:AY363)</f>
        <v>0</v>
      </c>
      <c r="AZ359" s="857">
        <f>SUM(AZ361:AZ363)</f>
        <v>0</v>
      </c>
      <c r="BA359" s="857">
        <f>SUM(BA361:BA363)</f>
        <v>0</v>
      </c>
      <c r="BB359" s="857">
        <f>SUM(BB361:BB363)</f>
        <v>0</v>
      </c>
      <c r="BC359" s="857">
        <f>SUM(BC361:BC363)</f>
        <v>0</v>
      </c>
      <c r="BD359" s="857">
        <f>SUM(BD361:BD363)</f>
        <v>0</v>
      </c>
      <c r="BE359" s="857">
        <f>SUM(BE361:BE363)</f>
        <v>0</v>
      </c>
      <c r="BF359" s="857">
        <f>SUM(BF361:BF363)</f>
        <v>0</v>
      </c>
      <c r="BG359" s="857">
        <f>SUM(BG361:BG363)</f>
        <v>0</v>
      </c>
      <c r="BH359" s="857">
        <f>SUM(BH361:BH363)</f>
        <v>0</v>
      </c>
      <c r="BI359" s="857">
        <f>SUM(BI361:BI363)</f>
        <v>0</v>
      </c>
      <c r="BJ359" s="857">
        <f>SUM(BJ361:BJ363)</f>
        <v>0</v>
      </c>
      <c r="BK359" s="857">
        <f>SUM(BK361:BK363)</f>
        <v>0</v>
      </c>
      <c r="BL359" s="857">
        <f>SUM(BL361:BL363)</f>
        <v>0</v>
      </c>
      <c r="BM359" s="857">
        <f>SUM(BM361:BM363)</f>
        <v>0</v>
      </c>
      <c r="BN359" s="857">
        <f>SUM(BN361:BN363)</f>
        <v>0</v>
      </c>
      <c r="BO359" s="857">
        <f>SUM(BO361:BO363)</f>
        <v>0</v>
      </c>
      <c r="BP359" s="857">
        <f>SUM(BP361:BP363)</f>
        <v>0</v>
      </c>
      <c r="BQ359" s="857">
        <f>SUM(BQ361:BQ363)</f>
        <v>0</v>
      </c>
      <c r="BR359" s="857">
        <f>SUM(BR361:BR363)</f>
        <v>0</v>
      </c>
      <c r="BS359" s="857">
        <f>SUM(BS361:BS363)</f>
        <v>0</v>
      </c>
      <c r="BT359" s="857">
        <f>SUM(BT361:BT363)</f>
        <v>0</v>
      </c>
      <c r="BU359" s="857">
        <f>SUM(BU361:BU363)</f>
        <v>0</v>
      </c>
      <c r="BV359" s="857">
        <f>SUM(BV361:BV363)</f>
        <v>0</v>
      </c>
      <c r="BW359" s="857">
        <f>SUM(BW361:BW363)</f>
        <v>0</v>
      </c>
      <c r="BX359" s="857">
        <f>SUM(BX361:BX363)</f>
        <v>0</v>
      </c>
      <c r="BY359" s="857">
        <f>SUM(BY361:BY363)</f>
        <v>0</v>
      </c>
      <c r="BZ359" s="857">
        <f>SUM(BZ361:BZ363)</f>
        <v>0</v>
      </c>
      <c r="CA359" s="857">
        <f>SUM(CA361:CA363)</f>
        <v>0</v>
      </c>
      <c r="CB359" s="857">
        <f>SUM(CB361:CB363)</f>
        <v>0</v>
      </c>
      <c r="CC359" s="857">
        <f>SUM(CC361:CC363)</f>
        <v>0</v>
      </c>
      <c r="CD359" s="857">
        <f>SUM(CD361:CD363)</f>
        <v>0</v>
      </c>
      <c r="CE359" s="857">
        <f>SUM(CE361:CE363)</f>
        <v>0</v>
      </c>
      <c r="CF359" s="857">
        <f>SUM(CF361:CF363)</f>
        <v>0</v>
      </c>
      <c r="CG359" s="857">
        <f>SUM(CG361:CG363)</f>
        <v>0</v>
      </c>
      <c r="CH359" s="857">
        <f>SUM(CH361:CH363)</f>
        <v>0</v>
      </c>
      <c r="CI359" s="857">
        <f>SUM(CI361:CI363)</f>
        <v>0</v>
      </c>
      <c r="CJ359" s="857">
        <f>SUM(CJ361:CJ363)</f>
        <v>0</v>
      </c>
      <c r="CK359" s="857">
        <f>SUM(CK361:CK363)</f>
        <v>0</v>
      </c>
      <c r="CL359" s="857">
        <f>SUM(CL361:CL363)</f>
        <v>0</v>
      </c>
      <c r="CM359" s="857">
        <f>SUM(CM361:CM363)</f>
        <v>0</v>
      </c>
      <c r="CN359" s="857">
        <f>SUM(CN361:CN363)</f>
        <v>0</v>
      </c>
      <c r="CO359" s="857">
        <f>SUM(CO361:CO363)</f>
        <v>0</v>
      </c>
      <c r="CP359" s="857">
        <f>SUM(CP361:CP363)</f>
        <v>0</v>
      </c>
      <c r="CQ359" s="857">
        <f>SUM(CQ361:CQ363)</f>
        <v>0</v>
      </c>
      <c r="CR359" s="857">
        <f>SUM(CR361:CR363)</f>
        <v>0</v>
      </c>
      <c r="CS359" s="857">
        <f>SUM(CS361:CS363)</f>
        <v>0</v>
      </c>
      <c r="CT359" s="1730"/>
      <c r="CU359" s="1619"/>
      <c r="CV359" s="1619"/>
      <c r="CW359" s="1170" t="s">
        <v>837</v>
      </c>
      <c r="CX359" s="1175"/>
      <c r="CY359" s="1175"/>
      <c r="CZ359" s="1175"/>
      <c r="DA359" s="1176"/>
      <c r="DB359" s="1176"/>
    </row>
    <row s="1619" customFormat="1" customHeight="1" ht="16.5" hidden="1">
      <c r="A360" s="1440"/>
      <c r="B360" s="924"/>
      <c r="C360" s="1440"/>
      <c r="D360" s="1440"/>
      <c r="E360" s="794">
        <v>17.1</v>
      </c>
      <c r="F360" s="919" cm="1" t="str">
        <f t="array" ref="F360:F360">OFFSET(G360,-1,-1)</f>
        <v>2</v>
      </c>
      <c r="G360" s="962"/>
      <c r="H360" s="962"/>
      <c r="I360" s="962"/>
      <c r="J360" s="962"/>
      <c r="K360" s="962"/>
      <c r="L360" s="919" cm="1" t="str">
        <f t="array" ref="L360:L360">OFFSET(M360,-1,-1)</f>
        <v>false</v>
      </c>
      <c r="M360" s="962"/>
      <c r="N360" s="962"/>
      <c r="O360" s="962"/>
      <c r="P360" s="962"/>
      <c r="Q360" s="962"/>
      <c r="R360" s="919" t="s">
        <v>725</v>
      </c>
      <c r="S360" s="156" cm="1" t="str">
        <f t="array" ref="S360:S360">OFFSET(T360,-1,-1)</f>
        <v>true</v>
      </c>
      <c r="T360" s="919" t="b">
        <v>0</v>
      </c>
      <c r="U360" s="816">
        <f>AND(S360,IF(ISBLANK(T360),TRUE,T360))</f>
        <v>0</v>
      </c>
      <c r="V360" s="1440"/>
      <c r="W360" s="1440"/>
      <c r="X360" s="1440"/>
      <c r="Y360" s="1440"/>
      <c r="Z360" s="1440"/>
      <c r="AA360" s="817"/>
      <c r="AB360" s="1492"/>
      <c r="AC360" s="1619"/>
      <c r="AD360" s="157" t="str">
        <f>AD359&amp;".0"</f>
        <v>32.0</v>
      </c>
      <c r="AE360" s="1346" t="s">
        <v>736</v>
      </c>
      <c r="AF360" s="161"/>
      <c r="AG360" s="856" t="s">
        <v>805</v>
      </c>
      <c r="AH360" s="86">
        <f>AH299*AH359</f>
        <v>0</v>
      </c>
      <c r="AI360" s="87">
        <f>AI$299*AI359</f>
        <v>0</v>
      </c>
      <c r="AJ360" s="87">
        <f>AJ$299*AJ359</f>
        <v>0</v>
      </c>
      <c r="AK360" s="87">
        <f>AK$299*AK359</f>
        <v>0</v>
      </c>
      <c r="AL360" s="859">
        <f>AM360+AN360</f>
        <v>0</v>
      </c>
      <c r="AM360" s="87">
        <f>AM$299*AM359</f>
        <v>0</v>
      </c>
      <c r="AN360" s="87">
        <f>AN$299*AN359</f>
        <v>0</v>
      </c>
      <c r="AO360" s="859">
        <f>AP360+AQ360</f>
        <v>0</v>
      </c>
      <c r="AP360" s="976">
        <f>AP$299*AP359</f>
        <v>0</v>
      </c>
      <c r="AQ360" s="976">
        <f>AQ$299*AQ359</f>
        <v>0</v>
      </c>
      <c r="AR360" s="859">
        <f>AS360+AT360</f>
        <v>0</v>
      </c>
      <c r="AS360" s="976">
        <f>AS$299*AS359</f>
        <v>0</v>
      </c>
      <c r="AT360" s="976">
        <f>AT$299*AT359</f>
        <v>0</v>
      </c>
      <c r="AU360" s="859">
        <f>AV360+AW360</f>
        <v>0</v>
      </c>
      <c r="AV360" s="976">
        <f>AV$299*AV359</f>
        <v>0</v>
      </c>
      <c r="AW360" s="976">
        <f>AW$299*AW359</f>
        <v>0</v>
      </c>
      <c r="AX360" s="859">
        <f>AY360+AZ360</f>
        <v>0</v>
      </c>
      <c r="AY360" s="976">
        <f>AY$299*AY359</f>
        <v>0</v>
      </c>
      <c r="AZ360" s="976">
        <f>AZ$299*AZ359</f>
        <v>0</v>
      </c>
      <c r="BA360" s="859">
        <f>BB360+BC360</f>
        <v>0</v>
      </c>
      <c r="BB360" s="87">
        <f>BB$299*BB359</f>
        <v>0</v>
      </c>
      <c r="BC360" s="87">
        <f>BC$299*BC359</f>
        <v>0</v>
      </c>
      <c r="BD360" s="859">
        <f>BE360+BF360</f>
        <v>0</v>
      </c>
      <c r="BE360" s="87">
        <f>BE$299*BE359</f>
        <v>0</v>
      </c>
      <c r="BF360" s="87">
        <f>BF$299*BF359</f>
        <v>0</v>
      </c>
      <c r="BG360" s="859">
        <f>BH360+BI360</f>
        <v>0</v>
      </c>
      <c r="BH360" s="87">
        <f>BH$299*BH359</f>
        <v>0</v>
      </c>
      <c r="BI360" s="87">
        <f>BI$299*BI359</f>
        <v>0</v>
      </c>
      <c r="BJ360" s="859">
        <f>BK360+BL360</f>
        <v>0</v>
      </c>
      <c r="BK360" s="87">
        <f>BK$299*BK359</f>
        <v>0</v>
      </c>
      <c r="BL360" s="87">
        <f>BL$299*BL359</f>
        <v>0</v>
      </c>
      <c r="BM360" s="859">
        <f>BN360+BO360</f>
        <v>0</v>
      </c>
      <c r="BN360" s="87">
        <f>BN$299*BN359</f>
        <v>0</v>
      </c>
      <c r="BO360" s="87">
        <f>BO$299*BO359</f>
        <v>0</v>
      </c>
      <c r="BP360" s="859">
        <f>BQ360+BR360</f>
        <v>0</v>
      </c>
      <c r="BQ360" s="976">
        <f>BQ$299*BQ359</f>
        <v>0</v>
      </c>
      <c r="BR360" s="976">
        <f>BR$299*BR359</f>
        <v>0</v>
      </c>
      <c r="BS360" s="859">
        <f>BT360+BU360</f>
        <v>0</v>
      </c>
      <c r="BT360" s="976">
        <f>BT$299*BT359</f>
        <v>0</v>
      </c>
      <c r="BU360" s="976">
        <f>BU$299*BU359</f>
        <v>0</v>
      </c>
      <c r="BV360" s="859">
        <f>BW360+BX360</f>
        <v>0</v>
      </c>
      <c r="BW360" s="976">
        <f>BW$299*BW359</f>
        <v>0</v>
      </c>
      <c r="BX360" s="976">
        <f>BX$299*BX359</f>
        <v>0</v>
      </c>
      <c r="BY360" s="859">
        <f>BZ360+CA360</f>
        <v>0</v>
      </c>
      <c r="BZ360" s="976">
        <f>BZ$299*BZ359</f>
        <v>0</v>
      </c>
      <c r="CA360" s="976">
        <f>CA$299*CA359</f>
        <v>0</v>
      </c>
      <c r="CB360" s="859">
        <f>CC360+CD360</f>
        <v>0</v>
      </c>
      <c r="CC360" s="976">
        <f>CC$299*CC359</f>
        <v>0</v>
      </c>
      <c r="CD360" s="976">
        <f>CD$299*CD359</f>
        <v>0</v>
      </c>
      <c r="CE360" s="859">
        <f>CF360+CG360</f>
        <v>0</v>
      </c>
      <c r="CF360" s="87">
        <f>CF$299*CF359</f>
        <v>0</v>
      </c>
      <c r="CG360" s="87">
        <f>CG$299*CG359</f>
        <v>0</v>
      </c>
      <c r="CH360" s="859">
        <f>CI360+CJ360</f>
        <v>0</v>
      </c>
      <c r="CI360" s="87">
        <f>CI$299*CI359</f>
        <v>0</v>
      </c>
      <c r="CJ360" s="87">
        <f>CJ$299*CJ359</f>
        <v>0</v>
      </c>
      <c r="CK360" s="859">
        <f>CL360+CM360</f>
        <v>0</v>
      </c>
      <c r="CL360" s="87">
        <f>CL$299*CL359</f>
        <v>0</v>
      </c>
      <c r="CM360" s="87">
        <f>CM$299*CM359</f>
        <v>0</v>
      </c>
      <c r="CN360" s="859">
        <f>CO360+CP360</f>
        <v>0</v>
      </c>
      <c r="CO360" s="87">
        <f>CO$299*CO359</f>
        <v>0</v>
      </c>
      <c r="CP360" s="87">
        <f>CP$299*CP359</f>
        <v>0</v>
      </c>
      <c r="CQ360" s="859">
        <f>CR360+CS360</f>
        <v>0</v>
      </c>
      <c r="CR360" s="87">
        <f>CR$299*CR359</f>
        <v>0</v>
      </c>
      <c r="CS360" s="87">
        <f>CS$299*CS359</f>
        <v>0</v>
      </c>
      <c r="CT360" s="73"/>
      <c r="CU360" s="1619"/>
      <c r="CV360" s="1619"/>
      <c r="CW360" s="1170" t="s">
        <v>838</v>
      </c>
      <c r="CX360" s="1175"/>
      <c r="CY360" s="1175"/>
      <c r="CZ360" s="1175"/>
      <c r="DA360" s="1176"/>
      <c r="DB360" s="1176"/>
    </row>
    <row s="1619" customFormat="1" customHeight="1" ht="16.5" hidden="1">
      <c r="E361" s="794">
        <v>17.1</v>
      </c>
      <c r="F361" s="919" cm="1" t="str">
        <f t="array" ref="F361:F361">OFFSET(G361,-1,-1)</f>
        <v>2</v>
      </c>
      <c r="L361" s="919" cm="1" t="str">
        <f t="array" ref="L361:L361">OFFSET(M361,-1,-1)</f>
        <v>false</v>
      </c>
      <c r="S361" s="156" cm="1" t="str">
        <f t="array" ref="S361:S361">OFFSET(T361,-1,-1)</f>
        <v>true</v>
      </c>
      <c r="T361" s="156">
        <f>AD361&lt;&gt;"32.0"</f>
        <v>0</v>
      </c>
      <c r="U361" s="816">
        <f>AND(S361,IF(ISBLANK(T361),TRUE,T361))</f>
        <v>0</v>
      </c>
      <c r="X361" s="156" t="s">
        <v>233</v>
      </c>
      <c r="AB361" s="1492"/>
      <c r="AD361" s="157" t="s">
        <v>839</v>
      </c>
      <c r="AE361" s="971"/>
      <c r="AF361" s="622"/>
      <c r="AG361" s="856" t="s">
        <v>805</v>
      </c>
      <c r="AH361" s="86"/>
      <c r="AI361" s="87"/>
      <c r="AJ361" s="87"/>
      <c r="AK361" s="87"/>
      <c r="AL361" s="859">
        <f>AM361+AN361</f>
        <v>0</v>
      </c>
      <c r="AM361" s="87">
        <f>AM356*AM314/1000</f>
        <v>0</v>
      </c>
      <c r="AN361" s="87">
        <f>AN356*AN314/1000</f>
        <v>0</v>
      </c>
      <c r="AO361" s="859">
        <f>AP361+AQ361</f>
        <v>0</v>
      </c>
      <c r="AP361" s="976">
        <f>AP356*AP314/1000</f>
        <v>0</v>
      </c>
      <c r="AQ361" s="976">
        <f>AQ356*AQ314/1000</f>
        <v>0</v>
      </c>
      <c r="AR361" s="859">
        <f>AS361+AT361</f>
        <v>0</v>
      </c>
      <c r="AS361" s="976">
        <f>AS356*AS314/1000</f>
        <v>0</v>
      </c>
      <c r="AT361" s="976">
        <f>AT356*AT314/1000</f>
        <v>0</v>
      </c>
      <c r="AU361" s="859">
        <f>AV361+AW361</f>
        <v>0</v>
      </c>
      <c r="AV361" s="976">
        <f>AV356*AV314/1000</f>
        <v>0</v>
      </c>
      <c r="AW361" s="976">
        <f>AW356*AW314/1000</f>
        <v>0</v>
      </c>
      <c r="AX361" s="859">
        <f>AY361+AZ361</f>
        <v>0</v>
      </c>
      <c r="AY361" s="976">
        <f>AY356*AY314/1000</f>
        <v>0</v>
      </c>
      <c r="AZ361" s="976">
        <f>AZ356*AZ314/1000</f>
        <v>0</v>
      </c>
      <c r="BA361" s="859">
        <f>BB361+BC361</f>
        <v>0</v>
      </c>
      <c r="BB361" s="87">
        <f>BB356*BB314/1000</f>
        <v>0</v>
      </c>
      <c r="BC361" s="87">
        <f>BC356*BC314/1000</f>
        <v>0</v>
      </c>
      <c r="BD361" s="859">
        <f>BE361+BF361</f>
        <v>0</v>
      </c>
      <c r="BE361" s="87">
        <f>BE356*BE314/1000</f>
        <v>0</v>
      </c>
      <c r="BF361" s="87">
        <f>BF356*BF314/1000</f>
        <v>0</v>
      </c>
      <c r="BG361" s="859">
        <f>BH361+BI361</f>
        <v>0</v>
      </c>
      <c r="BH361" s="87">
        <f>BH356*BH314/1000</f>
        <v>0</v>
      </c>
      <c r="BI361" s="87">
        <f>BI356*BI314/1000</f>
        <v>0</v>
      </c>
      <c r="BJ361" s="859">
        <f>BK361+BL361</f>
        <v>0</v>
      </c>
      <c r="BK361" s="87">
        <f>BK356*BK314/1000</f>
        <v>0</v>
      </c>
      <c r="BL361" s="87">
        <f>BL356*BL314/1000</f>
        <v>0</v>
      </c>
      <c r="BM361" s="859">
        <f>BN361+BO361</f>
        <v>0</v>
      </c>
      <c r="BN361" s="87">
        <f>BN356*BN314/1000</f>
        <v>0</v>
      </c>
      <c r="BO361" s="87">
        <f>BO356*BO314/1000</f>
        <v>0</v>
      </c>
      <c r="BP361" s="859">
        <f>BQ361+BR361</f>
        <v>0</v>
      </c>
      <c r="BQ361" s="976">
        <f>BQ356*BQ314/1000</f>
        <v>0</v>
      </c>
      <c r="BR361" s="976">
        <f>BR356*BR314/1000</f>
        <v>0</v>
      </c>
      <c r="BS361" s="859">
        <f>BT361+BU361</f>
        <v>0</v>
      </c>
      <c r="BT361" s="976">
        <f>BT356*BT314/1000</f>
        <v>0</v>
      </c>
      <c r="BU361" s="976">
        <f>BU356*BU314/1000</f>
        <v>0</v>
      </c>
      <c r="BV361" s="859">
        <f>BW361+BX361</f>
        <v>0</v>
      </c>
      <c r="BW361" s="976">
        <f>BW356*BW314/1000</f>
        <v>0</v>
      </c>
      <c r="BX361" s="976">
        <f>BX356*BX314/1000</f>
        <v>0</v>
      </c>
      <c r="BY361" s="859">
        <f>BZ361+CA361</f>
        <v>0</v>
      </c>
      <c r="BZ361" s="976">
        <f>BZ356*BZ314/1000</f>
        <v>0</v>
      </c>
      <c r="CA361" s="976">
        <f>CA356*CA314/1000</f>
        <v>0</v>
      </c>
      <c r="CB361" s="859">
        <f>CC361+CD361</f>
        <v>0</v>
      </c>
      <c r="CC361" s="976">
        <f>CC356*CC314/1000</f>
        <v>0</v>
      </c>
      <c r="CD361" s="976">
        <f>CD356*CD314/1000</f>
        <v>0</v>
      </c>
      <c r="CE361" s="859">
        <f>CF361+CG361</f>
        <v>0</v>
      </c>
      <c r="CF361" s="87">
        <f>CF356*CF314/1000</f>
        <v>0</v>
      </c>
      <c r="CG361" s="87">
        <f>CG356*CG314/1000</f>
        <v>0</v>
      </c>
      <c r="CH361" s="859">
        <f>CI361+CJ361</f>
        <v>0</v>
      </c>
      <c r="CI361" s="87">
        <f>CI356*CI314/1000</f>
        <v>0</v>
      </c>
      <c r="CJ361" s="87">
        <f>CJ356*CJ314/1000</f>
        <v>0</v>
      </c>
      <c r="CK361" s="859">
        <f>CL361+CM361</f>
        <v>0</v>
      </c>
      <c r="CL361" s="87">
        <f>CL356*CL314/1000</f>
        <v>0</v>
      </c>
      <c r="CM361" s="87">
        <f>CM356*CM314/1000</f>
        <v>0</v>
      </c>
      <c r="CN361" s="859">
        <f>CO361+CP361</f>
        <v>0</v>
      </c>
      <c r="CO361" s="87">
        <f>CO356*CO314/1000</f>
        <v>0</v>
      </c>
      <c r="CP361" s="87">
        <f>CP356*CP314/1000</f>
        <v>0</v>
      </c>
      <c r="CQ361" s="859">
        <f>CR361+CS361</f>
        <v>0</v>
      </c>
      <c r="CR361" s="87">
        <f>CR356*CR314/1000</f>
        <v>0</v>
      </c>
      <c r="CS361" s="87">
        <f>CS356*CS314/1000</f>
        <v>0</v>
      </c>
      <c r="CT361" s="73"/>
      <c r="CW361" s="1170" t="s">
        <v>838</v>
      </c>
      <c r="CX361" s="1175" t="s">
        <v>787</v>
      </c>
      <c r="CY361" s="1179" cm="1" t="str">
        <f t="array" ref="CY361:CY361">AE361</f>
        <v>0</v>
      </c>
      <c r="CZ361" s="1179" cm="1" t="str">
        <f t="array" ref="CZ361:CZ361">AF361</f>
        <v>0</v>
      </c>
      <c r="DA361" s="1176"/>
      <c r="DB361" s="1176"/>
    </row>
    <row s="1619" customFormat="1" customHeight="1" ht="16.5">
      <c r="A362" s="1619"/>
      <c r="B362" s="1619"/>
      <c r="C362" s="1619"/>
      <c r="D362" s="1619"/>
      <c r="E362" s="794">
        <v>17.1</v>
      </c>
      <c r="F362" s="919" cm="1" t="str">
        <f t="array" ref="F362:F362">OFFSET(G362,-1,-1)</f>
        <v>2</v>
      </c>
      <c r="G362" s="1619"/>
      <c r="H362" s="1619"/>
      <c r="I362" s="1619"/>
      <c r="J362" s="1619"/>
      <c r="K362" s="1619"/>
      <c r="L362" s="919" cm="1" t="str">
        <f t="array" ref="L362:L362">OFFSET(M362,-1,-1)</f>
        <v>false</v>
      </c>
      <c r="M362" s="1619"/>
      <c r="N362" s="1619"/>
      <c r="O362" s="1619"/>
      <c r="P362" s="1619"/>
      <c r="Q362" s="1619"/>
      <c r="R362" s="1619"/>
      <c r="S362" s="156" cm="1" t="str">
        <f t="array" ref="S362:S362">OFFSET(T362,-1,-1)</f>
        <v>true</v>
      </c>
      <c r="T362" s="156">
        <f>AD362&lt;&gt;"32.0"</f>
        <v>1</v>
      </c>
      <c r="U362" s="816">
        <f>AND(S362,IF(ISBLANK(T362),TRUE,T362))</f>
        <v>1</v>
      </c>
      <c r="V362" s="1619"/>
      <c r="W362" s="1619"/>
      <c r="X362" s="156" t="str">
        <f>'Топливо 4.4'!$AE$357&amp;'Топливо 4.4'!$AF$357</f>
        <v>Уголь бурыйБ</v>
      </c>
      <c r="Y362" s="1619"/>
      <c r="Z362" s="1619"/>
      <c r="AA362" s="1619"/>
      <c r="AB362" s="1492"/>
      <c r="AC362" s="1619"/>
      <c r="AD362" s="157" t="s">
        <v>912</v>
      </c>
      <c r="AE362" s="971" cm="1" t="str">
        <f t="array" ref="AE362:AE362">IF(ISBLANK('Топливо 4.4'!$AE$357),"",'Топливо 4.4'!$AE$357)</f>
        <v>Уголь бурый</v>
      </c>
      <c r="AF362" s="622" cm="1" t="str">
        <f t="array" ref="AF362:AF362">IF(ISBLANK('Топливо 4.4'!$AF$357),"",'Топливо 4.4'!$AF$357)</f>
        <v>Б</v>
      </c>
      <c r="AG362" s="856" t="s">
        <v>805</v>
      </c>
      <c r="AH362" s="1768"/>
      <c r="AI362" s="1766"/>
      <c r="AJ362" s="1766"/>
      <c r="AK362" s="1766"/>
      <c r="AL362" s="859">
        <f>AM362+AN362</f>
        <v>0</v>
      </c>
      <c r="AM362" s="1766">
        <f>AM357*AM315/1000</f>
        <v>0</v>
      </c>
      <c r="AN362" s="1766">
        <f>AN357*AN315/1000</f>
        <v>0</v>
      </c>
      <c r="AO362" s="859">
        <f>AP362+AQ362</f>
        <v>0</v>
      </c>
      <c r="AP362" s="976">
        <f>AP357*AP315/1000</f>
        <v>0</v>
      </c>
      <c r="AQ362" s="976">
        <f>AQ357*AQ315/1000</f>
        <v>0</v>
      </c>
      <c r="AR362" s="859">
        <f>AS362+AT362</f>
        <v>0</v>
      </c>
      <c r="AS362" s="976">
        <f>AS357*AS315/1000</f>
        <v>0</v>
      </c>
      <c r="AT362" s="976">
        <f>AT357*AT315/1000</f>
        <v>0</v>
      </c>
      <c r="AU362" s="859">
        <f>AV362+AW362</f>
        <v>0</v>
      </c>
      <c r="AV362" s="976">
        <f>AV357*AV315/1000</f>
        <v>0</v>
      </c>
      <c r="AW362" s="976">
        <f>AW357*AW315/1000</f>
        <v>0</v>
      </c>
      <c r="AX362" s="859">
        <f>AY362+AZ362</f>
        <v>0</v>
      </c>
      <c r="AY362" s="976">
        <f>AY357*AY315/1000</f>
        <v>0</v>
      </c>
      <c r="AZ362" s="976">
        <f>AZ357*AZ315/1000</f>
        <v>0</v>
      </c>
      <c r="BA362" s="859">
        <f>BB362+BC362</f>
        <v>0</v>
      </c>
      <c r="BB362" s="1766">
        <f>BB357*BB315/1000</f>
        <v>0</v>
      </c>
      <c r="BC362" s="1766">
        <f>BC357*BC315/1000</f>
        <v>0</v>
      </c>
      <c r="BD362" s="859">
        <f>BE362+BF362</f>
        <v>0</v>
      </c>
      <c r="BE362" s="1766">
        <f>BE357*BE315/1000</f>
        <v>0</v>
      </c>
      <c r="BF362" s="1766">
        <f>BF357*BF315/1000</f>
        <v>0</v>
      </c>
      <c r="BG362" s="859">
        <f>BH362+BI362</f>
        <v>0</v>
      </c>
      <c r="BH362" s="1766">
        <f>BH357*BH315/1000</f>
        <v>0</v>
      </c>
      <c r="BI362" s="1766">
        <f>BI357*BI315/1000</f>
        <v>0</v>
      </c>
      <c r="BJ362" s="859">
        <f>BK362+BL362</f>
        <v>0</v>
      </c>
      <c r="BK362" s="1766">
        <f>BK357*BK315/1000</f>
        <v>0</v>
      </c>
      <c r="BL362" s="1766">
        <f>BL357*BL315/1000</f>
        <v>0</v>
      </c>
      <c r="BM362" s="859">
        <f>BN362+BO362</f>
        <v>0</v>
      </c>
      <c r="BN362" s="1766">
        <f>BN357*BN315/1000</f>
        <v>0</v>
      </c>
      <c r="BO362" s="1766">
        <f>BO357*BO315/1000</f>
        <v>0</v>
      </c>
      <c r="BP362" s="859">
        <f>BQ362+BR362</f>
        <v>0</v>
      </c>
      <c r="BQ362" s="976">
        <f>BQ357*BQ315/1000</f>
        <v>0</v>
      </c>
      <c r="BR362" s="976">
        <f>BR357*BR315/1000</f>
        <v>0</v>
      </c>
      <c r="BS362" s="859">
        <f>BT362+BU362</f>
        <v>0</v>
      </c>
      <c r="BT362" s="976">
        <f>BT357*BT315/1000</f>
        <v>0</v>
      </c>
      <c r="BU362" s="976">
        <f>BU357*BU315/1000</f>
        <v>0</v>
      </c>
      <c r="BV362" s="859">
        <f>BW362+BX362</f>
        <v>0</v>
      </c>
      <c r="BW362" s="976">
        <f>BW357*BW315/1000</f>
        <v>0</v>
      </c>
      <c r="BX362" s="976">
        <f>BX357*BX315/1000</f>
        <v>0</v>
      </c>
      <c r="BY362" s="859">
        <f>BZ362+CA362</f>
        <v>0</v>
      </c>
      <c r="BZ362" s="976">
        <f>BZ357*BZ315/1000</f>
        <v>0</v>
      </c>
      <c r="CA362" s="976">
        <f>CA357*CA315/1000</f>
        <v>0</v>
      </c>
      <c r="CB362" s="859">
        <f>CC362+CD362</f>
        <v>0</v>
      </c>
      <c r="CC362" s="976">
        <f>CC357*CC315/1000</f>
        <v>0</v>
      </c>
      <c r="CD362" s="976">
        <f>CD357*CD315/1000</f>
        <v>0</v>
      </c>
      <c r="CE362" s="859">
        <f>CF362+CG362</f>
        <v>0</v>
      </c>
      <c r="CF362" s="1766">
        <f>CF357*CF315/1000</f>
        <v>0</v>
      </c>
      <c r="CG362" s="1766">
        <f>CG357*CG315/1000</f>
        <v>0</v>
      </c>
      <c r="CH362" s="859">
        <f>CI362+CJ362</f>
        <v>0</v>
      </c>
      <c r="CI362" s="1766">
        <f>CI357*CI315/1000</f>
        <v>0</v>
      </c>
      <c r="CJ362" s="1766">
        <f>CJ357*CJ315/1000</f>
        <v>0</v>
      </c>
      <c r="CK362" s="859">
        <f>CL362+CM362</f>
        <v>0</v>
      </c>
      <c r="CL362" s="1766">
        <f>CL357*CL315/1000</f>
        <v>0</v>
      </c>
      <c r="CM362" s="1766">
        <f>CM357*CM315/1000</f>
        <v>0</v>
      </c>
      <c r="CN362" s="859">
        <f>CO362+CP362</f>
        <v>0</v>
      </c>
      <c r="CO362" s="1766">
        <f>CO357*CO315/1000</f>
        <v>0</v>
      </c>
      <c r="CP362" s="1766">
        <f>CP357*CP315/1000</f>
        <v>0</v>
      </c>
      <c r="CQ362" s="859">
        <f>CR362+CS362</f>
        <v>0</v>
      </c>
      <c r="CR362" s="1766">
        <f>CR357*CR315/1000</f>
        <v>0</v>
      </c>
      <c r="CS362" s="1766">
        <f>CS357*CS315/1000</f>
        <v>0</v>
      </c>
      <c r="CT362" s="1730"/>
      <c r="CU362" s="1619"/>
      <c r="CV362" s="1619"/>
      <c r="CW362" s="1170" t="s">
        <v>838</v>
      </c>
      <c r="CX362" s="1175" t="s">
        <v>787</v>
      </c>
      <c r="CY362" s="1179" cm="1" t="str">
        <f t="array" ref="CY362:CY362">AE362</f>
        <v>Уголь бурый</v>
      </c>
      <c r="CZ362" s="1179" cm="1" t="str">
        <f t="array" ref="CZ362:CZ362">AF362</f>
        <v>Б</v>
      </c>
      <c r="DA362" s="1176"/>
      <c r="DB362" s="1176"/>
    </row>
    <row s="1619" customFormat="1" customHeight="1" ht="15" hidden="1">
      <c r="A363" s="1440"/>
      <c r="B363" s="924"/>
      <c r="C363" s="1440"/>
      <c r="D363" s="1440"/>
      <c r="E363" s="794">
        <v>0</v>
      </c>
      <c r="F363" s="919" cm="1" t="str">
        <f t="array" ref="F363:F363">OFFSET(G363,-1,-1)</f>
        <v>2</v>
      </c>
      <c r="G363" s="962"/>
      <c r="H363" s="962"/>
      <c r="I363" s="962"/>
      <c r="J363" s="962"/>
      <c r="K363" s="962"/>
      <c r="L363" s="919" cm="1" t="str">
        <f t="array" ref="L363:L363">OFFSET(M363,-1,-1)</f>
        <v>false</v>
      </c>
      <c r="M363" s="962"/>
      <c r="N363" s="962"/>
      <c r="O363" s="962"/>
      <c r="P363" s="962"/>
      <c r="Q363" s="962"/>
      <c r="R363" s="1440"/>
      <c r="S363" s="156" cm="1" t="str">
        <f t="array" ref="S363:S363">OFFSET(T363,-1,-1)</f>
        <v>true</v>
      </c>
      <c r="T363" s="1440"/>
      <c r="U363" s="816">
        <f>AND(S363,IF(ISBLANK(T363),TRUE,T363))</f>
        <v>1</v>
      </c>
      <c r="V363" s="1440"/>
      <c r="W363" s="1440"/>
      <c r="X363" s="970" t="str">
        <f>"{                  
         funcDyn: 'msg1',
         blok: 'blok_2',
         wsCross: 'Топливо 4.4',
         linkFormula: 'AE-AE#AF-AF',
         levelDyn: "&amp;Y275&amp;"
}"</f>
        <v>{                  
         funcDyn: 'msg1',
         blok: 'blok_2',
         wsCross: 'Топливо 4.4',
         linkFormula: 'AE-AE#AF-AF',
         levelDyn: 2
}</v>
      </c>
      <c r="Y363" s="1440"/>
      <c r="Z363" s="1440"/>
      <c r="AA363" s="817"/>
      <c r="AB363" s="1492"/>
      <c r="AC363" s="1619"/>
      <c r="AD363" s="973"/>
      <c r="AE363" s="972" t="s">
        <v>235</v>
      </c>
      <c r="AF363" s="871"/>
      <c r="AG363" s="856"/>
      <c r="AH363" s="858"/>
      <c r="AI363" s="860"/>
      <c r="AJ363" s="860"/>
      <c r="AK363" s="860"/>
      <c r="AL363" s="860"/>
      <c r="AM363" s="860"/>
      <c r="AN363" s="860"/>
      <c r="AO363" s="860"/>
      <c r="AP363" s="860"/>
      <c r="AQ363" s="860"/>
      <c r="AR363" s="860"/>
      <c r="AS363" s="860"/>
      <c r="AT363" s="860"/>
      <c r="AU363" s="860"/>
      <c r="AV363" s="860"/>
      <c r="AW363" s="860"/>
      <c r="AX363" s="860"/>
      <c r="AY363" s="860"/>
      <c r="AZ363" s="860"/>
      <c r="BA363" s="860"/>
      <c r="BB363" s="860"/>
      <c r="BC363" s="860"/>
      <c r="BD363" s="860"/>
      <c r="BE363" s="860"/>
      <c r="BF363" s="860"/>
      <c r="BG363" s="860"/>
      <c r="BH363" s="860"/>
      <c r="BI363" s="860"/>
      <c r="BJ363" s="860"/>
      <c r="BK363" s="860"/>
      <c r="BL363" s="860"/>
      <c r="BM363" s="860"/>
      <c r="BN363" s="860"/>
      <c r="BO363" s="860"/>
      <c r="BP363" s="860"/>
      <c r="BQ363" s="860"/>
      <c r="BR363" s="860"/>
      <c r="BS363" s="860"/>
      <c r="BT363" s="860"/>
      <c r="BU363" s="860"/>
      <c r="BV363" s="860"/>
      <c r="BW363" s="860"/>
      <c r="BX363" s="860"/>
      <c r="BY363" s="860"/>
      <c r="BZ363" s="860"/>
      <c r="CA363" s="860"/>
      <c r="CB363" s="860"/>
      <c r="CC363" s="860"/>
      <c r="CD363" s="860"/>
      <c r="CE363" s="860"/>
      <c r="CF363" s="860"/>
      <c r="CG363" s="860"/>
      <c r="CH363" s="860"/>
      <c r="CI363" s="860"/>
      <c r="CJ363" s="860"/>
      <c r="CK363" s="860"/>
      <c r="CL363" s="860"/>
      <c r="CM363" s="860"/>
      <c r="CN363" s="860"/>
      <c r="CO363" s="860"/>
      <c r="CP363" s="860"/>
      <c r="CQ363" s="860"/>
      <c r="CR363" s="860"/>
      <c r="CS363" s="860"/>
      <c r="CT363" s="91"/>
      <c r="CU363" s="1619"/>
      <c r="CV363" s="1619"/>
      <c r="CW363" s="1170" t="str">
        <f>IF(AND(ISNUMBER(VALUE(TRIM(SUBSTITUTE(AD363,".","")))),TRIM(SUBSTITUTE(AD363,".",""))&lt;&gt;""),"P"&amp;SUBSTITUTE(AD363,".",""),"")</f>
        <v/>
      </c>
      <c r="CX363" s="1175"/>
      <c r="CY363" s="1175"/>
      <c r="CZ363" s="1175"/>
      <c r="DA363" s="1176"/>
      <c r="DB363" s="1176"/>
    </row>
    <row s="1619" customFormat="1" customHeight="1" ht="29.25" hidden="1">
      <c r="A364" s="1440"/>
      <c r="B364" s="924"/>
      <c r="C364" s="1440"/>
      <c r="D364" s="1440"/>
      <c r="E364" s="794">
        <v>30</v>
      </c>
      <c r="F364" s="919" cm="1" t="str">
        <f t="array" ref="F364:F364">OFFSET(G364,-1,-1)</f>
        <v>2</v>
      </c>
      <c r="G364" s="962"/>
      <c r="H364" s="962"/>
      <c r="I364" s="962"/>
      <c r="J364" s="962"/>
      <c r="K364" s="962"/>
      <c r="L364" s="919" cm="1" t="str">
        <f t="array" ref="L364:L364">OFFSET(M364,-1,-1)</f>
        <v>false</v>
      </c>
      <c r="M364" s="962"/>
      <c r="N364" s="962"/>
      <c r="O364" s="962"/>
      <c r="P364" s="962"/>
      <c r="Q364" s="962"/>
      <c r="R364" s="919" t="s">
        <v>725</v>
      </c>
      <c r="S364" s="156" cm="1" t="str">
        <f t="array" ref="S364:S364">OFFSET(T364,-1,-1)</f>
        <v>true</v>
      </c>
      <c r="T364" s="156" cm="1" t="str">
        <f t="array" ref="T364:T364">L364</f>
        <v>false</v>
      </c>
      <c r="U364" s="816">
        <f>AND(S364,IF(ISBLANK(T364),TRUE,T364))</f>
        <v>0</v>
      </c>
      <c r="V364" s="1440"/>
      <c r="W364" s="1440"/>
      <c r="X364" s="1440"/>
      <c r="Y364" s="1440"/>
      <c r="Z364" s="1440"/>
      <c r="AA364" s="817"/>
      <c r="AB364" s="1492"/>
      <c r="AC364" s="1619"/>
      <c r="AD364" s="170" t="s">
        <v>840</v>
      </c>
      <c r="AE364" s="1499" t="s">
        <v>841</v>
      </c>
      <c r="AF364" s="160"/>
      <c r="AG364" s="856" t="s">
        <v>805</v>
      </c>
      <c r="AH364" s="857">
        <f>SUM(AH365:AH367)</f>
        <v>0</v>
      </c>
      <c r="AI364" s="857">
        <f>SUM(AI365:AI367)</f>
        <v>0</v>
      </c>
      <c r="AJ364" s="857">
        <f>SUM(AJ365:AJ367)</f>
        <v>0</v>
      </c>
      <c r="AK364" s="857">
        <f>SUM(AK365:AK367)</f>
        <v>0</v>
      </c>
      <c r="AL364" s="857">
        <f>SUM(AL365:AL367)</f>
        <v>0</v>
      </c>
      <c r="AM364" s="857">
        <f>SUM(AM365:AM367)</f>
        <v>0</v>
      </c>
      <c r="AN364" s="857">
        <f>SUM(AN365:AN367)</f>
        <v>0</v>
      </c>
      <c r="AO364" s="857">
        <f>SUM(AO365:AO367)</f>
        <v>0</v>
      </c>
      <c r="AP364" s="857">
        <f>SUM(AP365:AP367)</f>
        <v>0</v>
      </c>
      <c r="AQ364" s="857">
        <f>SUM(AQ365:AQ367)</f>
        <v>0</v>
      </c>
      <c r="AR364" s="857">
        <f>SUM(AR365:AR367)</f>
        <v>0</v>
      </c>
      <c r="AS364" s="857">
        <f>SUM(AS365:AS367)</f>
        <v>0</v>
      </c>
      <c r="AT364" s="857">
        <f>SUM(AT365:AT367)</f>
        <v>0</v>
      </c>
      <c r="AU364" s="857">
        <f>SUM(AU365:AU367)</f>
        <v>0</v>
      </c>
      <c r="AV364" s="857">
        <f>SUM(AV365:AV367)</f>
        <v>0</v>
      </c>
      <c r="AW364" s="857">
        <f>SUM(AW365:AW367)</f>
        <v>0</v>
      </c>
      <c r="AX364" s="857">
        <f>SUM(AX365:AX367)</f>
        <v>0</v>
      </c>
      <c r="AY364" s="857">
        <f>SUM(AY365:AY367)</f>
        <v>0</v>
      </c>
      <c r="AZ364" s="857">
        <f>SUM(AZ365:AZ367)</f>
        <v>0</v>
      </c>
      <c r="BA364" s="857">
        <f>SUM(BA365:BA367)</f>
        <v>0</v>
      </c>
      <c r="BB364" s="857">
        <f>SUM(BB365:BB367)</f>
        <v>0</v>
      </c>
      <c r="BC364" s="857">
        <f>SUM(BC365:BC367)</f>
        <v>0</v>
      </c>
      <c r="BD364" s="857">
        <f>SUM(BD365:BD367)</f>
        <v>0</v>
      </c>
      <c r="BE364" s="857">
        <f>SUM(BE365:BE367)</f>
        <v>0</v>
      </c>
      <c r="BF364" s="857">
        <f>SUM(BF365:BF367)</f>
        <v>0</v>
      </c>
      <c r="BG364" s="857">
        <f>SUM(BG365:BG367)</f>
        <v>0</v>
      </c>
      <c r="BH364" s="857">
        <f>SUM(BH365:BH367)</f>
        <v>0</v>
      </c>
      <c r="BI364" s="857">
        <f>SUM(BI365:BI367)</f>
        <v>0</v>
      </c>
      <c r="BJ364" s="857">
        <f>SUM(BJ365:BJ367)</f>
        <v>0</v>
      </c>
      <c r="BK364" s="857">
        <f>SUM(BK365:BK367)</f>
        <v>0</v>
      </c>
      <c r="BL364" s="857">
        <f>SUM(BL365:BL367)</f>
        <v>0</v>
      </c>
      <c r="BM364" s="857">
        <f>SUM(BM365:BM367)</f>
        <v>0</v>
      </c>
      <c r="BN364" s="857">
        <f>SUM(BN365:BN367)</f>
        <v>0</v>
      </c>
      <c r="BO364" s="857">
        <f>SUM(BO365:BO367)</f>
        <v>0</v>
      </c>
      <c r="BP364" s="857">
        <f>SUM(BP365:BP367)</f>
        <v>0</v>
      </c>
      <c r="BQ364" s="857">
        <f>SUM(BQ365:BQ367)</f>
        <v>0</v>
      </c>
      <c r="BR364" s="857">
        <f>SUM(BR365:BR367)</f>
        <v>0</v>
      </c>
      <c r="BS364" s="857">
        <f>SUM(BS365:BS367)</f>
        <v>0</v>
      </c>
      <c r="BT364" s="857">
        <f>SUM(BT365:BT367)</f>
        <v>0</v>
      </c>
      <c r="BU364" s="857">
        <f>SUM(BU365:BU367)</f>
        <v>0</v>
      </c>
      <c r="BV364" s="857">
        <f>SUM(BV365:BV367)</f>
        <v>0</v>
      </c>
      <c r="BW364" s="857">
        <f>SUM(BW365:BW367)</f>
        <v>0</v>
      </c>
      <c r="BX364" s="857">
        <f>SUM(BX365:BX367)</f>
        <v>0</v>
      </c>
      <c r="BY364" s="857">
        <f>SUM(BY365:BY367)</f>
        <v>0</v>
      </c>
      <c r="BZ364" s="857">
        <f>SUM(BZ365:BZ367)</f>
        <v>0</v>
      </c>
      <c r="CA364" s="857">
        <f>SUM(CA365:CA367)</f>
        <v>0</v>
      </c>
      <c r="CB364" s="857">
        <f>SUM(CB365:CB367)</f>
        <v>0</v>
      </c>
      <c r="CC364" s="857">
        <f>SUM(CC365:CC367)</f>
        <v>0</v>
      </c>
      <c r="CD364" s="857">
        <f>SUM(CD365:CD367)</f>
        <v>0</v>
      </c>
      <c r="CE364" s="857">
        <f>SUM(CE365:CE367)</f>
        <v>0</v>
      </c>
      <c r="CF364" s="857">
        <f>SUM(CF365:CF367)</f>
        <v>0</v>
      </c>
      <c r="CG364" s="857">
        <f>SUM(CG365:CG367)</f>
        <v>0</v>
      </c>
      <c r="CH364" s="857">
        <f>SUM(CH365:CH367)</f>
        <v>0</v>
      </c>
      <c r="CI364" s="857">
        <f>SUM(CI365:CI367)</f>
        <v>0</v>
      </c>
      <c r="CJ364" s="857">
        <f>SUM(CJ365:CJ367)</f>
        <v>0</v>
      </c>
      <c r="CK364" s="857">
        <f>SUM(CK365:CK367)</f>
        <v>0</v>
      </c>
      <c r="CL364" s="857">
        <f>SUM(CL365:CL367)</f>
        <v>0</v>
      </c>
      <c r="CM364" s="857">
        <f>SUM(CM365:CM367)</f>
        <v>0</v>
      </c>
      <c r="CN364" s="857">
        <f>SUM(CN365:CN367)</f>
        <v>0</v>
      </c>
      <c r="CO364" s="857">
        <f>SUM(CO365:CO367)</f>
        <v>0</v>
      </c>
      <c r="CP364" s="857">
        <f>SUM(CP365:CP367)</f>
        <v>0</v>
      </c>
      <c r="CQ364" s="857">
        <f>SUM(CQ365:CQ367)</f>
        <v>0</v>
      </c>
      <c r="CR364" s="857">
        <f>SUM(CR365:CR367)</f>
        <v>0</v>
      </c>
      <c r="CS364" s="857">
        <f>SUM(CS365:CS367)</f>
        <v>0</v>
      </c>
      <c r="CT364" s="73"/>
      <c r="CU364" s="1619"/>
      <c r="CV364" s="1619"/>
      <c r="CW364" s="1170" t="s">
        <v>842</v>
      </c>
      <c r="CX364" s="1175"/>
      <c r="CY364" s="1175"/>
      <c r="CZ364" s="1175"/>
      <c r="DA364" s="1176"/>
      <c r="DB364" s="1176"/>
    </row>
    <row s="1619" customFormat="1" customHeight="1" ht="16.5" hidden="1">
      <c r="E365" s="794">
        <v>17.1</v>
      </c>
      <c r="F365" s="919" cm="1" t="str">
        <f t="array" ref="F365:F365">OFFSET(G365,-1,-1)</f>
        <v>2</v>
      </c>
      <c r="L365" s="919" cm="1" t="str">
        <f t="array" ref="L365:L365">OFFSET(M365,-1,-1)</f>
        <v>false</v>
      </c>
      <c r="R365" s="919" t="s">
        <v>725</v>
      </c>
      <c r="S365" s="156" cm="1" t="str">
        <f t="array" ref="S365:S365">OFFSET(T365,-1,-1)</f>
        <v>true</v>
      </c>
      <c r="T365" s="156">
        <f>AND(L365,AD365&lt;&gt;"33.0")</f>
        <v>0</v>
      </c>
      <c r="U365" s="816">
        <f>AND(S365,IF(ISBLANK(T365),TRUE,T365))</f>
        <v>0</v>
      </c>
      <c r="X365" s="156" t="s">
        <v>233</v>
      </c>
      <c r="AB365" s="1492"/>
      <c r="AD365" s="157" t="s">
        <v>843</v>
      </c>
      <c r="AE365" s="971"/>
      <c r="AF365" s="622"/>
      <c r="AG365" s="856" t="s">
        <v>805</v>
      </c>
      <c r="AH365" s="86">
        <f>AH$299*AH361</f>
        <v>0</v>
      </c>
      <c r="AI365" s="87">
        <f>AI$299*AI361</f>
        <v>0</v>
      </c>
      <c r="AJ365" s="87">
        <f>AJ$299*AJ361</f>
        <v>0</v>
      </c>
      <c r="AK365" s="87">
        <f>AK$299*AK361</f>
        <v>0</v>
      </c>
      <c r="AL365" s="859">
        <f>AM365+AN365</f>
        <v>0</v>
      </c>
      <c r="AM365" s="87">
        <f>AM$299*AM361</f>
        <v>0</v>
      </c>
      <c r="AN365" s="87">
        <f>AN$299*AN361</f>
        <v>0</v>
      </c>
      <c r="AO365" s="859">
        <f>AP365+AQ365</f>
        <v>0</v>
      </c>
      <c r="AP365" s="976">
        <f>AP$299*AP361</f>
        <v>0</v>
      </c>
      <c r="AQ365" s="976">
        <f>AQ$299*AQ361</f>
        <v>0</v>
      </c>
      <c r="AR365" s="859">
        <f>AS365+AT365</f>
        <v>0</v>
      </c>
      <c r="AS365" s="976">
        <f>AS$299*AS361</f>
        <v>0</v>
      </c>
      <c r="AT365" s="976">
        <f>AT$299*AT361</f>
        <v>0</v>
      </c>
      <c r="AU365" s="859">
        <f>AV365+AW365</f>
        <v>0</v>
      </c>
      <c r="AV365" s="976">
        <f>AV$299*AV361</f>
        <v>0</v>
      </c>
      <c r="AW365" s="976">
        <f>AW$299*AW361</f>
        <v>0</v>
      </c>
      <c r="AX365" s="859">
        <f>AY365+AZ365</f>
        <v>0</v>
      </c>
      <c r="AY365" s="976">
        <f>AY$299*AY361</f>
        <v>0</v>
      </c>
      <c r="AZ365" s="976">
        <f>AZ$299*AZ361</f>
        <v>0</v>
      </c>
      <c r="BA365" s="859">
        <f>BB365+BC365</f>
        <v>0</v>
      </c>
      <c r="BB365" s="87">
        <f>BB$299*BB361</f>
        <v>0</v>
      </c>
      <c r="BC365" s="87">
        <f>BC$299*BC361</f>
        <v>0</v>
      </c>
      <c r="BD365" s="859">
        <f>BE365+BF365</f>
        <v>0</v>
      </c>
      <c r="BE365" s="87">
        <f>BE$299*BE361</f>
        <v>0</v>
      </c>
      <c r="BF365" s="87">
        <f>BF$299*BF361</f>
        <v>0</v>
      </c>
      <c r="BG365" s="859">
        <f>BH365+BI365</f>
        <v>0</v>
      </c>
      <c r="BH365" s="87">
        <f>BH$299*BH361</f>
        <v>0</v>
      </c>
      <c r="BI365" s="87">
        <f>BI$299*BI361</f>
        <v>0</v>
      </c>
      <c r="BJ365" s="859">
        <f>BK365+BL365</f>
        <v>0</v>
      </c>
      <c r="BK365" s="87">
        <f>BK$299*BK361</f>
        <v>0</v>
      </c>
      <c r="BL365" s="87">
        <f>BL$299*BL361</f>
        <v>0</v>
      </c>
      <c r="BM365" s="859">
        <f>BN365+BO365</f>
        <v>0</v>
      </c>
      <c r="BN365" s="87">
        <f>BN$299*BN361</f>
        <v>0</v>
      </c>
      <c r="BO365" s="87">
        <f>BO$299*BO361</f>
        <v>0</v>
      </c>
      <c r="BP365" s="859">
        <f>BQ365+BR365</f>
        <v>0</v>
      </c>
      <c r="BQ365" s="976">
        <f>BQ$299*BQ361</f>
        <v>0</v>
      </c>
      <c r="BR365" s="976">
        <f>BR$299*BR361</f>
        <v>0</v>
      </c>
      <c r="BS365" s="859">
        <f>BT365+BU365</f>
        <v>0</v>
      </c>
      <c r="BT365" s="976">
        <f>BT$299*BT361</f>
        <v>0</v>
      </c>
      <c r="BU365" s="976">
        <f>BU$299*BU361</f>
        <v>0</v>
      </c>
      <c r="BV365" s="859">
        <f>BW365+BX365</f>
        <v>0</v>
      </c>
      <c r="BW365" s="976">
        <f>BW$299*BW361</f>
        <v>0</v>
      </c>
      <c r="BX365" s="976">
        <f>BX$299*BX361</f>
        <v>0</v>
      </c>
      <c r="BY365" s="859">
        <f>BZ365+CA365</f>
        <v>0</v>
      </c>
      <c r="BZ365" s="976">
        <f>BZ$299*BZ361</f>
        <v>0</v>
      </c>
      <c r="CA365" s="976">
        <f>CA$299*CA361</f>
        <v>0</v>
      </c>
      <c r="CB365" s="859">
        <f>CC365+CD365</f>
        <v>0</v>
      </c>
      <c r="CC365" s="976">
        <f>CC$299*CC361</f>
        <v>0</v>
      </c>
      <c r="CD365" s="976">
        <f>CD$299*CD361</f>
        <v>0</v>
      </c>
      <c r="CE365" s="859">
        <f>CF365+CG365</f>
        <v>0</v>
      </c>
      <c r="CF365" s="87">
        <f>CF$299*CF361</f>
        <v>0</v>
      </c>
      <c r="CG365" s="87">
        <f>CG$299*CG361</f>
        <v>0</v>
      </c>
      <c r="CH365" s="859">
        <f>CI365+CJ365</f>
        <v>0</v>
      </c>
      <c r="CI365" s="87">
        <f>CI$299*CI361</f>
        <v>0</v>
      </c>
      <c r="CJ365" s="87">
        <f>CJ$299*CJ361</f>
        <v>0</v>
      </c>
      <c r="CK365" s="859">
        <f>CL365+CM365</f>
        <v>0</v>
      </c>
      <c r="CL365" s="87">
        <f>CL$299*CL361</f>
        <v>0</v>
      </c>
      <c r="CM365" s="87">
        <f>CM$299*CM361</f>
        <v>0</v>
      </c>
      <c r="CN365" s="859">
        <f>CO365+CP365</f>
        <v>0</v>
      </c>
      <c r="CO365" s="87">
        <f>CO$299*CO361</f>
        <v>0</v>
      </c>
      <c r="CP365" s="87">
        <f>CP$299*CP361</f>
        <v>0</v>
      </c>
      <c r="CQ365" s="859">
        <f>CR365+CS365</f>
        <v>0</v>
      </c>
      <c r="CR365" s="87">
        <f>CR$299*CR361</f>
        <v>0</v>
      </c>
      <c r="CS365" s="87">
        <f>CS$299*CS361</f>
        <v>0</v>
      </c>
      <c r="CT365" s="73"/>
      <c r="CW365" s="1170" t="s">
        <v>842</v>
      </c>
      <c r="CX365" s="1175" t="s">
        <v>787</v>
      </c>
      <c r="CY365" s="1179" cm="1" t="str">
        <f t="array" ref="CY365:CY365">AE365</f>
        <v>0</v>
      </c>
      <c r="CZ365" s="1179" cm="1" t="str">
        <f t="array" ref="CZ365:CZ365">AF365</f>
        <v>0</v>
      </c>
      <c r="DA365" s="1176"/>
      <c r="DB365" s="1176"/>
    </row>
    <row s="1619" customFormat="1" customHeight="1" ht="16.5" hidden="1">
      <c r="A366" s="1619"/>
      <c r="B366" s="1619"/>
      <c r="C366" s="1619"/>
      <c r="D366" s="1619"/>
      <c r="E366" s="794">
        <v>17.1</v>
      </c>
      <c r="F366" s="919" cm="1" t="str">
        <f t="array" ref="F366:F366">OFFSET(G366,-1,-1)</f>
        <v>2</v>
      </c>
      <c r="G366" s="1619"/>
      <c r="H366" s="1619"/>
      <c r="I366" s="1619"/>
      <c r="J366" s="1619"/>
      <c r="K366" s="1619"/>
      <c r="L366" s="919" cm="1" t="str">
        <f t="array" ref="L366:L366">OFFSET(M366,-1,-1)</f>
        <v>false</v>
      </c>
      <c r="M366" s="1619"/>
      <c r="N366" s="1619"/>
      <c r="O366" s="1619"/>
      <c r="P366" s="1619"/>
      <c r="Q366" s="1619"/>
      <c r="R366" s="919" t="s">
        <v>725</v>
      </c>
      <c r="S366" s="156" cm="1" t="str">
        <f t="array" ref="S366:S366">OFFSET(T366,-1,-1)</f>
        <v>true</v>
      </c>
      <c r="T366" s="156">
        <f>AND(L366,AD366&lt;&gt;"33.0")</f>
        <v>0</v>
      </c>
      <c r="U366" s="816">
        <f>AND(S366,IF(ISBLANK(T366),TRUE,T366))</f>
        <v>0</v>
      </c>
      <c r="V366" s="1619"/>
      <c r="W366" s="1619"/>
      <c r="X366" s="156" t="str">
        <f>'Топливо 4.4'!$AE$362&amp;'Топливо 4.4'!$AF$362</f>
        <v>Уголь бурыйБ</v>
      </c>
      <c r="Y366" s="1619"/>
      <c r="Z366" s="1619"/>
      <c r="AA366" s="1619"/>
      <c r="AB366" s="1492"/>
      <c r="AC366" s="1619"/>
      <c r="AD366" s="157" t="s">
        <v>913</v>
      </c>
      <c r="AE366" s="971" cm="1" t="str">
        <f t="array" ref="AE366:AE366">IF(ISBLANK('Топливо 4.4'!$AE$362),"",'Топливо 4.4'!$AE$362)</f>
        <v>Уголь бурый</v>
      </c>
      <c r="AF366" s="622" cm="1" t="str">
        <f t="array" ref="AF366:AF366">IF(ISBLANK('Топливо 4.4'!$AF$362),"",'Топливо 4.4'!$AF$362)</f>
        <v>Б</v>
      </c>
      <c r="AG366" s="856" t="s">
        <v>805</v>
      </c>
      <c r="AH366" s="86">
        <f>AH$299*AH362</f>
        <v>0</v>
      </c>
      <c r="AI366" s="87">
        <f>AI$299*AI362</f>
        <v>0</v>
      </c>
      <c r="AJ366" s="87">
        <f>AJ$299*AJ362</f>
        <v>0</v>
      </c>
      <c r="AK366" s="87">
        <f>AK$299*AK362</f>
        <v>0</v>
      </c>
      <c r="AL366" s="859">
        <f>AM366+AN366</f>
        <v>0</v>
      </c>
      <c r="AM366" s="87">
        <f>AM$299*AM362</f>
        <v>0</v>
      </c>
      <c r="AN366" s="87">
        <f>AN$299*AN362</f>
        <v>0</v>
      </c>
      <c r="AO366" s="859">
        <f>AP366+AQ366</f>
        <v>0</v>
      </c>
      <c r="AP366" s="976">
        <f>AP$299*AP362</f>
        <v>0</v>
      </c>
      <c r="AQ366" s="976">
        <f>AQ$299*AQ362</f>
        <v>0</v>
      </c>
      <c r="AR366" s="859">
        <f>AS366+AT366</f>
        <v>0</v>
      </c>
      <c r="AS366" s="976">
        <f>AS$299*AS362</f>
        <v>0</v>
      </c>
      <c r="AT366" s="976">
        <f>AT$299*AT362</f>
        <v>0</v>
      </c>
      <c r="AU366" s="859">
        <f>AV366+AW366</f>
        <v>0</v>
      </c>
      <c r="AV366" s="976">
        <f>AV$299*AV362</f>
        <v>0</v>
      </c>
      <c r="AW366" s="976">
        <f>AW$299*AW362</f>
        <v>0</v>
      </c>
      <c r="AX366" s="859">
        <f>AY366+AZ366</f>
        <v>0</v>
      </c>
      <c r="AY366" s="976">
        <f>AY$299*AY362</f>
        <v>0</v>
      </c>
      <c r="AZ366" s="976">
        <f>AZ$299*AZ362</f>
        <v>0</v>
      </c>
      <c r="BA366" s="859">
        <f>BB366+BC366</f>
        <v>0</v>
      </c>
      <c r="BB366" s="87">
        <f>BB$299*BB362</f>
        <v>0</v>
      </c>
      <c r="BC366" s="87">
        <f>BC$299*BC362</f>
        <v>0</v>
      </c>
      <c r="BD366" s="859">
        <f>BE366+BF366</f>
        <v>0</v>
      </c>
      <c r="BE366" s="87">
        <f>BE$299*BE362</f>
        <v>0</v>
      </c>
      <c r="BF366" s="87">
        <f>BF$299*BF362</f>
        <v>0</v>
      </c>
      <c r="BG366" s="859">
        <f>BH366+BI366</f>
        <v>0</v>
      </c>
      <c r="BH366" s="87">
        <f>BH$299*BH362</f>
        <v>0</v>
      </c>
      <c r="BI366" s="87">
        <f>BI$299*BI362</f>
        <v>0</v>
      </c>
      <c r="BJ366" s="859">
        <f>BK366+BL366</f>
        <v>0</v>
      </c>
      <c r="BK366" s="87">
        <f>BK$299*BK362</f>
        <v>0</v>
      </c>
      <c r="BL366" s="87">
        <f>BL$299*BL362</f>
        <v>0</v>
      </c>
      <c r="BM366" s="859">
        <f>BN366+BO366</f>
        <v>0</v>
      </c>
      <c r="BN366" s="87">
        <f>BN$299*BN362</f>
        <v>0</v>
      </c>
      <c r="BO366" s="87">
        <f>BO$299*BO362</f>
        <v>0</v>
      </c>
      <c r="BP366" s="859">
        <f>BQ366+BR366</f>
        <v>0</v>
      </c>
      <c r="BQ366" s="976">
        <f>BQ$299*BQ362</f>
        <v>0</v>
      </c>
      <c r="BR366" s="976">
        <f>BR$299*BR362</f>
        <v>0</v>
      </c>
      <c r="BS366" s="859">
        <f>BT366+BU366</f>
        <v>0</v>
      </c>
      <c r="BT366" s="976">
        <f>BT$299*BT362</f>
        <v>0</v>
      </c>
      <c r="BU366" s="976">
        <f>BU$299*BU362</f>
        <v>0</v>
      </c>
      <c r="BV366" s="859">
        <f>BW366+BX366</f>
        <v>0</v>
      </c>
      <c r="BW366" s="976">
        <f>BW$299*BW362</f>
        <v>0</v>
      </c>
      <c r="BX366" s="976">
        <f>BX$299*BX362</f>
        <v>0</v>
      </c>
      <c r="BY366" s="859">
        <f>BZ366+CA366</f>
        <v>0</v>
      </c>
      <c r="BZ366" s="976">
        <f>BZ$299*BZ362</f>
        <v>0</v>
      </c>
      <c r="CA366" s="976">
        <f>CA$299*CA362</f>
        <v>0</v>
      </c>
      <c r="CB366" s="859">
        <f>CC366+CD366</f>
        <v>0</v>
      </c>
      <c r="CC366" s="976">
        <f>CC$299*CC362</f>
        <v>0</v>
      </c>
      <c r="CD366" s="976">
        <f>CD$299*CD362</f>
        <v>0</v>
      </c>
      <c r="CE366" s="859">
        <f>CF366+CG366</f>
        <v>0</v>
      </c>
      <c r="CF366" s="87">
        <f>CF$299*CF362</f>
        <v>0</v>
      </c>
      <c r="CG366" s="87">
        <f>CG$299*CG362</f>
        <v>0</v>
      </c>
      <c r="CH366" s="859">
        <f>CI366+CJ366</f>
        <v>0</v>
      </c>
      <c r="CI366" s="87">
        <f>CI$299*CI362</f>
        <v>0</v>
      </c>
      <c r="CJ366" s="87">
        <f>CJ$299*CJ362</f>
        <v>0</v>
      </c>
      <c r="CK366" s="859">
        <f>CL366+CM366</f>
        <v>0</v>
      </c>
      <c r="CL366" s="87">
        <f>CL$299*CL362</f>
        <v>0</v>
      </c>
      <c r="CM366" s="87">
        <f>CM$299*CM362</f>
        <v>0</v>
      </c>
      <c r="CN366" s="859">
        <f>CO366+CP366</f>
        <v>0</v>
      </c>
      <c r="CO366" s="87">
        <f>CO$299*CO362</f>
        <v>0</v>
      </c>
      <c r="CP366" s="87">
        <f>CP$299*CP362</f>
        <v>0</v>
      </c>
      <c r="CQ366" s="859">
        <f>CR366+CS366</f>
        <v>0</v>
      </c>
      <c r="CR366" s="87">
        <f>CR$299*CR362</f>
        <v>0</v>
      </c>
      <c r="CS366" s="87">
        <f>CS$299*CS362</f>
        <v>0</v>
      </c>
      <c r="CT366" s="73"/>
      <c r="CU366" s="1619"/>
      <c r="CV366" s="1619"/>
      <c r="CW366" s="1170" t="s">
        <v>842</v>
      </c>
      <c r="CX366" s="1175" t="s">
        <v>787</v>
      </c>
      <c r="CY366" s="1179" cm="1" t="str">
        <f t="array" ref="CY366:CY366">AE366</f>
        <v>Уголь бурый</v>
      </c>
      <c r="CZ366" s="1179" cm="1" t="str">
        <f t="array" ref="CZ366:CZ366">AF366</f>
        <v>Б</v>
      </c>
      <c r="DA366" s="1176"/>
      <c r="DB366" s="1176"/>
    </row>
    <row s="1619" customFormat="1" customHeight="1" ht="15" hidden="1">
      <c r="A367" s="1440"/>
      <c r="B367" s="924"/>
      <c r="C367" s="1440"/>
      <c r="D367" s="1440"/>
      <c r="E367" s="794">
        <v>0</v>
      </c>
      <c r="F367" s="919" cm="1" t="str">
        <f t="array" ref="F367:F367">OFFSET(G367,-1,-1)</f>
        <v>2</v>
      </c>
      <c r="G367" s="962"/>
      <c r="H367" s="962"/>
      <c r="I367" s="962"/>
      <c r="J367" s="962"/>
      <c r="K367" s="962"/>
      <c r="L367" s="919" cm="1" t="str">
        <f t="array" ref="L367:L367">OFFSET(M367,-1,-1)</f>
        <v>false</v>
      </c>
      <c r="M367" s="962"/>
      <c r="N367" s="962"/>
      <c r="O367" s="962"/>
      <c r="P367" s="962"/>
      <c r="Q367" s="962"/>
      <c r="R367" s="1440"/>
      <c r="S367" s="156" cm="1" t="str">
        <f t="array" ref="S367:S367">OFFSET(T367,-1,-1)</f>
        <v>true</v>
      </c>
      <c r="T367" s="1440"/>
      <c r="U367" s="816">
        <f>AND(S367,IF(ISBLANK(T367),TRUE,T367))</f>
        <v>1</v>
      </c>
      <c r="V367" s="1440"/>
      <c r="W367" s="1440"/>
      <c r="X367" s="970" t="str">
        <f>"{                  
         funcDyn: 'msg1',
         blok: 'blok_2',
         wsCross: 'Топливо 4.4',
         linkFormula: 'AE-AE#AF-AF',
         levelDyn: "&amp;Y275&amp;"
}"</f>
        <v>{                  
         funcDyn: 'msg1',
         blok: 'blok_2',
         wsCross: 'Топливо 4.4',
         linkFormula: 'AE-AE#AF-AF',
         levelDyn: 2
}</v>
      </c>
      <c r="Y367" s="1440"/>
      <c r="Z367" s="1440"/>
      <c r="AA367" s="817"/>
      <c r="AB367" s="1493"/>
      <c r="AC367" s="1619"/>
      <c r="AD367" s="973"/>
      <c r="AE367" s="972" t="s">
        <v>235</v>
      </c>
      <c r="AF367" s="871"/>
      <c r="AG367" s="856"/>
      <c r="AH367" s="858"/>
      <c r="AI367" s="860"/>
      <c r="AJ367" s="860"/>
      <c r="AK367" s="860"/>
      <c r="AL367" s="860"/>
      <c r="AM367" s="860"/>
      <c r="AN367" s="860"/>
      <c r="AO367" s="860"/>
      <c r="AP367" s="860"/>
      <c r="AQ367" s="860"/>
      <c r="AR367" s="860"/>
      <c r="AS367" s="860"/>
      <c r="AT367" s="860"/>
      <c r="AU367" s="860"/>
      <c r="AV367" s="860"/>
      <c r="AW367" s="860"/>
      <c r="AX367" s="860"/>
      <c r="AY367" s="860"/>
      <c r="AZ367" s="860"/>
      <c r="BA367" s="860"/>
      <c r="BB367" s="860"/>
      <c r="BC367" s="860"/>
      <c r="BD367" s="860"/>
      <c r="BE367" s="860"/>
      <c r="BF367" s="860"/>
      <c r="BG367" s="860"/>
      <c r="BH367" s="860"/>
      <c r="BI367" s="860"/>
      <c r="BJ367" s="860"/>
      <c r="BK367" s="860"/>
      <c r="BL367" s="860"/>
      <c r="BM367" s="860"/>
      <c r="BN367" s="860"/>
      <c r="BO367" s="860"/>
      <c r="BP367" s="860"/>
      <c r="BQ367" s="860"/>
      <c r="BR367" s="860"/>
      <c r="BS367" s="860"/>
      <c r="BT367" s="860"/>
      <c r="BU367" s="860"/>
      <c r="BV367" s="860"/>
      <c r="BW367" s="860"/>
      <c r="BX367" s="860"/>
      <c r="BY367" s="860"/>
      <c r="BZ367" s="860"/>
      <c r="CA367" s="860"/>
      <c r="CB367" s="860"/>
      <c r="CC367" s="860"/>
      <c r="CD367" s="860"/>
      <c r="CE367" s="860"/>
      <c r="CF367" s="860"/>
      <c r="CG367" s="860"/>
      <c r="CH367" s="860"/>
      <c r="CI367" s="860"/>
      <c r="CJ367" s="860"/>
      <c r="CK367" s="860"/>
      <c r="CL367" s="860"/>
      <c r="CM367" s="860"/>
      <c r="CN367" s="860"/>
      <c r="CO367" s="860"/>
      <c r="CP367" s="860"/>
      <c r="CQ367" s="860"/>
      <c r="CR367" s="860"/>
      <c r="CS367" s="860"/>
      <c r="CT367" s="91"/>
      <c r="CU367" s="1619"/>
      <c r="CV367" s="1619"/>
      <c r="CW367" s="1170" t="str">
        <f>IF(AND(ISNUMBER(VALUE(TRIM(SUBSTITUTE(AD367,".","")))),TRIM(SUBSTITUTE(AD367,".",""))&lt;&gt;""),"P"&amp;SUBSTITUTE(AD367,".",""),"")</f>
        <v/>
      </c>
      <c r="CX367" s="1175"/>
      <c r="CY367" s="1175"/>
      <c r="CZ367" s="1175"/>
      <c r="DA367" s="1176"/>
      <c r="DB367" s="1176"/>
    </row>
    <row s="1619" customFormat="1" customHeight="1" ht="16.5">
      <c r="A368" s="1440"/>
      <c r="B368" s="924"/>
      <c r="C368" s="1440"/>
      <c r="D368" s="1440"/>
      <c r="E368" s="794">
        <v>17.1</v>
      </c>
      <c r="F368" s="919" cm="1" t="str">
        <f t="array" ref="F368:F368">OFFSET(G368,-1,-1)</f>
        <v>2</v>
      </c>
      <c r="G368" s="962"/>
      <c r="H368" s="962"/>
      <c r="I368" s="962"/>
      <c r="J368" s="962"/>
      <c r="K368" s="962"/>
      <c r="L368" s="919" cm="1" t="str">
        <f t="array" ref="L368:L368">OFFSET(M368,-1,-1)</f>
        <v>false</v>
      </c>
      <c r="M368" s="962"/>
      <c r="N368" s="962"/>
      <c r="O368" s="962"/>
      <c r="P368" s="962"/>
      <c r="Q368" s="962"/>
      <c r="R368" s="1440"/>
      <c r="S368" s="156" cm="1" t="str">
        <f t="array" ref="S368:S368">OFFSET(T368,-1,-1)</f>
        <v>true</v>
      </c>
      <c r="T368" s="1440"/>
      <c r="U368" s="816">
        <f>AND(S368,IF(ISBLANK(T368),TRUE,T368))</f>
        <v>1</v>
      </c>
      <c r="V368" s="1440"/>
      <c r="W368" s="1440"/>
      <c r="X368" s="1440"/>
      <c r="Y368" s="1440"/>
      <c r="Z368" s="1440"/>
      <c r="AA368" s="817"/>
      <c r="AB368" s="1482" t="s">
        <v>844</v>
      </c>
      <c r="AC368" s="1619"/>
      <c r="AD368" s="170" t="s">
        <v>845</v>
      </c>
      <c r="AE368" s="1494" t="s">
        <v>846</v>
      </c>
      <c r="AF368" s="320"/>
      <c r="AG368" s="1007"/>
      <c r="AH368" s="858"/>
      <c r="AI368" s="860"/>
      <c r="AJ368" s="860"/>
      <c r="AK368" s="860"/>
      <c r="AL368" s="860"/>
      <c r="AM368" s="860"/>
      <c r="AN368" s="860"/>
      <c r="AO368" s="860"/>
      <c r="AP368" s="860"/>
      <c r="AQ368" s="860"/>
      <c r="AR368" s="860"/>
      <c r="AS368" s="860"/>
      <c r="AT368" s="860"/>
      <c r="AU368" s="860"/>
      <c r="AV368" s="860"/>
      <c r="AW368" s="860"/>
      <c r="AX368" s="860"/>
      <c r="AY368" s="860"/>
      <c r="AZ368" s="860"/>
      <c r="BA368" s="860"/>
      <c r="BB368" s="860"/>
      <c r="BC368" s="860"/>
      <c r="BD368" s="860"/>
      <c r="BE368" s="860"/>
      <c r="BF368" s="860"/>
      <c r="BG368" s="860"/>
      <c r="BH368" s="860"/>
      <c r="BI368" s="860"/>
      <c r="BJ368" s="860"/>
      <c r="BK368" s="860"/>
      <c r="BL368" s="860"/>
      <c r="BM368" s="860"/>
      <c r="BN368" s="860"/>
      <c r="BO368" s="860"/>
      <c r="BP368" s="860"/>
      <c r="BQ368" s="860"/>
      <c r="BR368" s="860"/>
      <c r="BS368" s="860"/>
      <c r="BT368" s="860"/>
      <c r="BU368" s="860"/>
      <c r="BV368" s="860"/>
      <c r="BW368" s="860"/>
      <c r="BX368" s="860"/>
      <c r="BY368" s="860"/>
      <c r="BZ368" s="860"/>
      <c r="CA368" s="860"/>
      <c r="CB368" s="860"/>
      <c r="CC368" s="860"/>
      <c r="CD368" s="860"/>
      <c r="CE368" s="860"/>
      <c r="CF368" s="860"/>
      <c r="CG368" s="860"/>
      <c r="CH368" s="860"/>
      <c r="CI368" s="860"/>
      <c r="CJ368" s="860"/>
      <c r="CK368" s="860"/>
      <c r="CL368" s="860"/>
      <c r="CM368" s="860"/>
      <c r="CN368" s="860"/>
      <c r="CO368" s="860"/>
      <c r="CP368" s="860"/>
      <c r="CQ368" s="860"/>
      <c r="CR368" s="860"/>
      <c r="CS368" s="860"/>
      <c r="CT368" s="1730"/>
      <c r="CU368" s="1619"/>
      <c r="CV368" s="1619"/>
      <c r="CW368" s="1170" t="s">
        <v>847</v>
      </c>
      <c r="CX368" s="1175"/>
      <c r="CY368" s="1175"/>
      <c r="CZ368" s="1175"/>
      <c r="DA368" s="1176"/>
      <c r="DB368" s="1176"/>
    </row>
    <row s="1619" customFormat="1" customHeight="1" ht="16.5" hidden="1">
      <c r="E369" s="794">
        <v>17.1</v>
      </c>
      <c r="F369" s="919" cm="1" t="str">
        <f t="array" ref="F369:F369">OFFSET(G369,-1,-1)</f>
        <v>2</v>
      </c>
      <c r="L369" s="919" cm="1" t="str">
        <f t="array" ref="L369:L369">OFFSET(M369,-1,-1)</f>
        <v>false</v>
      </c>
      <c r="S369" s="156" cm="1" t="str">
        <f t="array" ref="S369:S369">OFFSET(T369,-1,-1)</f>
        <v>true</v>
      </c>
      <c r="T369" s="156">
        <f>AD369&lt;&gt;"34.0"</f>
        <v>0</v>
      </c>
      <c r="U369" s="816">
        <f>AND(S369,IF(ISBLANK(T369),TRUE,T369))</f>
        <v>0</v>
      </c>
      <c r="X369" s="156" t="s">
        <v>233</v>
      </c>
      <c r="AB369" s="1483"/>
      <c r="AD369" s="157" t="s">
        <v>848</v>
      </c>
      <c r="AE369" s="971"/>
      <c r="AF369" s="622"/>
      <c r="AG369" s="856" t="s">
        <v>490</v>
      </c>
      <c r="AH369" s="90"/>
      <c r="AI369" s="94"/>
      <c r="AJ369" s="94"/>
      <c r="AK369" s="94"/>
      <c r="AL369" s="860"/>
      <c r="AM369" s="94"/>
      <c r="AN369" s="94"/>
      <c r="AO369" s="860"/>
      <c r="AP369" s="981"/>
      <c r="AQ369" s="981"/>
      <c r="AR369" s="860"/>
      <c r="AS369" s="981"/>
      <c r="AT369" s="981"/>
      <c r="AU369" s="860"/>
      <c r="AV369" s="981"/>
      <c r="AW369" s="981"/>
      <c r="AX369" s="860"/>
      <c r="AY369" s="981"/>
      <c r="AZ369" s="981"/>
      <c r="BA369" s="860"/>
      <c r="BB369" s="94"/>
      <c r="BC369" s="94"/>
      <c r="BD369" s="860"/>
      <c r="BE369" s="94"/>
      <c r="BF369" s="94"/>
      <c r="BG369" s="860"/>
      <c r="BH369" s="94"/>
      <c r="BI369" s="94"/>
      <c r="BJ369" s="860"/>
      <c r="BK369" s="94"/>
      <c r="BL369" s="94"/>
      <c r="BM369" s="860"/>
      <c r="BN369" s="94"/>
      <c r="BO369" s="94"/>
      <c r="BP369" s="860"/>
      <c r="BQ369" s="981"/>
      <c r="BR369" s="981"/>
      <c r="BS369" s="860"/>
      <c r="BT369" s="981"/>
      <c r="BU369" s="981"/>
      <c r="BV369" s="860"/>
      <c r="BW369" s="981"/>
      <c r="BX369" s="981"/>
      <c r="BY369" s="860"/>
      <c r="BZ369" s="981"/>
      <c r="CA369" s="981"/>
      <c r="CB369" s="860"/>
      <c r="CC369" s="981"/>
      <c r="CD369" s="981"/>
      <c r="CE369" s="860"/>
      <c r="CF369" s="94"/>
      <c r="CG369" s="94"/>
      <c r="CH369" s="860"/>
      <c r="CI369" s="94"/>
      <c r="CJ369" s="94"/>
      <c r="CK369" s="860"/>
      <c r="CL369" s="94"/>
      <c r="CM369" s="94"/>
      <c r="CN369" s="860"/>
      <c r="CO369" s="94"/>
      <c r="CP369" s="94"/>
      <c r="CQ369" s="860"/>
      <c r="CR369" s="94"/>
      <c r="CS369" s="94"/>
      <c r="CT369" s="73"/>
      <c r="CW369" s="1170" t="s">
        <v>847</v>
      </c>
      <c r="CX369" s="1175" t="s">
        <v>787</v>
      </c>
      <c r="CY369" s="1179" cm="1" t="str">
        <f t="array" ref="CY369:CY369">AE369</f>
        <v>0</v>
      </c>
      <c r="CZ369" s="1179" cm="1" t="str">
        <f t="array" ref="CZ369:CZ369">AF369</f>
        <v>0</v>
      </c>
      <c r="DA369" s="1176"/>
      <c r="DB369" s="1176"/>
    </row>
    <row s="1619" customFormat="1" customHeight="1" ht="16.5">
      <c r="A370" s="1619"/>
      <c r="B370" s="1619"/>
      <c r="C370" s="1619"/>
      <c r="D370" s="1619"/>
      <c r="E370" s="794">
        <v>17.1</v>
      </c>
      <c r="F370" s="919" cm="1" t="str">
        <f t="array" ref="F370:F370">OFFSET(G370,-1,-1)</f>
        <v>2</v>
      </c>
      <c r="G370" s="1619"/>
      <c r="H370" s="1619"/>
      <c r="I370" s="1619"/>
      <c r="J370" s="1619"/>
      <c r="K370" s="1619"/>
      <c r="L370" s="919" cm="1" t="str">
        <f t="array" ref="L370:L370">OFFSET(M370,-1,-1)</f>
        <v>false</v>
      </c>
      <c r="M370" s="1619"/>
      <c r="N370" s="1619"/>
      <c r="O370" s="1619"/>
      <c r="P370" s="1619"/>
      <c r="Q370" s="1619"/>
      <c r="R370" s="1619"/>
      <c r="S370" s="156" cm="1" t="str">
        <f t="array" ref="S370:S370">OFFSET(T370,-1,-1)</f>
        <v>true</v>
      </c>
      <c r="T370" s="156">
        <f>AD370&lt;&gt;"34.0"</f>
        <v>1</v>
      </c>
      <c r="U370" s="816">
        <f>AND(S370,IF(ISBLANK(T370),TRUE,T370))</f>
        <v>1</v>
      </c>
      <c r="V370" s="1619"/>
      <c r="W370" s="1619"/>
      <c r="X370" s="156" t="str">
        <f>'Топливо 4.4'!$AE$366&amp;'Топливо 4.4'!$AF$366</f>
        <v>Уголь бурыйБ</v>
      </c>
      <c r="Y370" s="1619"/>
      <c r="Z370" s="1619"/>
      <c r="AA370" s="1619"/>
      <c r="AB370" s="1483"/>
      <c r="AC370" s="1619"/>
      <c r="AD370" s="157" t="s">
        <v>914</v>
      </c>
      <c r="AE370" s="971" cm="1" t="str">
        <f t="array" ref="AE370:AE370">IF(ISBLANK('Топливо 4.4'!$AE$366),"",'Топливо 4.4'!$AE$366)</f>
        <v>Уголь бурый</v>
      </c>
      <c r="AF370" s="622" cm="1" t="str">
        <f t="array" ref="AF370:AF370">IF(ISBLANK('Топливо 4.4'!$AF$366),"",'Топливо 4.4'!$AF$366)</f>
        <v>Б</v>
      </c>
      <c r="AG370" s="856" t="s">
        <v>490</v>
      </c>
      <c r="AH370" s="1772"/>
      <c r="AI370" s="1777"/>
      <c r="AJ370" s="1777"/>
      <c r="AK370" s="1777"/>
      <c r="AL370" s="860"/>
      <c r="AM370" s="1777"/>
      <c r="AN370" s="1777"/>
      <c r="AO370" s="860"/>
      <c r="AP370" s="981"/>
      <c r="AQ370" s="981"/>
      <c r="AR370" s="860"/>
      <c r="AS370" s="981"/>
      <c r="AT370" s="981"/>
      <c r="AU370" s="860"/>
      <c r="AV370" s="981"/>
      <c r="AW370" s="981"/>
      <c r="AX370" s="860"/>
      <c r="AY370" s="981"/>
      <c r="AZ370" s="981"/>
      <c r="BA370" s="860"/>
      <c r="BB370" s="1777"/>
      <c r="BC370" s="1777"/>
      <c r="BD370" s="860"/>
      <c r="BE370" s="1777"/>
      <c r="BF370" s="1777"/>
      <c r="BG370" s="860"/>
      <c r="BH370" s="1777"/>
      <c r="BI370" s="1777"/>
      <c r="BJ370" s="860"/>
      <c r="BK370" s="1777"/>
      <c r="BL370" s="1777"/>
      <c r="BM370" s="860"/>
      <c r="BN370" s="1777"/>
      <c r="BO370" s="1777"/>
      <c r="BP370" s="860"/>
      <c r="BQ370" s="981"/>
      <c r="BR370" s="981"/>
      <c r="BS370" s="860"/>
      <c r="BT370" s="981"/>
      <c r="BU370" s="981"/>
      <c r="BV370" s="860"/>
      <c r="BW370" s="981"/>
      <c r="BX370" s="981"/>
      <c r="BY370" s="860"/>
      <c r="BZ370" s="981"/>
      <c r="CA370" s="981"/>
      <c r="CB370" s="860"/>
      <c r="CC370" s="981"/>
      <c r="CD370" s="981"/>
      <c r="CE370" s="860"/>
      <c r="CF370" s="1777"/>
      <c r="CG370" s="1777"/>
      <c r="CH370" s="860"/>
      <c r="CI370" s="1777"/>
      <c r="CJ370" s="1777"/>
      <c r="CK370" s="860"/>
      <c r="CL370" s="1777"/>
      <c r="CM370" s="1777"/>
      <c r="CN370" s="860"/>
      <c r="CO370" s="1777"/>
      <c r="CP370" s="1777"/>
      <c r="CQ370" s="860"/>
      <c r="CR370" s="1777"/>
      <c r="CS370" s="1777"/>
      <c r="CT370" s="1730"/>
      <c r="CU370" s="1619"/>
      <c r="CV370" s="1619"/>
      <c r="CW370" s="1170" t="s">
        <v>847</v>
      </c>
      <c r="CX370" s="1175" t="s">
        <v>787</v>
      </c>
      <c r="CY370" s="1179" cm="1" t="str">
        <f t="array" ref="CY370:CY370">AE370</f>
        <v>Уголь бурый</v>
      </c>
      <c r="CZ370" s="1179" cm="1" t="str">
        <f t="array" ref="CZ370:CZ370">AF370</f>
        <v>Б</v>
      </c>
      <c r="DA370" s="1176"/>
      <c r="DB370" s="1176"/>
    </row>
    <row s="1619" customFormat="1" customHeight="1" ht="15" hidden="1">
      <c r="A371" s="1440"/>
      <c r="B371" s="924"/>
      <c r="C371" s="1440"/>
      <c r="D371" s="1440"/>
      <c r="E371" s="794">
        <v>0</v>
      </c>
      <c r="F371" s="919" cm="1" t="str">
        <f t="array" ref="F371:F371">OFFSET(G371,-1,-1)</f>
        <v>2</v>
      </c>
      <c r="G371" s="962"/>
      <c r="H371" s="962"/>
      <c r="I371" s="962"/>
      <c r="J371" s="962"/>
      <c r="K371" s="962"/>
      <c r="L371" s="919" cm="1" t="str">
        <f t="array" ref="L371:L371">OFFSET(M371,-1,-1)</f>
        <v>false</v>
      </c>
      <c r="M371" s="962"/>
      <c r="N371" s="962"/>
      <c r="O371" s="962"/>
      <c r="P371" s="962"/>
      <c r="Q371" s="962"/>
      <c r="R371" s="1440"/>
      <c r="S371" s="156" cm="1" t="str">
        <f t="array" ref="S371:S371">OFFSET(T371,-1,-1)</f>
        <v>true</v>
      </c>
      <c r="T371" s="1440"/>
      <c r="U371" s="816">
        <f>AND(S371,IF(ISBLANK(T371),TRUE,T371))</f>
        <v>1</v>
      </c>
      <c r="V371" s="1440"/>
      <c r="W371" s="1440"/>
      <c r="X371" s="970" t="str">
        <f>"{                  
         funcDyn: 'msg1',
         blok: 'blok_2',
         wsCross: 'Топливо 4.4',
         linkFormula: 'AE-AE#AF-AF',
         levelDyn: "&amp;Y275&amp;"
}"</f>
        <v>{                  
         funcDyn: 'msg1',
         blok: 'blok_2',
         wsCross: 'Топливо 4.4',
         linkFormula: 'AE-AE#AF-AF',
         levelDyn: 2
}</v>
      </c>
      <c r="Y371" s="1440"/>
      <c r="Z371" s="1440"/>
      <c r="AA371" s="817"/>
      <c r="AB371" s="1483"/>
      <c r="AC371" s="1619"/>
      <c r="AD371" s="973"/>
      <c r="AE371" s="972" t="s">
        <v>235</v>
      </c>
      <c r="AF371" s="871"/>
      <c r="AG371" s="856"/>
      <c r="AH371" s="873"/>
      <c r="AI371" s="95"/>
      <c r="AJ371" s="95"/>
      <c r="AK371" s="95"/>
      <c r="AL371" s="860"/>
      <c r="AM371" s="95"/>
      <c r="AN371" s="95"/>
      <c r="AO371" s="860"/>
      <c r="AP371" s="95"/>
      <c r="AQ371" s="95"/>
      <c r="AR371" s="860"/>
      <c r="AS371" s="95"/>
      <c r="AT371" s="95"/>
      <c r="AU371" s="860"/>
      <c r="AV371" s="95"/>
      <c r="AW371" s="95"/>
      <c r="AX371" s="860"/>
      <c r="AY371" s="95"/>
      <c r="AZ371" s="95"/>
      <c r="BA371" s="860"/>
      <c r="BB371" s="95"/>
      <c r="BC371" s="95"/>
      <c r="BD371" s="860"/>
      <c r="BE371" s="95"/>
      <c r="BF371" s="95"/>
      <c r="BG371" s="860"/>
      <c r="BH371" s="95"/>
      <c r="BI371" s="95"/>
      <c r="BJ371" s="860"/>
      <c r="BK371" s="95"/>
      <c r="BL371" s="95"/>
      <c r="BM371" s="860"/>
      <c r="BN371" s="95"/>
      <c r="BO371" s="95"/>
      <c r="BP371" s="860"/>
      <c r="BQ371" s="95"/>
      <c r="BR371" s="95"/>
      <c r="BS371" s="860"/>
      <c r="BT371" s="95"/>
      <c r="BU371" s="95"/>
      <c r="BV371" s="860"/>
      <c r="BW371" s="95"/>
      <c r="BX371" s="95"/>
      <c r="BY371" s="860"/>
      <c r="BZ371" s="95"/>
      <c r="CA371" s="95"/>
      <c r="CB371" s="860"/>
      <c r="CC371" s="95"/>
      <c r="CD371" s="95"/>
      <c r="CE371" s="860"/>
      <c r="CF371" s="95"/>
      <c r="CG371" s="95"/>
      <c r="CH371" s="860"/>
      <c r="CI371" s="95"/>
      <c r="CJ371" s="95"/>
      <c r="CK371" s="860"/>
      <c r="CL371" s="95"/>
      <c r="CM371" s="95"/>
      <c r="CN371" s="860"/>
      <c r="CO371" s="95"/>
      <c r="CP371" s="95"/>
      <c r="CQ371" s="860"/>
      <c r="CR371" s="95"/>
      <c r="CS371" s="95"/>
      <c r="CT371" s="91"/>
      <c r="CU371" s="1619"/>
      <c r="CV371" s="1619"/>
      <c r="CW371" s="1170" t="str">
        <f>IF(AND(ISNUMBER(VALUE(TRIM(SUBSTITUTE(AD371,".","")))),TRIM(SUBSTITUTE(AD371,".",""))&lt;&gt;""),"P"&amp;SUBSTITUTE(AD371,".",""),"")</f>
        <v/>
      </c>
      <c r="CX371" s="1175"/>
      <c r="CY371" s="1175"/>
      <c r="CZ371" s="1175"/>
      <c r="DA371" s="1176"/>
      <c r="DB371" s="1176"/>
    </row>
    <row s="1619" customFormat="1" customHeight="1" ht="16.5">
      <c r="A372" s="1440"/>
      <c r="B372" s="924"/>
      <c r="C372" s="1440"/>
      <c r="D372" s="1440"/>
      <c r="E372" s="794">
        <v>17.1</v>
      </c>
      <c r="F372" s="919" cm="1" t="str">
        <f t="array" ref="F372:F372">OFFSET(G372,-1,-1)</f>
        <v>2</v>
      </c>
      <c r="G372" s="962"/>
      <c r="H372" s="962"/>
      <c r="I372" s="962"/>
      <c r="J372" s="962"/>
      <c r="K372" s="962"/>
      <c r="L372" s="919" cm="1" t="str">
        <f t="array" ref="L372:L372">OFFSET(M372,-1,-1)</f>
        <v>false</v>
      </c>
      <c r="M372" s="962"/>
      <c r="N372" s="962"/>
      <c r="O372" s="962"/>
      <c r="P372" s="962"/>
      <c r="Q372" s="962"/>
      <c r="R372" s="1440"/>
      <c r="S372" s="156" cm="1" t="str">
        <f t="array" ref="S372:S372">OFFSET(T372,-1,-1)</f>
        <v>true</v>
      </c>
      <c r="T372" s="1440"/>
      <c r="U372" s="816">
        <f>AND(S372,IF(ISBLANK(T372),TRUE,T372))</f>
        <v>1</v>
      </c>
      <c r="V372" s="1440"/>
      <c r="W372" s="1440"/>
      <c r="X372" s="1440"/>
      <c r="Y372" s="1440"/>
      <c r="Z372" s="1440"/>
      <c r="AA372" s="817"/>
      <c r="AB372" s="1483"/>
      <c r="AC372" s="1619"/>
      <c r="AD372" s="170" t="s">
        <v>849</v>
      </c>
      <c r="AE372" s="1494" t="s">
        <v>850</v>
      </c>
      <c r="AF372" s="320"/>
      <c r="AG372" s="1007"/>
      <c r="AH372" s="858"/>
      <c r="AI372" s="860"/>
      <c r="AJ372" s="860"/>
      <c r="AK372" s="860"/>
      <c r="AL372" s="860"/>
      <c r="AM372" s="860"/>
      <c r="AN372" s="860"/>
      <c r="AO372" s="860"/>
      <c r="AP372" s="860"/>
      <c r="AQ372" s="860"/>
      <c r="AR372" s="860"/>
      <c r="AS372" s="860"/>
      <c r="AT372" s="860"/>
      <c r="AU372" s="860"/>
      <c r="AV372" s="860"/>
      <c r="AW372" s="860"/>
      <c r="AX372" s="860"/>
      <c r="AY372" s="860"/>
      <c r="AZ372" s="860"/>
      <c r="BA372" s="860"/>
      <c r="BB372" s="860"/>
      <c r="BC372" s="860"/>
      <c r="BD372" s="860"/>
      <c r="BE372" s="860"/>
      <c r="BF372" s="860"/>
      <c r="BG372" s="860"/>
      <c r="BH372" s="860"/>
      <c r="BI372" s="860"/>
      <c r="BJ372" s="860"/>
      <c r="BK372" s="860"/>
      <c r="BL372" s="860"/>
      <c r="BM372" s="860"/>
      <c r="BN372" s="860"/>
      <c r="BO372" s="860"/>
      <c r="BP372" s="860"/>
      <c r="BQ372" s="860"/>
      <c r="BR372" s="860"/>
      <c r="BS372" s="860"/>
      <c r="BT372" s="860"/>
      <c r="BU372" s="860"/>
      <c r="BV372" s="860"/>
      <c r="BW372" s="860"/>
      <c r="BX372" s="860"/>
      <c r="BY372" s="860"/>
      <c r="BZ372" s="860"/>
      <c r="CA372" s="860"/>
      <c r="CB372" s="860"/>
      <c r="CC372" s="860"/>
      <c r="CD372" s="860"/>
      <c r="CE372" s="860"/>
      <c r="CF372" s="860"/>
      <c r="CG372" s="860"/>
      <c r="CH372" s="860"/>
      <c r="CI372" s="860"/>
      <c r="CJ372" s="860"/>
      <c r="CK372" s="860"/>
      <c r="CL372" s="860"/>
      <c r="CM372" s="860"/>
      <c r="CN372" s="860"/>
      <c r="CO372" s="860"/>
      <c r="CP372" s="860"/>
      <c r="CQ372" s="860"/>
      <c r="CR372" s="860"/>
      <c r="CS372" s="860"/>
      <c r="CT372" s="1730"/>
      <c r="CU372" s="1619"/>
      <c r="CV372" s="1619"/>
      <c r="CW372" s="1170" t="s">
        <v>851</v>
      </c>
      <c r="CX372" s="1175"/>
      <c r="CY372" s="1175"/>
      <c r="CZ372" s="1175"/>
      <c r="DA372" s="1176"/>
      <c r="DB372" s="1176"/>
    </row>
    <row s="1619" customFormat="1" customHeight="1" ht="16.5" hidden="1">
      <c r="E373" s="794">
        <v>17.1</v>
      </c>
      <c r="F373" s="919" cm="1" t="str">
        <f t="array" ref="F373:F373">OFFSET(G373,-1,-1)</f>
        <v>2</v>
      </c>
      <c r="L373" s="919" cm="1" t="str">
        <f t="array" ref="L373:L373">OFFSET(M373,-1,-1)</f>
        <v>false</v>
      </c>
      <c r="S373" s="156" cm="1" t="str">
        <f t="array" ref="S373:S373">OFFSET(T373,-1,-1)</f>
        <v>true</v>
      </c>
      <c r="T373" s="156">
        <f>AD373&lt;&gt;"35.0"</f>
        <v>0</v>
      </c>
      <c r="U373" s="816">
        <f>AND(S373,IF(ISBLANK(T373),TRUE,T373))</f>
        <v>0</v>
      </c>
      <c r="X373" s="156" t="s">
        <v>233</v>
      </c>
      <c r="AB373" s="1483"/>
      <c r="AD373" s="157" t="s">
        <v>852</v>
      </c>
      <c r="AE373" s="971"/>
      <c r="AF373" s="622"/>
      <c r="AG373" s="1067" t="str">
        <f>"руб./"&amp;_xlfn.IFERROR(INDEX(fuel_ed_izm_list,MATCH(AE373,fuel_list,0)),"")</f>
        <v>руб./</v>
      </c>
      <c r="AH373" s="86">
        <f>_xlfn.IFERROR(AH378/AH314,0)*1000</f>
        <v>0</v>
      </c>
      <c r="AI373" s="86">
        <f>_xlfn.IFERROR(AI378/AI314,0)*1000</f>
        <v>0</v>
      </c>
      <c r="AJ373" s="86">
        <f>_xlfn.IFERROR(AJ378/AJ314,0)*1000</f>
        <v>0</v>
      </c>
      <c r="AK373" s="86">
        <f>_xlfn.IFERROR(AK378/AK314,0)*1000</f>
        <v>0</v>
      </c>
      <c r="AL373" s="859">
        <f>_xlfn.IFERROR(AL378/AL314,0)*1000</f>
        <v>0</v>
      </c>
      <c r="AM373" s="87"/>
      <c r="AN373" s="87"/>
      <c r="AO373" s="859">
        <f>_xlfn.IFERROR(AO378/AO314,0)*1000</f>
        <v>0</v>
      </c>
      <c r="AP373" s="976"/>
      <c r="AQ373" s="976"/>
      <c r="AR373" s="859">
        <f>_xlfn.IFERROR(AR378/AR314,0)*1000</f>
        <v>0</v>
      </c>
      <c r="AS373" s="976"/>
      <c r="AT373" s="976"/>
      <c r="AU373" s="859">
        <f>_xlfn.IFERROR(AU378/AU314,0)*1000</f>
        <v>0</v>
      </c>
      <c r="AV373" s="976"/>
      <c r="AW373" s="976"/>
      <c r="AX373" s="859">
        <f>_xlfn.IFERROR(AX378/AX314,0)*1000</f>
        <v>0</v>
      </c>
      <c r="AY373" s="976"/>
      <c r="AZ373" s="976"/>
      <c r="BA373" s="859">
        <f>_xlfn.IFERROR(BA378/BA314,0)*1000</f>
        <v>0</v>
      </c>
      <c r="BB373" s="87"/>
      <c r="BC373" s="87"/>
      <c r="BD373" s="859">
        <f>_xlfn.IFERROR(BD378/BD314,0)*1000</f>
        <v>0</v>
      </c>
      <c r="BE373" s="87"/>
      <c r="BF373" s="87"/>
      <c r="BG373" s="859">
        <f>_xlfn.IFERROR(BG378/BG314,0)*1000</f>
        <v>0</v>
      </c>
      <c r="BH373" s="87"/>
      <c r="BI373" s="87"/>
      <c r="BJ373" s="859">
        <f>_xlfn.IFERROR(BJ378/BJ314,0)*1000</f>
        <v>0</v>
      </c>
      <c r="BK373" s="87"/>
      <c r="BL373" s="87"/>
      <c r="BM373" s="859">
        <f>_xlfn.IFERROR(BM378/BM314,0)*1000</f>
        <v>0</v>
      </c>
      <c r="BN373" s="87"/>
      <c r="BO373" s="87"/>
      <c r="BP373" s="859">
        <f>_xlfn.IFERROR(BP378/BP314,0)*1000</f>
        <v>0</v>
      </c>
      <c r="BQ373" s="976"/>
      <c r="BR373" s="976"/>
      <c r="BS373" s="859">
        <f>_xlfn.IFERROR(BS378/BS314,0)*1000</f>
        <v>0</v>
      </c>
      <c r="BT373" s="976"/>
      <c r="BU373" s="976"/>
      <c r="BV373" s="859">
        <f>_xlfn.IFERROR(BV378/BV314,0)*1000</f>
        <v>0</v>
      </c>
      <c r="BW373" s="976"/>
      <c r="BX373" s="976"/>
      <c r="BY373" s="859">
        <f>_xlfn.IFERROR(BY378/BY314,0)*1000</f>
        <v>0</v>
      </c>
      <c r="BZ373" s="976"/>
      <c r="CA373" s="976"/>
      <c r="CB373" s="859">
        <f>_xlfn.IFERROR(CB378/CB314,0)*1000</f>
        <v>0</v>
      </c>
      <c r="CC373" s="976"/>
      <c r="CD373" s="976"/>
      <c r="CE373" s="859">
        <f>_xlfn.IFERROR(CE378/CE314,0)*1000</f>
        <v>0</v>
      </c>
      <c r="CF373" s="87"/>
      <c r="CG373" s="87"/>
      <c r="CH373" s="859">
        <f>_xlfn.IFERROR(CH378/CH314,0)*1000</f>
        <v>0</v>
      </c>
      <c r="CI373" s="87"/>
      <c r="CJ373" s="87"/>
      <c r="CK373" s="859">
        <f>_xlfn.IFERROR(CK378/CK314,0)*1000</f>
        <v>0</v>
      </c>
      <c r="CL373" s="87"/>
      <c r="CM373" s="87"/>
      <c r="CN373" s="859">
        <f>_xlfn.IFERROR(CN378/CN314,0)*1000</f>
        <v>0</v>
      </c>
      <c r="CO373" s="87"/>
      <c r="CP373" s="87"/>
      <c r="CQ373" s="859">
        <f>_xlfn.IFERROR(CQ378/CQ314,0)*1000</f>
        <v>0</v>
      </c>
      <c r="CR373" s="87"/>
      <c r="CS373" s="87"/>
      <c r="CT373" s="73"/>
      <c r="CW373" s="1170" t="s">
        <v>851</v>
      </c>
      <c r="CX373" s="1175" t="s">
        <v>787</v>
      </c>
      <c r="CY373" s="1179" cm="1" t="str">
        <f t="array" ref="CY373:CY373">AE373</f>
        <v>0</v>
      </c>
      <c r="CZ373" s="1179" cm="1" t="str">
        <f t="array" ref="CZ373:CZ373">AF373</f>
        <v>0</v>
      </c>
      <c r="DA373" s="1176"/>
      <c r="DB373" s="1176"/>
    </row>
    <row s="1619" customFormat="1" customHeight="1" ht="16.5">
      <c r="A374" s="1619"/>
      <c r="B374" s="1619"/>
      <c r="C374" s="1619"/>
      <c r="D374" s="1619"/>
      <c r="E374" s="794">
        <v>17.1</v>
      </c>
      <c r="F374" s="919" cm="1" t="str">
        <f t="array" ref="F374:F374">OFFSET(G374,-1,-1)</f>
        <v>2</v>
      </c>
      <c r="G374" s="1619"/>
      <c r="H374" s="1619"/>
      <c r="I374" s="1619"/>
      <c r="J374" s="1619"/>
      <c r="K374" s="1619"/>
      <c r="L374" s="919" cm="1" t="str">
        <f t="array" ref="L374:L374">OFFSET(M374,-1,-1)</f>
        <v>false</v>
      </c>
      <c r="M374" s="1619"/>
      <c r="N374" s="1619"/>
      <c r="O374" s="1619"/>
      <c r="P374" s="1619"/>
      <c r="Q374" s="1619"/>
      <c r="R374" s="1619"/>
      <c r="S374" s="156" cm="1" t="str">
        <f t="array" ref="S374:S374">OFFSET(T374,-1,-1)</f>
        <v>true</v>
      </c>
      <c r="T374" s="156">
        <f>AD374&lt;&gt;"35.0"</f>
        <v>1</v>
      </c>
      <c r="U374" s="816">
        <f>AND(S374,IF(ISBLANK(T374),TRUE,T374))</f>
        <v>1</v>
      </c>
      <c r="V374" s="1619"/>
      <c r="W374" s="1619"/>
      <c r="X374" s="156" t="str">
        <f>'Топливо 4.4'!$AE$370&amp;'Топливо 4.4'!$AF$370</f>
        <v>Уголь бурыйБ</v>
      </c>
      <c r="Y374" s="1619"/>
      <c r="Z374" s="1619"/>
      <c r="AA374" s="1619"/>
      <c r="AB374" s="1483"/>
      <c r="AC374" s="1619"/>
      <c r="AD374" s="157" t="s">
        <v>915</v>
      </c>
      <c r="AE374" s="971" cm="1" t="str">
        <f t="array" ref="AE374:AE374">IF(ISBLANK('Топливо 4.4'!$AE$370),"",'Топливо 4.4'!$AE$370)</f>
        <v>Уголь бурый</v>
      </c>
      <c r="AF374" s="622" cm="1" t="str">
        <f t="array" ref="AF374:AF374">IF(ISBLANK('Топливо 4.4'!$AF$370),"",'Топливо 4.4'!$AF$370)</f>
        <v>Б</v>
      </c>
      <c r="AG374" s="1067" t="str">
        <f>"руб./"&amp;_xlfn.IFERROR(INDEX(fuel_ed_izm_list,MATCH(AE374,fuel_list,0)),"")</f>
        <v>руб./тнт</v>
      </c>
      <c r="AH374" s="1768">
        <f>_xlfn.IFERROR(AH379/AH315,0)*1000</f>
        <v>0</v>
      </c>
      <c r="AI374" s="1768">
        <f>_xlfn.IFERROR(AI379/AI315,0)*1000</f>
        <v>0</v>
      </c>
      <c r="AJ374" s="1768">
        <f>_xlfn.IFERROR(AJ379/AJ315,0)*1000</f>
        <v>0</v>
      </c>
      <c r="AK374" s="1768">
        <f>_xlfn.IFERROR(AK379/AK315,0)*1000</f>
        <v>0</v>
      </c>
      <c r="AL374" s="859">
        <f>_xlfn.IFERROR(AL379/AL315,0)*1000</f>
        <v>0</v>
      </c>
      <c r="AM374" s="1766"/>
      <c r="AN374" s="1766"/>
      <c r="AO374" s="859">
        <f>_xlfn.IFERROR(AO379/AO315,0)*1000</f>
        <v>0</v>
      </c>
      <c r="AP374" s="976"/>
      <c r="AQ374" s="976"/>
      <c r="AR374" s="859">
        <f>_xlfn.IFERROR(AR379/AR315,0)*1000</f>
        <v>0</v>
      </c>
      <c r="AS374" s="976"/>
      <c r="AT374" s="976"/>
      <c r="AU374" s="859">
        <f>_xlfn.IFERROR(AU379/AU315,0)*1000</f>
        <v>0</v>
      </c>
      <c r="AV374" s="976"/>
      <c r="AW374" s="976"/>
      <c r="AX374" s="859">
        <f>_xlfn.IFERROR(AX379/AX315,0)*1000</f>
        <v>0</v>
      </c>
      <c r="AY374" s="976"/>
      <c r="AZ374" s="976"/>
      <c r="BA374" s="859">
        <f>_xlfn.IFERROR(BA379/BA315,0)*1000</f>
        <v>0</v>
      </c>
      <c r="BB374" s="1766"/>
      <c r="BC374" s="1766"/>
      <c r="BD374" s="859">
        <f>_xlfn.IFERROR(BD379/BD315,0)*1000</f>
        <v>0</v>
      </c>
      <c r="BE374" s="1766"/>
      <c r="BF374" s="1766"/>
      <c r="BG374" s="859">
        <f>_xlfn.IFERROR(BG379/BG315,0)*1000</f>
        <v>0</v>
      </c>
      <c r="BH374" s="1766"/>
      <c r="BI374" s="1766"/>
      <c r="BJ374" s="859">
        <f>_xlfn.IFERROR(BJ379/BJ315,0)*1000</f>
        <v>0</v>
      </c>
      <c r="BK374" s="1766"/>
      <c r="BL374" s="1766"/>
      <c r="BM374" s="859">
        <f>_xlfn.IFERROR(BM379/BM315,0)*1000</f>
        <v>0</v>
      </c>
      <c r="BN374" s="1766"/>
      <c r="BO374" s="1766"/>
      <c r="BP374" s="859">
        <f>_xlfn.IFERROR(BP379/BP315,0)*1000</f>
        <v>0</v>
      </c>
      <c r="BQ374" s="976"/>
      <c r="BR374" s="976"/>
      <c r="BS374" s="859">
        <f>_xlfn.IFERROR(BS379/BS315,0)*1000</f>
        <v>0</v>
      </c>
      <c r="BT374" s="976"/>
      <c r="BU374" s="976"/>
      <c r="BV374" s="859">
        <f>_xlfn.IFERROR(BV379/BV315,0)*1000</f>
        <v>0</v>
      </c>
      <c r="BW374" s="976"/>
      <c r="BX374" s="976"/>
      <c r="BY374" s="859">
        <f>_xlfn.IFERROR(BY379/BY315,0)*1000</f>
        <v>0</v>
      </c>
      <c r="BZ374" s="976"/>
      <c r="CA374" s="976"/>
      <c r="CB374" s="859">
        <f>_xlfn.IFERROR(CB379/CB315,0)*1000</f>
        <v>0</v>
      </c>
      <c r="CC374" s="976"/>
      <c r="CD374" s="976"/>
      <c r="CE374" s="859">
        <f>_xlfn.IFERROR(CE379/CE315,0)*1000</f>
        <v>0</v>
      </c>
      <c r="CF374" s="1766"/>
      <c r="CG374" s="1766"/>
      <c r="CH374" s="859">
        <f>_xlfn.IFERROR(CH379/CH315,0)*1000</f>
        <v>0</v>
      </c>
      <c r="CI374" s="1766"/>
      <c r="CJ374" s="1766"/>
      <c r="CK374" s="859">
        <f>_xlfn.IFERROR(CK379/CK315,0)*1000</f>
        <v>0</v>
      </c>
      <c r="CL374" s="1766"/>
      <c r="CM374" s="1766"/>
      <c r="CN374" s="859">
        <f>_xlfn.IFERROR(CN379/CN315,0)*1000</f>
        <v>0</v>
      </c>
      <c r="CO374" s="1766"/>
      <c r="CP374" s="1766"/>
      <c r="CQ374" s="859">
        <f>_xlfn.IFERROR(CQ379/CQ315,0)*1000</f>
        <v>0</v>
      </c>
      <c r="CR374" s="1766"/>
      <c r="CS374" s="1766"/>
      <c r="CT374" s="1730"/>
      <c r="CU374" s="1619"/>
      <c r="CV374" s="1619"/>
      <c r="CW374" s="1170" t="s">
        <v>851</v>
      </c>
      <c r="CX374" s="1175" t="s">
        <v>787</v>
      </c>
      <c r="CY374" s="1179" cm="1" t="str">
        <f t="array" ref="CY374:CY374">AE374</f>
        <v>Уголь бурый</v>
      </c>
      <c r="CZ374" s="1179" cm="1" t="str">
        <f t="array" ref="CZ374:CZ374">AF374</f>
        <v>Б</v>
      </c>
      <c r="DA374" s="1176"/>
      <c r="DB374" s="1176"/>
    </row>
    <row s="1619" customFormat="1" customHeight="1" ht="15" hidden="1">
      <c r="A375" s="1440"/>
      <c r="B375" s="924"/>
      <c r="C375" s="1440"/>
      <c r="D375" s="1440"/>
      <c r="E375" s="794">
        <v>0</v>
      </c>
      <c r="F375" s="919" cm="1" t="str">
        <f t="array" ref="F375:F375">OFFSET(G375,-1,-1)</f>
        <v>2</v>
      </c>
      <c r="G375" s="962"/>
      <c r="H375" s="962"/>
      <c r="I375" s="962"/>
      <c r="J375" s="962"/>
      <c r="K375" s="962"/>
      <c r="L375" s="919" cm="1" t="str">
        <f t="array" ref="L375:L375">OFFSET(M375,-1,-1)</f>
        <v>false</v>
      </c>
      <c r="M375" s="962"/>
      <c r="N375" s="962"/>
      <c r="O375" s="962"/>
      <c r="P375" s="962"/>
      <c r="Q375" s="962"/>
      <c r="R375" s="1440"/>
      <c r="S375" s="156" cm="1" t="str">
        <f t="array" ref="S375:S375">OFFSET(T375,-1,-1)</f>
        <v>true</v>
      </c>
      <c r="T375" s="1440"/>
      <c r="U375" s="816">
        <f>AND(S375,IF(ISBLANK(T375),TRUE,T375))</f>
        <v>1</v>
      </c>
      <c r="V375" s="1440"/>
      <c r="W375" s="1440"/>
      <c r="X375" s="970" t="str">
        <f>"{                  
         funcDyn: 'msg1',
         blok: 'blok_2',
         wsCross: 'Топливо 4.4',
         linkFormula: 'AE-AE#AF-AF',
         levelDyn: "&amp;Y275&amp;"
}"</f>
        <v>{                  
         funcDyn: 'msg1',
         blok: 'blok_2',
         wsCross: 'Топливо 4.4',
         linkFormula: 'AE-AE#AF-AF',
         levelDyn: 2
}</v>
      </c>
      <c r="Y375" s="1440"/>
      <c r="Z375" s="1440"/>
      <c r="AA375" s="817"/>
      <c r="AB375" s="1483"/>
      <c r="AC375" s="1619"/>
      <c r="AD375" s="973"/>
      <c r="AE375" s="972" t="s">
        <v>235</v>
      </c>
      <c r="AF375" s="871"/>
      <c r="AG375" s="856"/>
      <c r="AH375" s="858"/>
      <c r="AI375" s="860"/>
      <c r="AJ375" s="860"/>
      <c r="AK375" s="860"/>
      <c r="AL375" s="860"/>
      <c r="AM375" s="860"/>
      <c r="AN375" s="860"/>
      <c r="AO375" s="860"/>
      <c r="AP375" s="860"/>
      <c r="AQ375" s="860"/>
      <c r="AR375" s="860"/>
      <c r="AS375" s="860"/>
      <c r="AT375" s="860"/>
      <c r="AU375" s="860"/>
      <c r="AV375" s="860"/>
      <c r="AW375" s="860"/>
      <c r="AX375" s="860"/>
      <c r="AY375" s="860"/>
      <c r="AZ375" s="860"/>
      <c r="BA375" s="860"/>
      <c r="BB375" s="860"/>
      <c r="BC375" s="860"/>
      <c r="BD375" s="860"/>
      <c r="BE375" s="860"/>
      <c r="BF375" s="860"/>
      <c r="BG375" s="860"/>
      <c r="BH375" s="860"/>
      <c r="BI375" s="860"/>
      <c r="BJ375" s="860"/>
      <c r="BK375" s="860"/>
      <c r="BL375" s="860"/>
      <c r="BM375" s="860"/>
      <c r="BN375" s="860"/>
      <c r="BO375" s="860"/>
      <c r="BP375" s="860"/>
      <c r="BQ375" s="860"/>
      <c r="BR375" s="860"/>
      <c r="BS375" s="860"/>
      <c r="BT375" s="860"/>
      <c r="BU375" s="860"/>
      <c r="BV375" s="860"/>
      <c r="BW375" s="860"/>
      <c r="BX375" s="860"/>
      <c r="BY375" s="860"/>
      <c r="BZ375" s="860"/>
      <c r="CA375" s="860"/>
      <c r="CB375" s="860"/>
      <c r="CC375" s="860"/>
      <c r="CD375" s="860"/>
      <c r="CE375" s="860"/>
      <c r="CF375" s="860"/>
      <c r="CG375" s="860"/>
      <c r="CH375" s="860"/>
      <c r="CI375" s="860"/>
      <c r="CJ375" s="860"/>
      <c r="CK375" s="860"/>
      <c r="CL375" s="860"/>
      <c r="CM375" s="860"/>
      <c r="CN375" s="860"/>
      <c r="CO375" s="860"/>
      <c r="CP375" s="860"/>
      <c r="CQ375" s="860"/>
      <c r="CR375" s="860"/>
      <c r="CS375" s="860"/>
      <c r="CT375" s="91"/>
      <c r="CU375" s="1619"/>
      <c r="CV375" s="1619"/>
      <c r="CW375" s="1170" t="str">
        <f>IF(AND(ISNUMBER(VALUE(TRIM(SUBSTITUTE(AD375,".","")))),TRIM(SUBSTITUTE(AD375,".",""))&lt;&gt;""),"P"&amp;SUBSTITUTE(AD375,".",""),"")</f>
        <v/>
      </c>
      <c r="CX375" s="1175"/>
      <c r="CY375" s="1175"/>
      <c r="CZ375" s="1175"/>
      <c r="DA375" s="1176"/>
      <c r="DB375" s="1176"/>
    </row>
    <row s="1619" customFormat="1" customHeight="1" ht="16.5">
      <c r="A376" s="1440"/>
      <c r="B376" s="924"/>
      <c r="C376" s="1440"/>
      <c r="D376" s="1440"/>
      <c r="E376" s="794">
        <v>17.1</v>
      </c>
      <c r="F376" s="919" cm="1" t="str">
        <f t="array" ref="F376:F376">OFFSET(G376,-1,-1)</f>
        <v>2</v>
      </c>
      <c r="G376" s="962"/>
      <c r="H376" s="962"/>
      <c r="I376" s="962"/>
      <c r="J376" s="962"/>
      <c r="K376" s="962"/>
      <c r="L376" s="919" cm="1" t="str">
        <f t="array" ref="L376:L376">OFFSET(M376,-1,-1)</f>
        <v>false</v>
      </c>
      <c r="M376" s="962"/>
      <c r="N376" s="962"/>
      <c r="O376" s="962"/>
      <c r="P376" s="962"/>
      <c r="Q376" s="962"/>
      <c r="R376" s="1440"/>
      <c r="S376" s="156" cm="1" t="str">
        <f t="array" ref="S376:S376">OFFSET(T376,-1,-1)</f>
        <v>true</v>
      </c>
      <c r="T376" s="1440"/>
      <c r="U376" s="816">
        <f>AND(S376,IF(ISBLANK(T376),TRUE,T376))</f>
        <v>1</v>
      </c>
      <c r="V376" s="1440"/>
      <c r="W376" s="1440"/>
      <c r="X376" s="1440"/>
      <c r="Y376" s="1440"/>
      <c r="Z376" s="1440"/>
      <c r="AA376" s="817"/>
      <c r="AB376" s="1483"/>
      <c r="AC376" s="1619"/>
      <c r="AD376" s="170" t="s">
        <v>853</v>
      </c>
      <c r="AE376" s="1494" t="s">
        <v>854</v>
      </c>
      <c r="AF376" s="320"/>
      <c r="AG376" s="856" t="s">
        <v>805</v>
      </c>
      <c r="AH376" s="857">
        <f>SUM(AH378:AH380)</f>
        <v>0</v>
      </c>
      <c r="AI376" s="857">
        <f>SUM(AI378:AI380)</f>
        <v>0</v>
      </c>
      <c r="AJ376" s="857">
        <f>SUM(AJ378:AJ380)</f>
        <v>0</v>
      </c>
      <c r="AK376" s="857">
        <f>SUM(AK378:AK380)</f>
        <v>0</v>
      </c>
      <c r="AL376" s="857">
        <f>SUM(AL378:AL380)</f>
        <v>0</v>
      </c>
      <c r="AM376" s="857">
        <f>SUM(AM378:AM380)</f>
        <v>0</v>
      </c>
      <c r="AN376" s="857">
        <f>SUM(AN378:AN380)</f>
        <v>0</v>
      </c>
      <c r="AO376" s="857">
        <f>SUM(AO378:AO380)</f>
        <v>0</v>
      </c>
      <c r="AP376" s="857">
        <f>SUM(AP378:AP380)</f>
        <v>0</v>
      </c>
      <c r="AQ376" s="857">
        <f>SUM(AQ378:AQ380)</f>
        <v>0</v>
      </c>
      <c r="AR376" s="857">
        <f>SUM(AR378:AR380)</f>
        <v>0</v>
      </c>
      <c r="AS376" s="857">
        <f>SUM(AS378:AS380)</f>
        <v>0</v>
      </c>
      <c r="AT376" s="857">
        <f>SUM(AT378:AT380)</f>
        <v>0</v>
      </c>
      <c r="AU376" s="857">
        <f>SUM(AU378:AU380)</f>
        <v>0</v>
      </c>
      <c r="AV376" s="857">
        <f>SUM(AV378:AV380)</f>
        <v>0</v>
      </c>
      <c r="AW376" s="857">
        <f>SUM(AW378:AW380)</f>
        <v>0</v>
      </c>
      <c r="AX376" s="857">
        <f>SUM(AX378:AX380)</f>
        <v>0</v>
      </c>
      <c r="AY376" s="857">
        <f>SUM(AY378:AY380)</f>
        <v>0</v>
      </c>
      <c r="AZ376" s="857">
        <f>SUM(AZ378:AZ380)</f>
        <v>0</v>
      </c>
      <c r="BA376" s="857">
        <f>SUM(BA378:BA380)</f>
        <v>0</v>
      </c>
      <c r="BB376" s="857">
        <f>SUM(BB378:BB380)</f>
        <v>0</v>
      </c>
      <c r="BC376" s="857">
        <f>SUM(BC378:BC380)</f>
        <v>0</v>
      </c>
      <c r="BD376" s="857">
        <f>SUM(BD378:BD380)</f>
        <v>0</v>
      </c>
      <c r="BE376" s="857">
        <f>SUM(BE378:BE380)</f>
        <v>0</v>
      </c>
      <c r="BF376" s="857">
        <f>SUM(BF378:BF380)</f>
        <v>0</v>
      </c>
      <c r="BG376" s="857">
        <f>SUM(BG378:BG380)</f>
        <v>0</v>
      </c>
      <c r="BH376" s="857">
        <f>SUM(BH378:BH380)</f>
        <v>0</v>
      </c>
      <c r="BI376" s="857">
        <f>SUM(BI378:BI380)</f>
        <v>0</v>
      </c>
      <c r="BJ376" s="857">
        <f>SUM(BJ378:BJ380)</f>
        <v>0</v>
      </c>
      <c r="BK376" s="857">
        <f>SUM(BK378:BK380)</f>
        <v>0</v>
      </c>
      <c r="BL376" s="857">
        <f>SUM(BL378:BL380)</f>
        <v>0</v>
      </c>
      <c r="BM376" s="857">
        <f>SUM(BM378:BM380)</f>
        <v>0</v>
      </c>
      <c r="BN376" s="857">
        <f>SUM(BN378:BN380)</f>
        <v>0</v>
      </c>
      <c r="BO376" s="857">
        <f>SUM(BO378:BO380)</f>
        <v>0</v>
      </c>
      <c r="BP376" s="857">
        <f>SUM(BP378:BP380)</f>
        <v>0</v>
      </c>
      <c r="BQ376" s="857">
        <f>SUM(BQ378:BQ380)</f>
        <v>0</v>
      </c>
      <c r="BR376" s="857">
        <f>SUM(BR378:BR380)</f>
        <v>0</v>
      </c>
      <c r="BS376" s="857">
        <f>SUM(BS378:BS380)</f>
        <v>0</v>
      </c>
      <c r="BT376" s="857">
        <f>SUM(BT378:BT380)</f>
        <v>0</v>
      </c>
      <c r="BU376" s="857">
        <f>SUM(BU378:BU380)</f>
        <v>0</v>
      </c>
      <c r="BV376" s="857">
        <f>SUM(BV378:BV380)</f>
        <v>0</v>
      </c>
      <c r="BW376" s="857">
        <f>SUM(BW378:BW380)</f>
        <v>0</v>
      </c>
      <c r="BX376" s="857">
        <f>SUM(BX378:BX380)</f>
        <v>0</v>
      </c>
      <c r="BY376" s="857">
        <f>SUM(BY378:BY380)</f>
        <v>0</v>
      </c>
      <c r="BZ376" s="857">
        <f>SUM(BZ378:BZ380)</f>
        <v>0</v>
      </c>
      <c r="CA376" s="857">
        <f>SUM(CA378:CA380)</f>
        <v>0</v>
      </c>
      <c r="CB376" s="857">
        <f>SUM(CB378:CB380)</f>
        <v>0</v>
      </c>
      <c r="CC376" s="857">
        <f>SUM(CC378:CC380)</f>
        <v>0</v>
      </c>
      <c r="CD376" s="857">
        <f>SUM(CD378:CD380)</f>
        <v>0</v>
      </c>
      <c r="CE376" s="857">
        <f>SUM(CE378:CE380)</f>
        <v>0</v>
      </c>
      <c r="CF376" s="857">
        <f>SUM(CF378:CF380)</f>
        <v>0</v>
      </c>
      <c r="CG376" s="857">
        <f>SUM(CG378:CG380)</f>
        <v>0</v>
      </c>
      <c r="CH376" s="857">
        <f>SUM(CH378:CH380)</f>
        <v>0</v>
      </c>
      <c r="CI376" s="857">
        <f>SUM(CI378:CI380)</f>
        <v>0</v>
      </c>
      <c r="CJ376" s="857">
        <f>SUM(CJ378:CJ380)</f>
        <v>0</v>
      </c>
      <c r="CK376" s="857">
        <f>SUM(CK378:CK380)</f>
        <v>0</v>
      </c>
      <c r="CL376" s="857">
        <f>SUM(CL378:CL380)</f>
        <v>0</v>
      </c>
      <c r="CM376" s="857">
        <f>SUM(CM378:CM380)</f>
        <v>0</v>
      </c>
      <c r="CN376" s="857">
        <f>SUM(CN378:CN380)</f>
        <v>0</v>
      </c>
      <c r="CO376" s="857">
        <f>SUM(CO378:CO380)</f>
        <v>0</v>
      </c>
      <c r="CP376" s="857">
        <f>SUM(CP378:CP380)</f>
        <v>0</v>
      </c>
      <c r="CQ376" s="857">
        <f>SUM(CQ378:CQ380)</f>
        <v>0</v>
      </c>
      <c r="CR376" s="857">
        <f>SUM(CR378:CR380)</f>
        <v>0</v>
      </c>
      <c r="CS376" s="857">
        <f>SUM(CS378:CS380)</f>
        <v>0</v>
      </c>
      <c r="CT376" s="1730"/>
      <c r="CU376" s="1619"/>
      <c r="CV376" s="1619"/>
      <c r="CW376" s="1170" t="s">
        <v>855</v>
      </c>
      <c r="CX376" s="1175"/>
      <c r="CY376" s="1175"/>
      <c r="CZ376" s="1175"/>
      <c r="DA376" s="1176"/>
      <c r="DB376" s="1176"/>
    </row>
    <row s="1619" customFormat="1" customHeight="1" ht="16.5" hidden="1">
      <c r="A377" s="1440"/>
      <c r="B377" s="924"/>
      <c r="C377" s="1440"/>
      <c r="D377" s="1440"/>
      <c r="E377" s="794">
        <v>17.1</v>
      </c>
      <c r="F377" s="919" cm="1" t="str">
        <f t="array" ref="F377:F377">OFFSET(G377,-1,-1)</f>
        <v>2</v>
      </c>
      <c r="G377" s="962"/>
      <c r="H377" s="962"/>
      <c r="I377" s="962"/>
      <c r="J377" s="962"/>
      <c r="K377" s="962"/>
      <c r="L377" s="919" cm="1" t="str">
        <f t="array" ref="L377:L377">OFFSET(M377,-1,-1)</f>
        <v>false</v>
      </c>
      <c r="M377" s="962"/>
      <c r="N377" s="962"/>
      <c r="O377" s="962"/>
      <c r="P377" s="962"/>
      <c r="Q377" s="962"/>
      <c r="R377" s="919" t="s">
        <v>725</v>
      </c>
      <c r="S377" s="156" cm="1" t="str">
        <f t="array" ref="S377:S377">OFFSET(T377,-1,-1)</f>
        <v>true</v>
      </c>
      <c r="T377" s="919" t="b">
        <v>0</v>
      </c>
      <c r="U377" s="816">
        <f>AND(S377,IF(ISBLANK(T377),TRUE,T377))</f>
        <v>0</v>
      </c>
      <c r="V377" s="1440"/>
      <c r="W377" s="1440"/>
      <c r="X377" s="1440"/>
      <c r="Y377" s="1440"/>
      <c r="Z377" s="1440"/>
      <c r="AA377" s="817"/>
      <c r="AB377" s="1483"/>
      <c r="AC377" s="1619"/>
      <c r="AD377" s="157" t="str">
        <f>AD376&amp;".0"</f>
        <v>36.0</v>
      </c>
      <c r="AE377" s="1346" t="s">
        <v>736</v>
      </c>
      <c r="AF377" s="161"/>
      <c r="AG377" s="856" t="s">
        <v>805</v>
      </c>
      <c r="AH377" s="86">
        <f>AH$299*AH376</f>
        <v>0</v>
      </c>
      <c r="AI377" s="87">
        <f>AI$299*AI376</f>
        <v>0</v>
      </c>
      <c r="AJ377" s="87">
        <f>AJ$299*AJ376</f>
        <v>0</v>
      </c>
      <c r="AK377" s="87">
        <f>AK$299*AK376</f>
        <v>0</v>
      </c>
      <c r="AL377" s="859">
        <f>AM377+AN377</f>
        <v>0</v>
      </c>
      <c r="AM377" s="87">
        <f>AM$299*AM376</f>
        <v>0</v>
      </c>
      <c r="AN377" s="87">
        <f>AN$299*AN376</f>
        <v>0</v>
      </c>
      <c r="AO377" s="859">
        <f>AP377+AQ377</f>
        <v>0</v>
      </c>
      <c r="AP377" s="976">
        <f>AP$299*AP376</f>
        <v>0</v>
      </c>
      <c r="AQ377" s="976">
        <f>AQ$299*AQ376</f>
        <v>0</v>
      </c>
      <c r="AR377" s="859">
        <f>AS377+AT377</f>
        <v>0</v>
      </c>
      <c r="AS377" s="976">
        <f>AS$299*AS376</f>
        <v>0</v>
      </c>
      <c r="AT377" s="976">
        <f>AT$299*AT376</f>
        <v>0</v>
      </c>
      <c r="AU377" s="859">
        <f>AV377+AW377</f>
        <v>0</v>
      </c>
      <c r="AV377" s="976">
        <f>AV$299*AV376</f>
        <v>0</v>
      </c>
      <c r="AW377" s="976">
        <f>AW$299*AW376</f>
        <v>0</v>
      </c>
      <c r="AX377" s="859">
        <f>AY377+AZ377</f>
        <v>0</v>
      </c>
      <c r="AY377" s="976">
        <f>AY$299*AY376</f>
        <v>0</v>
      </c>
      <c r="AZ377" s="976">
        <f>AZ$299*AZ376</f>
        <v>0</v>
      </c>
      <c r="BA377" s="859">
        <f>BB377+BC377</f>
        <v>0</v>
      </c>
      <c r="BB377" s="87">
        <f>BB$299*BB376</f>
        <v>0</v>
      </c>
      <c r="BC377" s="87">
        <f>BC$299*BC376</f>
        <v>0</v>
      </c>
      <c r="BD377" s="859">
        <f>BE377+BF377</f>
        <v>0</v>
      </c>
      <c r="BE377" s="87">
        <f>BE$299*BE376</f>
        <v>0</v>
      </c>
      <c r="BF377" s="87">
        <f>BF$299*BF376</f>
        <v>0</v>
      </c>
      <c r="BG377" s="859">
        <f>BH377+BI377</f>
        <v>0</v>
      </c>
      <c r="BH377" s="87">
        <f>BH$299*BH376</f>
        <v>0</v>
      </c>
      <c r="BI377" s="87">
        <f>BI$299*BI376</f>
        <v>0</v>
      </c>
      <c r="BJ377" s="859">
        <f>BK377+BL377</f>
        <v>0</v>
      </c>
      <c r="BK377" s="87">
        <f>BK$299*BK376</f>
        <v>0</v>
      </c>
      <c r="BL377" s="87">
        <f>BL$299*BL376</f>
        <v>0</v>
      </c>
      <c r="BM377" s="859">
        <f>BN377+BO377</f>
        <v>0</v>
      </c>
      <c r="BN377" s="87">
        <f>BN$299*BN376</f>
        <v>0</v>
      </c>
      <c r="BO377" s="87">
        <f>BO$299*BO376</f>
        <v>0</v>
      </c>
      <c r="BP377" s="859">
        <f>BQ377+BR377</f>
        <v>0</v>
      </c>
      <c r="BQ377" s="976">
        <f>BQ$299*BQ376</f>
        <v>0</v>
      </c>
      <c r="BR377" s="976">
        <f>BR$299*BR376</f>
        <v>0</v>
      </c>
      <c r="BS377" s="859">
        <f>BT377+BU377</f>
        <v>0</v>
      </c>
      <c r="BT377" s="976">
        <f>BT$299*BT376</f>
        <v>0</v>
      </c>
      <c r="BU377" s="976">
        <f>BU$299*BU376</f>
        <v>0</v>
      </c>
      <c r="BV377" s="859">
        <f>BW377+BX377</f>
        <v>0</v>
      </c>
      <c r="BW377" s="976">
        <f>BW$299*BW376</f>
        <v>0</v>
      </c>
      <c r="BX377" s="976">
        <f>BX$299*BX376</f>
        <v>0</v>
      </c>
      <c r="BY377" s="859">
        <f>BZ377+CA377</f>
        <v>0</v>
      </c>
      <c r="BZ377" s="976">
        <f>BZ$299*BZ376</f>
        <v>0</v>
      </c>
      <c r="CA377" s="976">
        <f>CA$299*CA376</f>
        <v>0</v>
      </c>
      <c r="CB377" s="859">
        <f>CC377+CD377</f>
        <v>0</v>
      </c>
      <c r="CC377" s="976">
        <f>CC$299*CC376</f>
        <v>0</v>
      </c>
      <c r="CD377" s="976">
        <f>CD$299*CD376</f>
        <v>0</v>
      </c>
      <c r="CE377" s="859">
        <f>CF377+CG377</f>
        <v>0</v>
      </c>
      <c r="CF377" s="87">
        <f>CF$299*CF376</f>
        <v>0</v>
      </c>
      <c r="CG377" s="87">
        <f>CG$299*CG376</f>
        <v>0</v>
      </c>
      <c r="CH377" s="859">
        <f>CI377+CJ377</f>
        <v>0</v>
      </c>
      <c r="CI377" s="87">
        <f>CI$299*CI376</f>
        <v>0</v>
      </c>
      <c r="CJ377" s="87">
        <f>CJ$299*CJ376</f>
        <v>0</v>
      </c>
      <c r="CK377" s="859">
        <f>CL377+CM377</f>
        <v>0</v>
      </c>
      <c r="CL377" s="87">
        <f>CL$299*CL376</f>
        <v>0</v>
      </c>
      <c r="CM377" s="87">
        <f>CM$299*CM376</f>
        <v>0</v>
      </c>
      <c r="CN377" s="859">
        <f>CO377+CP377</f>
        <v>0</v>
      </c>
      <c r="CO377" s="87">
        <f>CO$299*CO376</f>
        <v>0</v>
      </c>
      <c r="CP377" s="87">
        <f>CP$299*CP376</f>
        <v>0</v>
      </c>
      <c r="CQ377" s="859">
        <f>CR377+CS377</f>
        <v>0</v>
      </c>
      <c r="CR377" s="87">
        <f>CR$299*CR376</f>
        <v>0</v>
      </c>
      <c r="CS377" s="87">
        <f>CS$299*CS376</f>
        <v>0</v>
      </c>
      <c r="CT377" s="73"/>
      <c r="CU377" s="1619"/>
      <c r="CV377" s="1619"/>
      <c r="CW377" s="1170" t="s">
        <v>856</v>
      </c>
      <c r="CX377" s="1175"/>
      <c r="CY377" s="1175"/>
      <c r="CZ377" s="1175"/>
      <c r="DA377" s="1176"/>
      <c r="DB377" s="1176"/>
    </row>
    <row s="1619" customFormat="1" customHeight="1" ht="16.5" hidden="1">
      <c r="E378" s="794">
        <v>17.1</v>
      </c>
      <c r="F378" s="919" cm="1" t="str">
        <f t="array" ref="F378:F378">OFFSET(G378,-1,-1)</f>
        <v>2</v>
      </c>
      <c r="L378" s="919" cm="1" t="str">
        <f t="array" ref="L378:L378">OFFSET(M378,-1,-1)</f>
        <v>false</v>
      </c>
      <c r="S378" s="156" cm="1" t="str">
        <f t="array" ref="S378:S378">OFFSET(T378,-1,-1)</f>
        <v>true</v>
      </c>
      <c r="T378" s="156">
        <f>AD378&lt;&gt;"36.0"</f>
        <v>0</v>
      </c>
      <c r="U378" s="816">
        <f>AND(S378,IF(ISBLANK(T378),TRUE,T378))</f>
        <v>0</v>
      </c>
      <c r="X378" s="156" t="s">
        <v>233</v>
      </c>
      <c r="AB378" s="1483"/>
      <c r="AD378" s="157" t="s">
        <v>857</v>
      </c>
      <c r="AE378" s="971"/>
      <c r="AF378" s="622"/>
      <c r="AG378" s="856" t="s">
        <v>805</v>
      </c>
      <c r="AH378" s="86"/>
      <c r="AI378" s="87"/>
      <c r="AJ378" s="87"/>
      <c r="AK378" s="87"/>
      <c r="AL378" s="859">
        <f>AM378+AN378</f>
        <v>0</v>
      </c>
      <c r="AM378" s="87">
        <f>AM373*AM314/1000</f>
        <v>0</v>
      </c>
      <c r="AN378" s="87">
        <f>AN373*AN314/1000</f>
        <v>0</v>
      </c>
      <c r="AO378" s="859">
        <f>AP378+AQ378</f>
        <v>0</v>
      </c>
      <c r="AP378" s="976">
        <f>AP373*AP314/1000</f>
        <v>0</v>
      </c>
      <c r="AQ378" s="976">
        <f>AQ373*AQ314/1000</f>
        <v>0</v>
      </c>
      <c r="AR378" s="859">
        <f>AS378+AT378</f>
        <v>0</v>
      </c>
      <c r="AS378" s="976">
        <f>AS373*AS314/1000</f>
        <v>0</v>
      </c>
      <c r="AT378" s="976">
        <f>AT373*AT314/1000</f>
        <v>0</v>
      </c>
      <c r="AU378" s="859">
        <f>AV378+AW378</f>
        <v>0</v>
      </c>
      <c r="AV378" s="976">
        <f>AV373*AV314/1000</f>
        <v>0</v>
      </c>
      <c r="AW378" s="976">
        <f>AW373*AW314/1000</f>
        <v>0</v>
      </c>
      <c r="AX378" s="859">
        <f>AY378+AZ378</f>
        <v>0</v>
      </c>
      <c r="AY378" s="976">
        <f>AY373*AY314/1000</f>
        <v>0</v>
      </c>
      <c r="AZ378" s="976">
        <f>AZ373*AZ314/1000</f>
        <v>0</v>
      </c>
      <c r="BA378" s="859">
        <f>BB378+BC378</f>
        <v>0</v>
      </c>
      <c r="BB378" s="87">
        <f>BB373*BB314/1000</f>
        <v>0</v>
      </c>
      <c r="BC378" s="87">
        <f>BC373*BC314/1000</f>
        <v>0</v>
      </c>
      <c r="BD378" s="859">
        <f>BE378+BF378</f>
        <v>0</v>
      </c>
      <c r="BE378" s="87">
        <f>BE373*BE314/1000</f>
        <v>0</v>
      </c>
      <c r="BF378" s="87">
        <f>BF373*BF314/1000</f>
        <v>0</v>
      </c>
      <c r="BG378" s="859">
        <f>BH378+BI378</f>
        <v>0</v>
      </c>
      <c r="BH378" s="87">
        <f>BH373*BH314/1000</f>
        <v>0</v>
      </c>
      <c r="BI378" s="87">
        <f>BI373*BI314/1000</f>
        <v>0</v>
      </c>
      <c r="BJ378" s="859">
        <f>BK378+BL378</f>
        <v>0</v>
      </c>
      <c r="BK378" s="87">
        <f>BK373*BK314/1000</f>
        <v>0</v>
      </c>
      <c r="BL378" s="87">
        <f>BL373*BL314/1000</f>
        <v>0</v>
      </c>
      <c r="BM378" s="859">
        <f>BN378+BO378</f>
        <v>0</v>
      </c>
      <c r="BN378" s="87">
        <f>BN373*BN314/1000</f>
        <v>0</v>
      </c>
      <c r="BO378" s="87">
        <f>BO373*BO314/1000</f>
        <v>0</v>
      </c>
      <c r="BP378" s="859">
        <f>BQ378+BR378</f>
        <v>0</v>
      </c>
      <c r="BQ378" s="976">
        <f>BQ373*BQ314/1000</f>
        <v>0</v>
      </c>
      <c r="BR378" s="976">
        <f>BR373*BR314/1000</f>
        <v>0</v>
      </c>
      <c r="BS378" s="859">
        <f>BT378+BU378</f>
        <v>0</v>
      </c>
      <c r="BT378" s="976">
        <f>BT373*BT314/1000</f>
        <v>0</v>
      </c>
      <c r="BU378" s="976">
        <f>BU373*BU314/1000</f>
        <v>0</v>
      </c>
      <c r="BV378" s="859">
        <f>BW378+BX378</f>
        <v>0</v>
      </c>
      <c r="BW378" s="976">
        <f>BW373*BW314/1000</f>
        <v>0</v>
      </c>
      <c r="BX378" s="976">
        <f>BX373*BX314/1000</f>
        <v>0</v>
      </c>
      <c r="BY378" s="859">
        <f>BZ378+CA378</f>
        <v>0</v>
      </c>
      <c r="BZ378" s="976">
        <f>BZ373*BZ314/1000</f>
        <v>0</v>
      </c>
      <c r="CA378" s="976">
        <f>CA373*CA314/1000</f>
        <v>0</v>
      </c>
      <c r="CB378" s="859">
        <f>CC378+CD378</f>
        <v>0</v>
      </c>
      <c r="CC378" s="976">
        <f>CC373*CC314/1000</f>
        <v>0</v>
      </c>
      <c r="CD378" s="976">
        <f>CD373*CD314/1000</f>
        <v>0</v>
      </c>
      <c r="CE378" s="859">
        <f>CF378+CG378</f>
        <v>0</v>
      </c>
      <c r="CF378" s="87">
        <f>CF373*CF314/1000</f>
        <v>0</v>
      </c>
      <c r="CG378" s="87">
        <f>CG373*CG314/1000</f>
        <v>0</v>
      </c>
      <c r="CH378" s="859">
        <f>CI378+CJ378</f>
        <v>0</v>
      </c>
      <c r="CI378" s="87">
        <f>CI373*CI314/1000</f>
        <v>0</v>
      </c>
      <c r="CJ378" s="87">
        <f>CJ373*CJ314/1000</f>
        <v>0</v>
      </c>
      <c r="CK378" s="859">
        <f>CL378+CM378</f>
        <v>0</v>
      </c>
      <c r="CL378" s="87">
        <f>CL373*CL314/1000</f>
        <v>0</v>
      </c>
      <c r="CM378" s="87">
        <f>CM373*CM314/1000</f>
        <v>0</v>
      </c>
      <c r="CN378" s="859">
        <f>CO378+CP378</f>
        <v>0</v>
      </c>
      <c r="CO378" s="87">
        <f>CO373*CO314/1000</f>
        <v>0</v>
      </c>
      <c r="CP378" s="87">
        <f>CP373*CP314/1000</f>
        <v>0</v>
      </c>
      <c r="CQ378" s="859">
        <f>CR378+CS378</f>
        <v>0</v>
      </c>
      <c r="CR378" s="87">
        <f>CR373*CR314/1000</f>
        <v>0</v>
      </c>
      <c r="CS378" s="87">
        <f>CS373*CS314/1000</f>
        <v>0</v>
      </c>
      <c r="CT378" s="73"/>
      <c r="CW378" s="1170" t="s">
        <v>856</v>
      </c>
      <c r="CX378" s="1175" t="s">
        <v>787</v>
      </c>
      <c r="CY378" s="1179" cm="1" t="str">
        <f t="array" ref="CY378:CY378">AE378</f>
        <v>0</v>
      </c>
      <c r="CZ378" s="1179" cm="1" t="str">
        <f t="array" ref="CZ378:CZ378">AF378</f>
        <v>0</v>
      </c>
      <c r="DA378" s="1176"/>
      <c r="DB378" s="1176"/>
    </row>
    <row s="1619" customFormat="1" customHeight="1" ht="16.5">
      <c r="A379" s="1619"/>
      <c r="B379" s="1619"/>
      <c r="C379" s="1619"/>
      <c r="D379" s="1619"/>
      <c r="E379" s="794">
        <v>17.1</v>
      </c>
      <c r="F379" s="919" cm="1" t="str">
        <f t="array" ref="F379:F379">OFFSET(G379,-1,-1)</f>
        <v>2</v>
      </c>
      <c r="G379" s="1619"/>
      <c r="H379" s="1619"/>
      <c r="I379" s="1619"/>
      <c r="J379" s="1619"/>
      <c r="K379" s="1619"/>
      <c r="L379" s="919" cm="1" t="str">
        <f t="array" ref="L379:L379">OFFSET(M379,-1,-1)</f>
        <v>false</v>
      </c>
      <c r="M379" s="1619"/>
      <c r="N379" s="1619"/>
      <c r="O379" s="1619"/>
      <c r="P379" s="1619"/>
      <c r="Q379" s="1619"/>
      <c r="R379" s="1619"/>
      <c r="S379" s="156" cm="1" t="str">
        <f t="array" ref="S379:S379">OFFSET(T379,-1,-1)</f>
        <v>true</v>
      </c>
      <c r="T379" s="156">
        <f>AD379&lt;&gt;"36.0"</f>
        <v>1</v>
      </c>
      <c r="U379" s="816">
        <f>AND(S379,IF(ISBLANK(T379),TRUE,T379))</f>
        <v>1</v>
      </c>
      <c r="V379" s="1619"/>
      <c r="W379" s="1619"/>
      <c r="X379" s="156" t="str">
        <f>'Топливо 4.4'!$AE$374&amp;'Топливо 4.4'!$AF$374</f>
        <v>Уголь бурыйБ</v>
      </c>
      <c r="Y379" s="1619"/>
      <c r="Z379" s="1619"/>
      <c r="AA379" s="1619"/>
      <c r="AB379" s="1483"/>
      <c r="AC379" s="1619"/>
      <c r="AD379" s="157" t="s">
        <v>916</v>
      </c>
      <c r="AE379" s="971" cm="1" t="str">
        <f t="array" ref="AE379:AE379">IF(ISBLANK('Топливо 4.4'!$AE$374),"",'Топливо 4.4'!$AE$374)</f>
        <v>Уголь бурый</v>
      </c>
      <c r="AF379" s="622" cm="1" t="str">
        <f t="array" ref="AF379:AF379">IF(ISBLANK('Топливо 4.4'!$AF$374),"",'Топливо 4.4'!$AF$374)</f>
        <v>Б</v>
      </c>
      <c r="AG379" s="856" t="s">
        <v>805</v>
      </c>
      <c r="AH379" s="1768"/>
      <c r="AI379" s="1766"/>
      <c r="AJ379" s="1766"/>
      <c r="AK379" s="1766"/>
      <c r="AL379" s="859">
        <f>AM379+AN379</f>
        <v>0</v>
      </c>
      <c r="AM379" s="1766">
        <f>AM374*AM315/1000</f>
        <v>0</v>
      </c>
      <c r="AN379" s="1766">
        <f>AN374*AN315/1000</f>
        <v>0</v>
      </c>
      <c r="AO379" s="859">
        <f>AP379+AQ379</f>
        <v>0</v>
      </c>
      <c r="AP379" s="976">
        <f>AP374*AP315/1000</f>
        <v>0</v>
      </c>
      <c r="AQ379" s="976">
        <f>AQ374*AQ315/1000</f>
        <v>0</v>
      </c>
      <c r="AR379" s="859">
        <f>AS379+AT379</f>
        <v>0</v>
      </c>
      <c r="AS379" s="976">
        <f>AS374*AS315/1000</f>
        <v>0</v>
      </c>
      <c r="AT379" s="976">
        <f>AT374*AT315/1000</f>
        <v>0</v>
      </c>
      <c r="AU379" s="859">
        <f>AV379+AW379</f>
        <v>0</v>
      </c>
      <c r="AV379" s="976">
        <f>AV374*AV315/1000</f>
        <v>0</v>
      </c>
      <c r="AW379" s="976">
        <f>AW374*AW315/1000</f>
        <v>0</v>
      </c>
      <c r="AX379" s="859">
        <f>AY379+AZ379</f>
        <v>0</v>
      </c>
      <c r="AY379" s="976">
        <f>AY374*AY315/1000</f>
        <v>0</v>
      </c>
      <c r="AZ379" s="976">
        <f>AZ374*AZ315/1000</f>
        <v>0</v>
      </c>
      <c r="BA379" s="859">
        <f>BB379+BC379</f>
        <v>0</v>
      </c>
      <c r="BB379" s="1766">
        <f>BB374*BB315/1000</f>
        <v>0</v>
      </c>
      <c r="BC379" s="1766">
        <f>BC374*BC315/1000</f>
        <v>0</v>
      </c>
      <c r="BD379" s="859">
        <f>BE379+BF379</f>
        <v>0</v>
      </c>
      <c r="BE379" s="1766">
        <f>BE374*BE315/1000</f>
        <v>0</v>
      </c>
      <c r="BF379" s="1766">
        <f>BF374*BF315/1000</f>
        <v>0</v>
      </c>
      <c r="BG379" s="859">
        <f>BH379+BI379</f>
        <v>0</v>
      </c>
      <c r="BH379" s="1766">
        <f>BH374*BH315/1000</f>
        <v>0</v>
      </c>
      <c r="BI379" s="1766">
        <f>BI374*BI315/1000</f>
        <v>0</v>
      </c>
      <c r="BJ379" s="859">
        <f>BK379+BL379</f>
        <v>0</v>
      </c>
      <c r="BK379" s="1766">
        <f>BK374*BK315/1000</f>
        <v>0</v>
      </c>
      <c r="BL379" s="1766">
        <f>BL374*BL315/1000</f>
        <v>0</v>
      </c>
      <c r="BM379" s="859">
        <f>BN379+BO379</f>
        <v>0</v>
      </c>
      <c r="BN379" s="1766">
        <f>BN374*BN315/1000</f>
        <v>0</v>
      </c>
      <c r="BO379" s="1766">
        <f>BO374*BO315/1000</f>
        <v>0</v>
      </c>
      <c r="BP379" s="859">
        <f>BQ379+BR379</f>
        <v>0</v>
      </c>
      <c r="BQ379" s="976">
        <f>BQ374*BQ315/1000</f>
        <v>0</v>
      </c>
      <c r="BR379" s="976">
        <f>BR374*BR315/1000</f>
        <v>0</v>
      </c>
      <c r="BS379" s="859">
        <f>BT379+BU379</f>
        <v>0</v>
      </c>
      <c r="BT379" s="976">
        <f>BT374*BT315/1000</f>
        <v>0</v>
      </c>
      <c r="BU379" s="976">
        <f>BU374*BU315/1000</f>
        <v>0</v>
      </c>
      <c r="BV379" s="859">
        <f>BW379+BX379</f>
        <v>0</v>
      </c>
      <c r="BW379" s="976">
        <f>BW374*BW315/1000</f>
        <v>0</v>
      </c>
      <c r="BX379" s="976">
        <f>BX374*BX315/1000</f>
        <v>0</v>
      </c>
      <c r="BY379" s="859">
        <f>BZ379+CA379</f>
        <v>0</v>
      </c>
      <c r="BZ379" s="976">
        <f>BZ374*BZ315/1000</f>
        <v>0</v>
      </c>
      <c r="CA379" s="976">
        <f>CA374*CA315/1000</f>
        <v>0</v>
      </c>
      <c r="CB379" s="859">
        <f>CC379+CD379</f>
        <v>0</v>
      </c>
      <c r="CC379" s="976">
        <f>CC374*CC315/1000</f>
        <v>0</v>
      </c>
      <c r="CD379" s="976">
        <f>CD374*CD315/1000</f>
        <v>0</v>
      </c>
      <c r="CE379" s="859">
        <f>CF379+CG379</f>
        <v>0</v>
      </c>
      <c r="CF379" s="1766">
        <f>CF374*CF315/1000</f>
        <v>0</v>
      </c>
      <c r="CG379" s="1766">
        <f>CG374*CG315/1000</f>
        <v>0</v>
      </c>
      <c r="CH379" s="859">
        <f>CI379+CJ379</f>
        <v>0</v>
      </c>
      <c r="CI379" s="1766">
        <f>CI374*CI315/1000</f>
        <v>0</v>
      </c>
      <c r="CJ379" s="1766">
        <f>CJ374*CJ315/1000</f>
        <v>0</v>
      </c>
      <c r="CK379" s="859">
        <f>CL379+CM379</f>
        <v>0</v>
      </c>
      <c r="CL379" s="1766">
        <f>CL374*CL315/1000</f>
        <v>0</v>
      </c>
      <c r="CM379" s="1766">
        <f>CM374*CM315/1000</f>
        <v>0</v>
      </c>
      <c r="CN379" s="859">
        <f>CO379+CP379</f>
        <v>0</v>
      </c>
      <c r="CO379" s="1766">
        <f>CO374*CO315/1000</f>
        <v>0</v>
      </c>
      <c r="CP379" s="1766">
        <f>CP374*CP315/1000</f>
        <v>0</v>
      </c>
      <c r="CQ379" s="859">
        <f>CR379+CS379</f>
        <v>0</v>
      </c>
      <c r="CR379" s="1766">
        <f>CR374*CR315/1000</f>
        <v>0</v>
      </c>
      <c r="CS379" s="1766">
        <f>CS374*CS315/1000</f>
        <v>0</v>
      </c>
      <c r="CT379" s="1730"/>
      <c r="CU379" s="1619"/>
      <c r="CV379" s="1619"/>
      <c r="CW379" s="1170" t="s">
        <v>856</v>
      </c>
      <c r="CX379" s="1175" t="s">
        <v>787</v>
      </c>
      <c r="CY379" s="1179" cm="1" t="str">
        <f t="array" ref="CY379:CY379">AE379</f>
        <v>Уголь бурый</v>
      </c>
      <c r="CZ379" s="1179" cm="1" t="str">
        <f t="array" ref="CZ379:CZ379">AF379</f>
        <v>Б</v>
      </c>
      <c r="DA379" s="1176"/>
      <c r="DB379" s="1176"/>
    </row>
    <row s="1619" customFormat="1" customHeight="1" ht="15" hidden="1">
      <c r="A380" s="1440"/>
      <c r="B380" s="924"/>
      <c r="C380" s="1440"/>
      <c r="D380" s="1440"/>
      <c r="E380" s="794">
        <v>0</v>
      </c>
      <c r="F380" s="919" cm="1" t="str">
        <f t="array" ref="F380:F380">OFFSET(G380,-1,-1)</f>
        <v>2</v>
      </c>
      <c r="G380" s="962"/>
      <c r="H380" s="962"/>
      <c r="I380" s="962"/>
      <c r="J380" s="962"/>
      <c r="K380" s="962"/>
      <c r="L380" s="919" cm="1" t="str">
        <f t="array" ref="L380:L380">OFFSET(M380,-1,-1)</f>
        <v>false</v>
      </c>
      <c r="M380" s="962"/>
      <c r="N380" s="962"/>
      <c r="O380" s="962"/>
      <c r="P380" s="962"/>
      <c r="Q380" s="962"/>
      <c r="R380" s="1440"/>
      <c r="S380" s="156" cm="1" t="str">
        <f t="array" ref="S380:S380">OFFSET(T380,-1,-1)</f>
        <v>true</v>
      </c>
      <c r="T380" s="1440"/>
      <c r="U380" s="816">
        <f>AND(S380,IF(ISBLANK(T380),TRUE,T380))</f>
        <v>1</v>
      </c>
      <c r="V380" s="1440"/>
      <c r="W380" s="1440"/>
      <c r="X380" s="970" t="str">
        <f>"{                  
         funcDyn: 'msg1',
         blok: 'blok_2',
         wsCross: 'Топливо 4.4',
         linkFormula: 'AE-AE#AF-AF',
         levelDyn: "&amp;Y275&amp;"
}"</f>
        <v>{                  
         funcDyn: 'msg1',
         blok: 'blok_2',
         wsCross: 'Топливо 4.4',
         linkFormula: 'AE-AE#AF-AF',
         levelDyn: 2
}</v>
      </c>
      <c r="Y380" s="1440"/>
      <c r="Z380" s="1440"/>
      <c r="AA380" s="817"/>
      <c r="AB380" s="1483"/>
      <c r="AC380" s="1619"/>
      <c r="AD380" s="973"/>
      <c r="AE380" s="972" t="s">
        <v>235</v>
      </c>
      <c r="AF380" s="871"/>
      <c r="AG380" s="856"/>
      <c r="AH380" s="858"/>
      <c r="AI380" s="860"/>
      <c r="AJ380" s="860"/>
      <c r="AK380" s="860"/>
      <c r="AL380" s="860"/>
      <c r="AM380" s="860"/>
      <c r="AN380" s="860"/>
      <c r="AO380" s="860"/>
      <c r="AP380" s="860"/>
      <c r="AQ380" s="860"/>
      <c r="AR380" s="860"/>
      <c r="AS380" s="860"/>
      <c r="AT380" s="860"/>
      <c r="AU380" s="860"/>
      <c r="AV380" s="860"/>
      <c r="AW380" s="860"/>
      <c r="AX380" s="860"/>
      <c r="AY380" s="860"/>
      <c r="AZ380" s="860"/>
      <c r="BA380" s="860"/>
      <c r="BB380" s="860"/>
      <c r="BC380" s="860"/>
      <c r="BD380" s="860"/>
      <c r="BE380" s="860"/>
      <c r="BF380" s="860"/>
      <c r="BG380" s="860"/>
      <c r="BH380" s="860"/>
      <c r="BI380" s="860"/>
      <c r="BJ380" s="860"/>
      <c r="BK380" s="860"/>
      <c r="BL380" s="860"/>
      <c r="BM380" s="860"/>
      <c r="BN380" s="860"/>
      <c r="BO380" s="860"/>
      <c r="BP380" s="860"/>
      <c r="BQ380" s="860"/>
      <c r="BR380" s="860"/>
      <c r="BS380" s="860"/>
      <c r="BT380" s="860"/>
      <c r="BU380" s="860"/>
      <c r="BV380" s="860"/>
      <c r="BW380" s="860"/>
      <c r="BX380" s="860"/>
      <c r="BY380" s="860"/>
      <c r="BZ380" s="860"/>
      <c r="CA380" s="860"/>
      <c r="CB380" s="860"/>
      <c r="CC380" s="860"/>
      <c r="CD380" s="860"/>
      <c r="CE380" s="860"/>
      <c r="CF380" s="860"/>
      <c r="CG380" s="860"/>
      <c r="CH380" s="860"/>
      <c r="CI380" s="860"/>
      <c r="CJ380" s="860"/>
      <c r="CK380" s="860"/>
      <c r="CL380" s="860"/>
      <c r="CM380" s="860"/>
      <c r="CN380" s="860"/>
      <c r="CO380" s="860"/>
      <c r="CP380" s="860"/>
      <c r="CQ380" s="860"/>
      <c r="CR380" s="860"/>
      <c r="CS380" s="860"/>
      <c r="CT380" s="91"/>
      <c r="CU380" s="1619"/>
      <c r="CV380" s="1619"/>
      <c r="CW380" s="1170" t="str">
        <f>IF(AND(ISNUMBER(VALUE(TRIM(SUBSTITUTE(AD380,".","")))),TRIM(SUBSTITUTE(AD380,".",""))&lt;&gt;""),"P"&amp;SUBSTITUTE(AD380,".",""),"")</f>
        <v/>
      </c>
      <c r="CX380" s="1175"/>
      <c r="CY380" s="1175"/>
      <c r="CZ380" s="1175"/>
      <c r="DA380" s="1176"/>
      <c r="DB380" s="1176"/>
    </row>
    <row s="1619" customFormat="1" customHeight="1" ht="29.25" hidden="1">
      <c r="A381" s="1440"/>
      <c r="B381" s="924"/>
      <c r="C381" s="1440"/>
      <c r="D381" s="1440"/>
      <c r="E381" s="794">
        <v>30</v>
      </c>
      <c r="F381" s="919" cm="1" t="str">
        <f t="array" ref="F381:F381">OFFSET(G381,-1,-1)</f>
        <v>2</v>
      </c>
      <c r="G381" s="962"/>
      <c r="H381" s="962"/>
      <c r="I381" s="962"/>
      <c r="J381" s="962"/>
      <c r="K381" s="962"/>
      <c r="L381" s="919" cm="1" t="str">
        <f t="array" ref="L381:L381">OFFSET(M381,-1,-1)</f>
        <v>false</v>
      </c>
      <c r="M381" s="962"/>
      <c r="N381" s="962"/>
      <c r="O381" s="962"/>
      <c r="P381" s="962"/>
      <c r="Q381" s="962"/>
      <c r="R381" s="919" t="s">
        <v>725</v>
      </c>
      <c r="S381" s="156" cm="1" t="str">
        <f t="array" ref="S381:S381">OFFSET(T381,-1,-1)</f>
        <v>true</v>
      </c>
      <c r="T381" s="156" cm="1" t="str">
        <f t="array" ref="T381:T381">L381</f>
        <v>false</v>
      </c>
      <c r="U381" s="816">
        <f>AND(S381,IF(ISBLANK(T381),TRUE,T381))</f>
        <v>0</v>
      </c>
      <c r="V381" s="1440"/>
      <c r="W381" s="1440"/>
      <c r="X381" s="1440"/>
      <c r="Y381" s="1440"/>
      <c r="Z381" s="1440"/>
      <c r="AA381" s="817"/>
      <c r="AB381" s="1483"/>
      <c r="AC381" s="1619"/>
      <c r="AD381" s="170" t="s">
        <v>858</v>
      </c>
      <c r="AE381" s="1499" t="s">
        <v>859</v>
      </c>
      <c r="AF381" s="160"/>
      <c r="AG381" s="856" t="s">
        <v>805</v>
      </c>
      <c r="AH381" s="857">
        <f>SUM(AH382:AH384)</f>
        <v>0</v>
      </c>
      <c r="AI381" s="857">
        <f>SUM(AI382:AI384)</f>
        <v>0</v>
      </c>
      <c r="AJ381" s="857">
        <f>SUM(AJ382:AJ384)</f>
        <v>0</v>
      </c>
      <c r="AK381" s="857">
        <f>SUM(AK382:AK384)</f>
        <v>0</v>
      </c>
      <c r="AL381" s="857">
        <f>SUM(AL382:AL384)</f>
        <v>0</v>
      </c>
      <c r="AM381" s="857">
        <f>SUM(AM382:AM384)</f>
        <v>0</v>
      </c>
      <c r="AN381" s="857">
        <f>SUM(AN382:AN384)</f>
        <v>0</v>
      </c>
      <c r="AO381" s="857">
        <f>SUM(AO382:AO384)</f>
        <v>0</v>
      </c>
      <c r="AP381" s="857">
        <f>SUM(AP382:AP384)</f>
        <v>0</v>
      </c>
      <c r="AQ381" s="857">
        <f>SUM(AQ382:AQ384)</f>
        <v>0</v>
      </c>
      <c r="AR381" s="857">
        <f>SUM(AR382:AR384)</f>
        <v>0</v>
      </c>
      <c r="AS381" s="857">
        <f>SUM(AS382:AS384)</f>
        <v>0</v>
      </c>
      <c r="AT381" s="857">
        <f>SUM(AT382:AT384)</f>
        <v>0</v>
      </c>
      <c r="AU381" s="857">
        <f>SUM(AU382:AU384)</f>
        <v>0</v>
      </c>
      <c r="AV381" s="857">
        <f>SUM(AV382:AV384)</f>
        <v>0</v>
      </c>
      <c r="AW381" s="857">
        <f>SUM(AW382:AW384)</f>
        <v>0</v>
      </c>
      <c r="AX381" s="857">
        <f>SUM(AX382:AX384)</f>
        <v>0</v>
      </c>
      <c r="AY381" s="857">
        <f>SUM(AY382:AY384)</f>
        <v>0</v>
      </c>
      <c r="AZ381" s="857">
        <f>SUM(AZ382:AZ384)</f>
        <v>0</v>
      </c>
      <c r="BA381" s="857">
        <f>SUM(BA382:BA384)</f>
        <v>0</v>
      </c>
      <c r="BB381" s="857">
        <f>SUM(BB382:BB384)</f>
        <v>0</v>
      </c>
      <c r="BC381" s="857">
        <f>SUM(BC382:BC384)</f>
        <v>0</v>
      </c>
      <c r="BD381" s="857">
        <f>SUM(BD382:BD384)</f>
        <v>0</v>
      </c>
      <c r="BE381" s="857">
        <f>SUM(BE382:BE384)</f>
        <v>0</v>
      </c>
      <c r="BF381" s="857">
        <f>SUM(BF382:BF384)</f>
        <v>0</v>
      </c>
      <c r="BG381" s="857">
        <f>SUM(BG382:BG384)</f>
        <v>0</v>
      </c>
      <c r="BH381" s="857">
        <f>SUM(BH382:BH384)</f>
        <v>0</v>
      </c>
      <c r="BI381" s="857">
        <f>SUM(BI382:BI384)</f>
        <v>0</v>
      </c>
      <c r="BJ381" s="857">
        <f>SUM(BJ382:BJ384)</f>
        <v>0</v>
      </c>
      <c r="BK381" s="857">
        <f>SUM(BK382:BK384)</f>
        <v>0</v>
      </c>
      <c r="BL381" s="857">
        <f>SUM(BL382:BL384)</f>
        <v>0</v>
      </c>
      <c r="BM381" s="857">
        <f>SUM(BM382:BM384)</f>
        <v>0</v>
      </c>
      <c r="BN381" s="857">
        <f>SUM(BN382:BN384)</f>
        <v>0</v>
      </c>
      <c r="BO381" s="857">
        <f>SUM(BO382:BO384)</f>
        <v>0</v>
      </c>
      <c r="BP381" s="857">
        <f>SUM(BP382:BP384)</f>
        <v>0</v>
      </c>
      <c r="BQ381" s="857">
        <f>SUM(BQ382:BQ384)</f>
        <v>0</v>
      </c>
      <c r="BR381" s="857">
        <f>SUM(BR382:BR384)</f>
        <v>0</v>
      </c>
      <c r="BS381" s="857">
        <f>SUM(BS382:BS384)</f>
        <v>0</v>
      </c>
      <c r="BT381" s="857">
        <f>SUM(BT382:BT384)</f>
        <v>0</v>
      </c>
      <c r="BU381" s="857">
        <f>SUM(BU382:BU384)</f>
        <v>0</v>
      </c>
      <c r="BV381" s="857">
        <f>SUM(BV382:BV384)</f>
        <v>0</v>
      </c>
      <c r="BW381" s="857">
        <f>SUM(BW382:BW384)</f>
        <v>0</v>
      </c>
      <c r="BX381" s="857">
        <f>SUM(BX382:BX384)</f>
        <v>0</v>
      </c>
      <c r="BY381" s="857">
        <f>SUM(BY382:BY384)</f>
        <v>0</v>
      </c>
      <c r="BZ381" s="857">
        <f>SUM(BZ382:BZ384)</f>
        <v>0</v>
      </c>
      <c r="CA381" s="857">
        <f>SUM(CA382:CA384)</f>
        <v>0</v>
      </c>
      <c r="CB381" s="857">
        <f>SUM(CB382:CB384)</f>
        <v>0</v>
      </c>
      <c r="CC381" s="857">
        <f>SUM(CC382:CC384)</f>
        <v>0</v>
      </c>
      <c r="CD381" s="857">
        <f>SUM(CD382:CD384)</f>
        <v>0</v>
      </c>
      <c r="CE381" s="857">
        <f>SUM(CE382:CE384)</f>
        <v>0</v>
      </c>
      <c r="CF381" s="857">
        <f>SUM(CF382:CF384)</f>
        <v>0</v>
      </c>
      <c r="CG381" s="857">
        <f>SUM(CG382:CG384)</f>
        <v>0</v>
      </c>
      <c r="CH381" s="857">
        <f>SUM(CH382:CH384)</f>
        <v>0</v>
      </c>
      <c r="CI381" s="857">
        <f>SUM(CI382:CI384)</f>
        <v>0</v>
      </c>
      <c r="CJ381" s="857">
        <f>SUM(CJ382:CJ384)</f>
        <v>0</v>
      </c>
      <c r="CK381" s="857">
        <f>SUM(CK382:CK384)</f>
        <v>0</v>
      </c>
      <c r="CL381" s="857">
        <f>SUM(CL382:CL384)</f>
        <v>0</v>
      </c>
      <c r="CM381" s="857">
        <f>SUM(CM382:CM384)</f>
        <v>0</v>
      </c>
      <c r="CN381" s="857">
        <f>SUM(CN382:CN384)</f>
        <v>0</v>
      </c>
      <c r="CO381" s="857">
        <f>SUM(CO382:CO384)</f>
        <v>0</v>
      </c>
      <c r="CP381" s="857">
        <f>SUM(CP382:CP384)</f>
        <v>0</v>
      </c>
      <c r="CQ381" s="857">
        <f>SUM(CQ382:CQ384)</f>
        <v>0</v>
      </c>
      <c r="CR381" s="857">
        <f>SUM(CR382:CR384)</f>
        <v>0</v>
      </c>
      <c r="CS381" s="857">
        <f>SUM(CS382:CS384)</f>
        <v>0</v>
      </c>
      <c r="CT381" s="73"/>
      <c r="CU381" s="1619"/>
      <c r="CV381" s="1619"/>
      <c r="CW381" s="1170" t="s">
        <v>860</v>
      </c>
      <c r="CX381" s="1175"/>
      <c r="CY381" s="1175"/>
      <c r="CZ381" s="1175"/>
      <c r="DA381" s="1176"/>
      <c r="DB381" s="1176"/>
    </row>
    <row s="1619" customFormat="1" customHeight="1" ht="16.5" hidden="1">
      <c r="E382" s="794">
        <v>17.1</v>
      </c>
      <c r="F382" s="919" cm="1" t="str">
        <f t="array" ref="F382:F382">OFFSET(G382,-1,-1)</f>
        <v>2</v>
      </c>
      <c r="L382" s="919" cm="1" t="str">
        <f t="array" ref="L382:L382">OFFSET(M382,-1,-1)</f>
        <v>false</v>
      </c>
      <c r="R382" s="919" t="s">
        <v>725</v>
      </c>
      <c r="S382" s="156" cm="1" t="str">
        <f t="array" ref="S382:S382">OFFSET(T382,-1,-1)</f>
        <v>true</v>
      </c>
      <c r="T382" s="156">
        <f>AND(L382,AD382&lt;&gt;"37.0")</f>
        <v>0</v>
      </c>
      <c r="U382" s="816">
        <f>AND(S382,IF(ISBLANK(T382),TRUE,T382))</f>
        <v>0</v>
      </c>
      <c r="X382" s="156" t="s">
        <v>233</v>
      </c>
      <c r="AB382" s="1483"/>
      <c r="AD382" s="157" t="s">
        <v>861</v>
      </c>
      <c r="AE382" s="971"/>
      <c r="AF382" s="622"/>
      <c r="AG382" s="856" t="s">
        <v>805</v>
      </c>
      <c r="AH382" s="86">
        <f>AH$299*AH378</f>
        <v>0</v>
      </c>
      <c r="AI382" s="87">
        <f>AI$299*AI378</f>
        <v>0</v>
      </c>
      <c r="AJ382" s="87">
        <f>AJ$299*AJ378</f>
        <v>0</v>
      </c>
      <c r="AK382" s="87">
        <f>AK$299*AK378</f>
        <v>0</v>
      </c>
      <c r="AL382" s="859">
        <f>AM382+AN382</f>
        <v>0</v>
      </c>
      <c r="AM382" s="87">
        <f>AM$299*AM378</f>
        <v>0</v>
      </c>
      <c r="AN382" s="87">
        <f>AN$299*AN378</f>
        <v>0</v>
      </c>
      <c r="AO382" s="859">
        <f>AP382+AQ382</f>
        <v>0</v>
      </c>
      <c r="AP382" s="976">
        <f>AP$299*AP378</f>
        <v>0</v>
      </c>
      <c r="AQ382" s="976">
        <f>AQ$299*AQ378</f>
        <v>0</v>
      </c>
      <c r="AR382" s="859">
        <f>AS382+AT382</f>
        <v>0</v>
      </c>
      <c r="AS382" s="976">
        <f>AS$299*AS378</f>
        <v>0</v>
      </c>
      <c r="AT382" s="976">
        <f>AT$299*AT378</f>
        <v>0</v>
      </c>
      <c r="AU382" s="859">
        <f>AV382+AW382</f>
        <v>0</v>
      </c>
      <c r="AV382" s="976">
        <f>AV$299*AV378</f>
        <v>0</v>
      </c>
      <c r="AW382" s="976">
        <f>AW$299*AW378</f>
        <v>0</v>
      </c>
      <c r="AX382" s="859">
        <f>AY382+AZ382</f>
        <v>0</v>
      </c>
      <c r="AY382" s="976">
        <f>AY$299*AY378</f>
        <v>0</v>
      </c>
      <c r="AZ382" s="976">
        <f>AZ$299*AZ378</f>
        <v>0</v>
      </c>
      <c r="BA382" s="859">
        <f>BB382+BC382</f>
        <v>0</v>
      </c>
      <c r="BB382" s="87">
        <f>BB$299*BB378</f>
        <v>0</v>
      </c>
      <c r="BC382" s="87">
        <f>BC$299*BC378</f>
        <v>0</v>
      </c>
      <c r="BD382" s="859">
        <f>BE382+BF382</f>
        <v>0</v>
      </c>
      <c r="BE382" s="87">
        <f>BE$299*BE378</f>
        <v>0</v>
      </c>
      <c r="BF382" s="87">
        <f>BF$299*BF378</f>
        <v>0</v>
      </c>
      <c r="BG382" s="859">
        <f>BH382+BI382</f>
        <v>0</v>
      </c>
      <c r="BH382" s="87">
        <f>BH$299*BH378</f>
        <v>0</v>
      </c>
      <c r="BI382" s="87">
        <f>BI$299*BI378</f>
        <v>0</v>
      </c>
      <c r="BJ382" s="859">
        <f>BK382+BL382</f>
        <v>0</v>
      </c>
      <c r="BK382" s="87">
        <f>BK$299*BK378</f>
        <v>0</v>
      </c>
      <c r="BL382" s="87">
        <f>BL$299*BL378</f>
        <v>0</v>
      </c>
      <c r="BM382" s="859">
        <f>BN382+BO382</f>
        <v>0</v>
      </c>
      <c r="BN382" s="87">
        <f>BN$299*BN378</f>
        <v>0</v>
      </c>
      <c r="BO382" s="87">
        <f>BO$299*BO378</f>
        <v>0</v>
      </c>
      <c r="BP382" s="859">
        <f>BQ382+BR382</f>
        <v>0</v>
      </c>
      <c r="BQ382" s="976">
        <f>BQ$299*BQ378</f>
        <v>0</v>
      </c>
      <c r="BR382" s="976">
        <f>BR$299*BR378</f>
        <v>0</v>
      </c>
      <c r="BS382" s="859">
        <f>BT382+BU382</f>
        <v>0</v>
      </c>
      <c r="BT382" s="976">
        <f>BT$299*BT378</f>
        <v>0</v>
      </c>
      <c r="BU382" s="976">
        <f>BU$299*BU378</f>
        <v>0</v>
      </c>
      <c r="BV382" s="859">
        <f>BW382+BX382</f>
        <v>0</v>
      </c>
      <c r="BW382" s="976">
        <f>BW$299*BW378</f>
        <v>0</v>
      </c>
      <c r="BX382" s="976">
        <f>BX$299*BX378</f>
        <v>0</v>
      </c>
      <c r="BY382" s="859">
        <f>BZ382+CA382</f>
        <v>0</v>
      </c>
      <c r="BZ382" s="976">
        <f>BZ$299*BZ378</f>
        <v>0</v>
      </c>
      <c r="CA382" s="976">
        <f>CA$299*CA378</f>
        <v>0</v>
      </c>
      <c r="CB382" s="859">
        <f>CC382+CD382</f>
        <v>0</v>
      </c>
      <c r="CC382" s="976">
        <f>CC$299*CC378</f>
        <v>0</v>
      </c>
      <c r="CD382" s="976">
        <f>CD$299*CD378</f>
        <v>0</v>
      </c>
      <c r="CE382" s="859">
        <f>CF382+CG382</f>
        <v>0</v>
      </c>
      <c r="CF382" s="87">
        <f>CF$299*CF378</f>
        <v>0</v>
      </c>
      <c r="CG382" s="87">
        <f>CG$299*CG378</f>
        <v>0</v>
      </c>
      <c r="CH382" s="859">
        <f>CI382+CJ382</f>
        <v>0</v>
      </c>
      <c r="CI382" s="87">
        <f>CI$299*CI378</f>
        <v>0</v>
      </c>
      <c r="CJ382" s="87">
        <f>CJ$299*CJ378</f>
        <v>0</v>
      </c>
      <c r="CK382" s="859">
        <f>CL382+CM382</f>
        <v>0</v>
      </c>
      <c r="CL382" s="87">
        <f>CL$299*CL378</f>
        <v>0</v>
      </c>
      <c r="CM382" s="87">
        <f>CM$299*CM378</f>
        <v>0</v>
      </c>
      <c r="CN382" s="859">
        <f>CO382+CP382</f>
        <v>0</v>
      </c>
      <c r="CO382" s="87">
        <f>CO$299*CO378</f>
        <v>0</v>
      </c>
      <c r="CP382" s="87">
        <f>CP$299*CP378</f>
        <v>0</v>
      </c>
      <c r="CQ382" s="859">
        <f>CR382+CS382</f>
        <v>0</v>
      </c>
      <c r="CR382" s="87">
        <f>CR$299*CR378</f>
        <v>0</v>
      </c>
      <c r="CS382" s="87">
        <f>CS$299*CS378</f>
        <v>0</v>
      </c>
      <c r="CT382" s="73"/>
      <c r="CW382" s="1170" t="s">
        <v>860</v>
      </c>
      <c r="CX382" s="1175" t="s">
        <v>787</v>
      </c>
      <c r="CY382" s="1179" cm="1" t="str">
        <f t="array" ref="CY382:CY382">AE382</f>
        <v>0</v>
      </c>
      <c r="CZ382" s="1179" cm="1" t="str">
        <f t="array" ref="CZ382:CZ382">AF382</f>
        <v>0</v>
      </c>
      <c r="DA382" s="1176"/>
      <c r="DB382" s="1176"/>
    </row>
    <row s="1619" customFormat="1" customHeight="1" ht="16.5" hidden="1">
      <c r="A383" s="1619"/>
      <c r="B383" s="1619"/>
      <c r="C383" s="1619"/>
      <c r="D383" s="1619"/>
      <c r="E383" s="794">
        <v>17.1</v>
      </c>
      <c r="F383" s="919" cm="1" t="str">
        <f t="array" ref="F383:F383">OFFSET(G383,-1,-1)</f>
        <v>2</v>
      </c>
      <c r="G383" s="1619"/>
      <c r="H383" s="1619"/>
      <c r="I383" s="1619"/>
      <c r="J383" s="1619"/>
      <c r="K383" s="1619"/>
      <c r="L383" s="919" cm="1" t="str">
        <f t="array" ref="L383:L383">OFFSET(M383,-1,-1)</f>
        <v>false</v>
      </c>
      <c r="M383" s="1619"/>
      <c r="N383" s="1619"/>
      <c r="O383" s="1619"/>
      <c r="P383" s="1619"/>
      <c r="Q383" s="1619"/>
      <c r="R383" s="919" t="s">
        <v>725</v>
      </c>
      <c r="S383" s="156" cm="1" t="str">
        <f t="array" ref="S383:S383">OFFSET(T383,-1,-1)</f>
        <v>true</v>
      </c>
      <c r="T383" s="156">
        <f>AND(L383,AD383&lt;&gt;"37.0")</f>
        <v>0</v>
      </c>
      <c r="U383" s="816">
        <f>AND(S383,IF(ISBLANK(T383),TRUE,T383))</f>
        <v>0</v>
      </c>
      <c r="V383" s="1619"/>
      <c r="W383" s="1619"/>
      <c r="X383" s="156" t="str">
        <f>'Топливо 4.4'!$AE$379&amp;'Топливо 4.4'!$AF$379</f>
        <v>Уголь бурыйБ</v>
      </c>
      <c r="Y383" s="1619"/>
      <c r="Z383" s="1619"/>
      <c r="AA383" s="1619"/>
      <c r="AB383" s="1483"/>
      <c r="AC383" s="1619"/>
      <c r="AD383" s="157" t="s">
        <v>917</v>
      </c>
      <c r="AE383" s="971" cm="1" t="str">
        <f t="array" ref="AE383:AE383">IF(ISBLANK('Топливо 4.4'!$AE$379),"",'Топливо 4.4'!$AE$379)</f>
        <v>Уголь бурый</v>
      </c>
      <c r="AF383" s="622" cm="1" t="str">
        <f t="array" ref="AF383:AF383">IF(ISBLANK('Топливо 4.4'!$AF$379),"",'Топливо 4.4'!$AF$379)</f>
        <v>Б</v>
      </c>
      <c r="AG383" s="856" t="s">
        <v>805</v>
      </c>
      <c r="AH383" s="86">
        <f>AH$299*AH379</f>
        <v>0</v>
      </c>
      <c r="AI383" s="87">
        <f>AI$299*AI379</f>
        <v>0</v>
      </c>
      <c r="AJ383" s="87">
        <f>AJ$299*AJ379</f>
        <v>0</v>
      </c>
      <c r="AK383" s="87">
        <f>AK$299*AK379</f>
        <v>0</v>
      </c>
      <c r="AL383" s="859">
        <f>AM383+AN383</f>
        <v>0</v>
      </c>
      <c r="AM383" s="87">
        <f>AM$299*AM379</f>
        <v>0</v>
      </c>
      <c r="AN383" s="87">
        <f>AN$299*AN379</f>
        <v>0</v>
      </c>
      <c r="AO383" s="859">
        <f>AP383+AQ383</f>
        <v>0</v>
      </c>
      <c r="AP383" s="976">
        <f>AP$299*AP379</f>
        <v>0</v>
      </c>
      <c r="AQ383" s="976">
        <f>AQ$299*AQ379</f>
        <v>0</v>
      </c>
      <c r="AR383" s="859">
        <f>AS383+AT383</f>
        <v>0</v>
      </c>
      <c r="AS383" s="976">
        <f>AS$299*AS379</f>
        <v>0</v>
      </c>
      <c r="AT383" s="976">
        <f>AT$299*AT379</f>
        <v>0</v>
      </c>
      <c r="AU383" s="859">
        <f>AV383+AW383</f>
        <v>0</v>
      </c>
      <c r="AV383" s="976">
        <f>AV$299*AV379</f>
        <v>0</v>
      </c>
      <c r="AW383" s="976">
        <f>AW$299*AW379</f>
        <v>0</v>
      </c>
      <c r="AX383" s="859">
        <f>AY383+AZ383</f>
        <v>0</v>
      </c>
      <c r="AY383" s="976">
        <f>AY$299*AY379</f>
        <v>0</v>
      </c>
      <c r="AZ383" s="976">
        <f>AZ$299*AZ379</f>
        <v>0</v>
      </c>
      <c r="BA383" s="859">
        <f>BB383+BC383</f>
        <v>0</v>
      </c>
      <c r="BB383" s="87">
        <f>BB$299*BB379</f>
        <v>0</v>
      </c>
      <c r="BC383" s="87">
        <f>BC$299*BC379</f>
        <v>0</v>
      </c>
      <c r="BD383" s="859">
        <f>BE383+BF383</f>
        <v>0</v>
      </c>
      <c r="BE383" s="87">
        <f>BE$299*BE379</f>
        <v>0</v>
      </c>
      <c r="BF383" s="87">
        <f>BF$299*BF379</f>
        <v>0</v>
      </c>
      <c r="BG383" s="859">
        <f>BH383+BI383</f>
        <v>0</v>
      </c>
      <c r="BH383" s="87">
        <f>BH$299*BH379</f>
        <v>0</v>
      </c>
      <c r="BI383" s="87">
        <f>BI$299*BI379</f>
        <v>0</v>
      </c>
      <c r="BJ383" s="859">
        <f>BK383+BL383</f>
        <v>0</v>
      </c>
      <c r="BK383" s="87">
        <f>BK$299*BK379</f>
        <v>0</v>
      </c>
      <c r="BL383" s="87">
        <f>BL$299*BL379</f>
        <v>0</v>
      </c>
      <c r="BM383" s="859">
        <f>BN383+BO383</f>
        <v>0</v>
      </c>
      <c r="BN383" s="87">
        <f>BN$299*BN379</f>
        <v>0</v>
      </c>
      <c r="BO383" s="87">
        <f>BO$299*BO379</f>
        <v>0</v>
      </c>
      <c r="BP383" s="859">
        <f>BQ383+BR383</f>
        <v>0</v>
      </c>
      <c r="BQ383" s="976">
        <f>BQ$299*BQ379</f>
        <v>0</v>
      </c>
      <c r="BR383" s="976">
        <f>BR$299*BR379</f>
        <v>0</v>
      </c>
      <c r="BS383" s="859">
        <f>BT383+BU383</f>
        <v>0</v>
      </c>
      <c r="BT383" s="976">
        <f>BT$299*BT379</f>
        <v>0</v>
      </c>
      <c r="BU383" s="976">
        <f>BU$299*BU379</f>
        <v>0</v>
      </c>
      <c r="BV383" s="859">
        <f>BW383+BX383</f>
        <v>0</v>
      </c>
      <c r="BW383" s="976">
        <f>BW$299*BW379</f>
        <v>0</v>
      </c>
      <c r="BX383" s="976">
        <f>BX$299*BX379</f>
        <v>0</v>
      </c>
      <c r="BY383" s="859">
        <f>BZ383+CA383</f>
        <v>0</v>
      </c>
      <c r="BZ383" s="976">
        <f>BZ$299*BZ379</f>
        <v>0</v>
      </c>
      <c r="CA383" s="976">
        <f>CA$299*CA379</f>
        <v>0</v>
      </c>
      <c r="CB383" s="859">
        <f>CC383+CD383</f>
        <v>0</v>
      </c>
      <c r="CC383" s="976">
        <f>CC$299*CC379</f>
        <v>0</v>
      </c>
      <c r="CD383" s="976">
        <f>CD$299*CD379</f>
        <v>0</v>
      </c>
      <c r="CE383" s="859">
        <f>CF383+CG383</f>
        <v>0</v>
      </c>
      <c r="CF383" s="87">
        <f>CF$299*CF379</f>
        <v>0</v>
      </c>
      <c r="CG383" s="87">
        <f>CG$299*CG379</f>
        <v>0</v>
      </c>
      <c r="CH383" s="859">
        <f>CI383+CJ383</f>
        <v>0</v>
      </c>
      <c r="CI383" s="87">
        <f>CI$299*CI379</f>
        <v>0</v>
      </c>
      <c r="CJ383" s="87">
        <f>CJ$299*CJ379</f>
        <v>0</v>
      </c>
      <c r="CK383" s="859">
        <f>CL383+CM383</f>
        <v>0</v>
      </c>
      <c r="CL383" s="87">
        <f>CL$299*CL379</f>
        <v>0</v>
      </c>
      <c r="CM383" s="87">
        <f>CM$299*CM379</f>
        <v>0</v>
      </c>
      <c r="CN383" s="859">
        <f>CO383+CP383</f>
        <v>0</v>
      </c>
      <c r="CO383" s="87">
        <f>CO$299*CO379</f>
        <v>0</v>
      </c>
      <c r="CP383" s="87">
        <f>CP$299*CP379</f>
        <v>0</v>
      </c>
      <c r="CQ383" s="859">
        <f>CR383+CS383</f>
        <v>0</v>
      </c>
      <c r="CR383" s="87">
        <f>CR$299*CR379</f>
        <v>0</v>
      </c>
      <c r="CS383" s="87">
        <f>CS$299*CS379</f>
        <v>0</v>
      </c>
      <c r="CT383" s="73"/>
      <c r="CU383" s="1619"/>
      <c r="CV383" s="1619"/>
      <c r="CW383" s="1170" t="s">
        <v>860</v>
      </c>
      <c r="CX383" s="1175" t="s">
        <v>787</v>
      </c>
      <c r="CY383" s="1179" cm="1" t="str">
        <f t="array" ref="CY383:CY383">AE383</f>
        <v>Уголь бурый</v>
      </c>
      <c r="CZ383" s="1179" cm="1" t="str">
        <f t="array" ref="CZ383:CZ383">AF383</f>
        <v>Б</v>
      </c>
      <c r="DA383" s="1176"/>
      <c r="DB383" s="1176"/>
    </row>
    <row s="1619" customFormat="1" customHeight="1" ht="15" hidden="1">
      <c r="A384" s="1440"/>
      <c r="B384" s="924"/>
      <c r="C384" s="1440"/>
      <c r="D384" s="1440"/>
      <c r="E384" s="794">
        <v>0</v>
      </c>
      <c r="F384" s="919" cm="1" t="str">
        <f t="array" ref="F384:F384">OFFSET(G384,-1,-1)</f>
        <v>2</v>
      </c>
      <c r="G384" s="962"/>
      <c r="H384" s="962"/>
      <c r="I384" s="962"/>
      <c r="J384" s="962"/>
      <c r="K384" s="962"/>
      <c r="L384" s="919" cm="1" t="str">
        <f t="array" ref="L384:L384">OFFSET(M384,-1,-1)</f>
        <v>false</v>
      </c>
      <c r="M384" s="962"/>
      <c r="N384" s="962"/>
      <c r="O384" s="962"/>
      <c r="P384" s="962"/>
      <c r="Q384" s="962"/>
      <c r="R384" s="1440"/>
      <c r="S384" s="156" cm="1" t="str">
        <f t="array" ref="S384:S384">OFFSET(T384,-1,-1)</f>
        <v>true</v>
      </c>
      <c r="T384" s="1440"/>
      <c r="U384" s="816">
        <f>AND(S384,IF(ISBLANK(T384),TRUE,T384))</f>
        <v>1</v>
      </c>
      <c r="V384" s="1440"/>
      <c r="W384" s="1440"/>
      <c r="X384" s="970" t="str">
        <f>"{                  
         funcDyn: 'msg1',
         blok: 'blok_2',
         wsCross: 'Топливо 4.4',
         linkFormula: 'AE-AE#AF-AF',
         levelDyn: "&amp;Y275&amp;"
}"</f>
        <v>{                  
         funcDyn: 'msg1',
         blok: 'blok_2',
         wsCross: 'Топливо 4.4',
         linkFormula: 'AE-AE#AF-AF',
         levelDyn: 2
}</v>
      </c>
      <c r="Y384" s="1440"/>
      <c r="Z384" s="1440"/>
      <c r="AA384" s="817"/>
      <c r="AB384" s="1484"/>
      <c r="AC384" s="1619"/>
      <c r="AD384" s="973"/>
      <c r="AE384" s="972" t="s">
        <v>235</v>
      </c>
      <c r="AF384" s="871"/>
      <c r="AG384" s="856"/>
      <c r="AH384" s="858"/>
      <c r="AI384" s="860"/>
      <c r="AJ384" s="860"/>
      <c r="AK384" s="860"/>
      <c r="AL384" s="860"/>
      <c r="AM384" s="860"/>
      <c r="AN384" s="860"/>
      <c r="AO384" s="860"/>
      <c r="AP384" s="860"/>
      <c r="AQ384" s="860"/>
      <c r="AR384" s="860"/>
      <c r="AS384" s="860"/>
      <c r="AT384" s="860"/>
      <c r="AU384" s="860"/>
      <c r="AV384" s="860"/>
      <c r="AW384" s="860"/>
      <c r="AX384" s="860"/>
      <c r="AY384" s="860"/>
      <c r="AZ384" s="860"/>
      <c r="BA384" s="860"/>
      <c r="BB384" s="860"/>
      <c r="BC384" s="860"/>
      <c r="BD384" s="860"/>
      <c r="BE384" s="860"/>
      <c r="BF384" s="860"/>
      <c r="BG384" s="860"/>
      <c r="BH384" s="860"/>
      <c r="BI384" s="860"/>
      <c r="BJ384" s="860"/>
      <c r="BK384" s="860"/>
      <c r="BL384" s="860"/>
      <c r="BM384" s="860"/>
      <c r="BN384" s="860"/>
      <c r="BO384" s="860"/>
      <c r="BP384" s="860"/>
      <c r="BQ384" s="860"/>
      <c r="BR384" s="860"/>
      <c r="BS384" s="860"/>
      <c r="BT384" s="860"/>
      <c r="BU384" s="860"/>
      <c r="BV384" s="860"/>
      <c r="BW384" s="860"/>
      <c r="BX384" s="860"/>
      <c r="BY384" s="860"/>
      <c r="BZ384" s="860"/>
      <c r="CA384" s="860"/>
      <c r="CB384" s="860"/>
      <c r="CC384" s="860"/>
      <c r="CD384" s="860"/>
      <c r="CE384" s="860"/>
      <c r="CF384" s="860"/>
      <c r="CG384" s="860"/>
      <c r="CH384" s="860"/>
      <c r="CI384" s="860"/>
      <c r="CJ384" s="860"/>
      <c r="CK384" s="860"/>
      <c r="CL384" s="860"/>
      <c r="CM384" s="860"/>
      <c r="CN384" s="860"/>
      <c r="CO384" s="860"/>
      <c r="CP384" s="860"/>
      <c r="CQ384" s="860"/>
      <c r="CR384" s="860"/>
      <c r="CS384" s="860"/>
      <c r="CT384" s="91"/>
      <c r="CU384" s="1619"/>
      <c r="CV384" s="1619"/>
      <c r="CW384" s="1170" t="str">
        <f>IF(AND(ISNUMBER(VALUE(TRIM(SUBSTITUTE(AD384,".","")))),TRIM(SUBSTITUTE(AD384,".",""))&lt;&gt;""),"P"&amp;SUBSTITUTE(AD384,".",""),"")</f>
        <v/>
      </c>
      <c r="CX384" s="1175"/>
      <c r="CY384" s="1175"/>
      <c r="CZ384" s="1175"/>
      <c r="DA384" s="1176"/>
      <c r="DB384" s="1176"/>
    </row>
    <row s="1619" customFormat="1" customHeight="1" ht="16.5">
      <c r="A385" s="1440"/>
      <c r="B385" s="924"/>
      <c r="C385" s="1440"/>
      <c r="D385" s="1440"/>
      <c r="E385" s="794">
        <v>17.1</v>
      </c>
      <c r="F385" s="919" cm="1" t="str">
        <f t="array" ref="F385:F385">OFFSET(G385,-1,-1)</f>
        <v>2</v>
      </c>
      <c r="G385" s="962"/>
      <c r="H385" s="962"/>
      <c r="I385" s="962"/>
      <c r="J385" s="962"/>
      <c r="K385" s="962"/>
      <c r="L385" s="919" cm="1" t="str">
        <f t="array" ref="L385:L385">OFFSET(M385,-1,-1)</f>
        <v>false</v>
      </c>
      <c r="M385" s="962"/>
      <c r="N385" s="962"/>
      <c r="O385" s="962"/>
      <c r="P385" s="962"/>
      <c r="Q385" s="962"/>
      <c r="R385" s="1440"/>
      <c r="S385" s="156" cm="1" t="str">
        <f t="array" ref="S385:S385">OFFSET(T385,-1,-1)</f>
        <v>true</v>
      </c>
      <c r="T385" s="1440"/>
      <c r="U385" s="816">
        <f>AND(S385,IF(ISBLANK(T385),TRUE,T385))</f>
        <v>1</v>
      </c>
      <c r="V385" s="1440"/>
      <c r="W385" s="1440"/>
      <c r="X385" s="1440"/>
      <c r="Y385" s="1440"/>
      <c r="Z385" s="1440"/>
      <c r="AA385" s="817"/>
      <c r="AB385" s="1482" t="s">
        <v>862</v>
      </c>
      <c r="AC385" s="1619"/>
      <c r="AD385" s="170" t="s">
        <v>863</v>
      </c>
      <c r="AE385" s="1494" t="s">
        <v>864</v>
      </c>
      <c r="AF385" s="320"/>
      <c r="AG385" s="856" t="s">
        <v>805</v>
      </c>
      <c r="AH385" s="857">
        <f>SUM(AH387:AH389)</f>
        <v>0</v>
      </c>
      <c r="AI385" s="857">
        <f>SUM(AI387:AI389)</f>
        <v>0</v>
      </c>
      <c r="AJ385" s="857">
        <f>SUM(AJ387:AJ389)</f>
        <v>0</v>
      </c>
      <c r="AK385" s="857">
        <f>SUM(AK387:AK389)</f>
        <v>0</v>
      </c>
      <c r="AL385" s="857">
        <f>SUM(AL387:AL389)</f>
        <v>0</v>
      </c>
      <c r="AM385" s="857">
        <f>SUM(AM387:AM389)</f>
        <v>0</v>
      </c>
      <c r="AN385" s="857">
        <f>SUM(AN387:AN389)</f>
        <v>0</v>
      </c>
      <c r="AO385" s="857">
        <f>SUM(AO387:AO389)</f>
        <v>0</v>
      </c>
      <c r="AP385" s="857">
        <f>SUM(AP387:AP389)</f>
        <v>0</v>
      </c>
      <c r="AQ385" s="857">
        <f>SUM(AQ387:AQ389)</f>
        <v>0</v>
      </c>
      <c r="AR385" s="857">
        <f>SUM(AR387:AR389)</f>
        <v>0</v>
      </c>
      <c r="AS385" s="857">
        <f>SUM(AS387:AS389)</f>
        <v>0</v>
      </c>
      <c r="AT385" s="857">
        <f>SUM(AT387:AT389)</f>
        <v>0</v>
      </c>
      <c r="AU385" s="857">
        <f>SUM(AU387:AU389)</f>
        <v>0</v>
      </c>
      <c r="AV385" s="857">
        <f>SUM(AV387:AV389)</f>
        <v>0</v>
      </c>
      <c r="AW385" s="857">
        <f>SUM(AW387:AW389)</f>
        <v>0</v>
      </c>
      <c r="AX385" s="857">
        <f>SUM(AX387:AX389)</f>
        <v>0</v>
      </c>
      <c r="AY385" s="857">
        <f>SUM(AY387:AY389)</f>
        <v>0</v>
      </c>
      <c r="AZ385" s="857">
        <f>SUM(AZ387:AZ389)</f>
        <v>0</v>
      </c>
      <c r="BA385" s="857">
        <f>SUM(BA387:BA389)</f>
        <v>0</v>
      </c>
      <c r="BB385" s="857">
        <f>SUM(BB387:BB389)</f>
        <v>0</v>
      </c>
      <c r="BC385" s="857">
        <f>SUM(BC387:BC389)</f>
        <v>0</v>
      </c>
      <c r="BD385" s="857">
        <f>SUM(BD387:BD389)</f>
        <v>0</v>
      </c>
      <c r="BE385" s="857">
        <f>SUM(BE387:BE389)</f>
        <v>0</v>
      </c>
      <c r="BF385" s="857">
        <f>SUM(BF387:BF389)</f>
        <v>0</v>
      </c>
      <c r="BG385" s="857">
        <f>SUM(BG387:BG389)</f>
        <v>0</v>
      </c>
      <c r="BH385" s="857">
        <f>SUM(BH387:BH389)</f>
        <v>0</v>
      </c>
      <c r="BI385" s="857">
        <f>SUM(BI387:BI389)</f>
        <v>0</v>
      </c>
      <c r="BJ385" s="857">
        <f>SUM(BJ387:BJ389)</f>
        <v>0</v>
      </c>
      <c r="BK385" s="857">
        <f>SUM(BK387:BK389)</f>
        <v>0</v>
      </c>
      <c r="BL385" s="857">
        <f>SUM(BL387:BL389)</f>
        <v>0</v>
      </c>
      <c r="BM385" s="857">
        <f>SUM(BM387:BM389)</f>
        <v>0</v>
      </c>
      <c r="BN385" s="857">
        <f>SUM(BN387:BN389)</f>
        <v>0</v>
      </c>
      <c r="BO385" s="857">
        <f>SUM(BO387:BO389)</f>
        <v>0</v>
      </c>
      <c r="BP385" s="857">
        <f>SUM(BP387:BP389)</f>
        <v>0</v>
      </c>
      <c r="BQ385" s="857">
        <f>SUM(BQ387:BQ389)</f>
        <v>0</v>
      </c>
      <c r="BR385" s="857">
        <f>SUM(BR387:BR389)</f>
        <v>0</v>
      </c>
      <c r="BS385" s="857">
        <f>SUM(BS387:BS389)</f>
        <v>0</v>
      </c>
      <c r="BT385" s="857">
        <f>SUM(BT387:BT389)</f>
        <v>0</v>
      </c>
      <c r="BU385" s="857">
        <f>SUM(BU387:BU389)</f>
        <v>0</v>
      </c>
      <c r="BV385" s="857">
        <f>SUM(BV387:BV389)</f>
        <v>0</v>
      </c>
      <c r="BW385" s="857">
        <f>SUM(BW387:BW389)</f>
        <v>0</v>
      </c>
      <c r="BX385" s="857">
        <f>SUM(BX387:BX389)</f>
        <v>0</v>
      </c>
      <c r="BY385" s="857">
        <f>SUM(BY387:BY389)</f>
        <v>0</v>
      </c>
      <c r="BZ385" s="857">
        <f>SUM(BZ387:BZ389)</f>
        <v>0</v>
      </c>
      <c r="CA385" s="857">
        <f>SUM(CA387:CA389)</f>
        <v>0</v>
      </c>
      <c r="CB385" s="857">
        <f>SUM(CB387:CB389)</f>
        <v>0</v>
      </c>
      <c r="CC385" s="857">
        <f>SUM(CC387:CC389)</f>
        <v>0</v>
      </c>
      <c r="CD385" s="857">
        <f>SUM(CD387:CD389)</f>
        <v>0</v>
      </c>
      <c r="CE385" s="857">
        <f>SUM(CE387:CE389)</f>
        <v>0</v>
      </c>
      <c r="CF385" s="857">
        <f>SUM(CF387:CF389)</f>
        <v>0</v>
      </c>
      <c r="CG385" s="857">
        <f>SUM(CG387:CG389)</f>
        <v>0</v>
      </c>
      <c r="CH385" s="857">
        <f>SUM(CH387:CH389)</f>
        <v>0</v>
      </c>
      <c r="CI385" s="857">
        <f>SUM(CI387:CI389)</f>
        <v>0</v>
      </c>
      <c r="CJ385" s="857">
        <f>SUM(CJ387:CJ389)</f>
        <v>0</v>
      </c>
      <c r="CK385" s="857">
        <f>SUM(CK387:CK389)</f>
        <v>0</v>
      </c>
      <c r="CL385" s="857">
        <f>SUM(CL387:CL389)</f>
        <v>0</v>
      </c>
      <c r="CM385" s="857">
        <f>SUM(CM387:CM389)</f>
        <v>0</v>
      </c>
      <c r="CN385" s="857">
        <f>SUM(CN387:CN389)</f>
        <v>0</v>
      </c>
      <c r="CO385" s="857">
        <f>SUM(CO387:CO389)</f>
        <v>0</v>
      </c>
      <c r="CP385" s="857">
        <f>SUM(CP387:CP389)</f>
        <v>0</v>
      </c>
      <c r="CQ385" s="857">
        <f>SUM(CQ387:CQ389)</f>
        <v>0</v>
      </c>
      <c r="CR385" s="857">
        <f>SUM(CR387:CR389)</f>
        <v>0</v>
      </c>
      <c r="CS385" s="857">
        <f>SUM(CS387:CS389)</f>
        <v>0</v>
      </c>
      <c r="CT385" s="1730"/>
      <c r="CU385" s="1619"/>
      <c r="CV385" s="1619"/>
      <c r="CW385" s="1170" t="s">
        <v>865</v>
      </c>
      <c r="CX385" s="1175"/>
      <c r="CY385" s="1175"/>
      <c r="CZ385" s="1175"/>
      <c r="DA385" s="1176"/>
      <c r="DB385" s="1176"/>
    </row>
    <row s="1619" customFormat="1" customHeight="1" ht="16.5" hidden="1">
      <c r="A386" s="1440"/>
      <c r="B386" s="924"/>
      <c r="C386" s="1440"/>
      <c r="D386" s="1440"/>
      <c r="E386" s="794">
        <v>17.1</v>
      </c>
      <c r="F386" s="919" cm="1" t="str">
        <f t="array" ref="F386:F386">OFFSET(G386,-1,-1)</f>
        <v>2</v>
      </c>
      <c r="G386" s="962"/>
      <c r="H386" s="962"/>
      <c r="I386" s="962"/>
      <c r="J386" s="962"/>
      <c r="K386" s="962"/>
      <c r="L386" s="919" cm="1" t="str">
        <f t="array" ref="L386:L386">OFFSET(M386,-1,-1)</f>
        <v>false</v>
      </c>
      <c r="M386" s="962"/>
      <c r="N386" s="962"/>
      <c r="O386" s="962"/>
      <c r="P386" s="962"/>
      <c r="Q386" s="962"/>
      <c r="R386" s="919" t="s">
        <v>725</v>
      </c>
      <c r="S386" s="156" cm="1" t="str">
        <f t="array" ref="S386:S386">OFFSET(T386,-1,-1)</f>
        <v>true</v>
      </c>
      <c r="T386" s="919" t="b">
        <v>0</v>
      </c>
      <c r="U386" s="816">
        <f>AND(S386,IF(ISBLANK(T386),TRUE,T386))</f>
        <v>0</v>
      </c>
      <c r="V386" s="1440"/>
      <c r="W386" s="1440"/>
      <c r="X386" s="1440"/>
      <c r="Y386" s="1440"/>
      <c r="Z386" s="1440"/>
      <c r="AA386" s="817"/>
      <c r="AB386" s="1483"/>
      <c r="AC386" s="1619"/>
      <c r="AD386" s="157" t="str">
        <f>AD385&amp;".0"</f>
        <v>38.0</v>
      </c>
      <c r="AE386" s="1346" t="s">
        <v>736</v>
      </c>
      <c r="AF386" s="161"/>
      <c r="AG386" s="856" t="s">
        <v>805</v>
      </c>
      <c r="AH386" s="86">
        <f>AH$299*AH385</f>
        <v>0</v>
      </c>
      <c r="AI386" s="87">
        <f>AI$299*AI385</f>
        <v>0</v>
      </c>
      <c r="AJ386" s="87">
        <f>AJ$299*AJ385</f>
        <v>0</v>
      </c>
      <c r="AK386" s="87">
        <f>AK$299*AK385</f>
        <v>0</v>
      </c>
      <c r="AL386" s="859">
        <f>AM386+AN386</f>
        <v>0</v>
      </c>
      <c r="AM386" s="87">
        <f>AM$299*AM385</f>
        <v>0</v>
      </c>
      <c r="AN386" s="87">
        <f>AN$299*AN385</f>
        <v>0</v>
      </c>
      <c r="AO386" s="859">
        <f>AP386+AQ386</f>
        <v>0</v>
      </c>
      <c r="AP386" s="976">
        <f>AP$299*AP385</f>
        <v>0</v>
      </c>
      <c r="AQ386" s="976">
        <f>AQ$299*AQ385</f>
        <v>0</v>
      </c>
      <c r="AR386" s="859">
        <f>AS386+AT386</f>
        <v>0</v>
      </c>
      <c r="AS386" s="976">
        <f>AS$299*AS385</f>
        <v>0</v>
      </c>
      <c r="AT386" s="976">
        <f>AT$299*AT385</f>
        <v>0</v>
      </c>
      <c r="AU386" s="859">
        <f>AV386+AW386</f>
        <v>0</v>
      </c>
      <c r="AV386" s="976">
        <f>AV$299*AV385</f>
        <v>0</v>
      </c>
      <c r="AW386" s="976">
        <f>AW$299*AW385</f>
        <v>0</v>
      </c>
      <c r="AX386" s="859">
        <f>AY386+AZ386</f>
        <v>0</v>
      </c>
      <c r="AY386" s="976">
        <f>AY$299*AY385</f>
        <v>0</v>
      </c>
      <c r="AZ386" s="976">
        <f>AZ$299*AZ385</f>
        <v>0</v>
      </c>
      <c r="BA386" s="859">
        <f>BB386+BC386</f>
        <v>0</v>
      </c>
      <c r="BB386" s="87">
        <f>BB$299*BB385</f>
        <v>0</v>
      </c>
      <c r="BC386" s="87">
        <f>BC$299*BC385</f>
        <v>0</v>
      </c>
      <c r="BD386" s="859">
        <f>BE386+BF386</f>
        <v>0</v>
      </c>
      <c r="BE386" s="87">
        <f>BE$299*BE385</f>
        <v>0</v>
      </c>
      <c r="BF386" s="87">
        <f>BF$299*BF385</f>
        <v>0</v>
      </c>
      <c r="BG386" s="859">
        <f>BH386+BI386</f>
        <v>0</v>
      </c>
      <c r="BH386" s="87">
        <f>BH$299*BH385</f>
        <v>0</v>
      </c>
      <c r="BI386" s="87">
        <f>BI$299*BI385</f>
        <v>0</v>
      </c>
      <c r="BJ386" s="859">
        <f>BK386+BL386</f>
        <v>0</v>
      </c>
      <c r="BK386" s="87">
        <f>BK$299*BK385</f>
        <v>0</v>
      </c>
      <c r="BL386" s="87">
        <f>BL$299*BL385</f>
        <v>0</v>
      </c>
      <c r="BM386" s="859">
        <f>BN386+BO386</f>
        <v>0</v>
      </c>
      <c r="BN386" s="87">
        <f>BN$299*BN385</f>
        <v>0</v>
      </c>
      <c r="BO386" s="87">
        <f>BO$299*BO385</f>
        <v>0</v>
      </c>
      <c r="BP386" s="859">
        <f>BQ386+BR386</f>
        <v>0</v>
      </c>
      <c r="BQ386" s="976">
        <f>BQ$299*BQ385</f>
        <v>0</v>
      </c>
      <c r="BR386" s="976">
        <f>BR$299*BR385</f>
        <v>0</v>
      </c>
      <c r="BS386" s="859">
        <f>BT386+BU386</f>
        <v>0</v>
      </c>
      <c r="BT386" s="976">
        <f>BT$299*BT385</f>
        <v>0</v>
      </c>
      <c r="BU386" s="976">
        <f>BU$299*BU385</f>
        <v>0</v>
      </c>
      <c r="BV386" s="859">
        <f>BW386+BX386</f>
        <v>0</v>
      </c>
      <c r="BW386" s="976">
        <f>BW$299*BW385</f>
        <v>0</v>
      </c>
      <c r="BX386" s="976">
        <f>BX$299*BX385</f>
        <v>0</v>
      </c>
      <c r="BY386" s="859">
        <f>BZ386+CA386</f>
        <v>0</v>
      </c>
      <c r="BZ386" s="976">
        <f>BZ$299*BZ385</f>
        <v>0</v>
      </c>
      <c r="CA386" s="976">
        <f>CA$299*CA385</f>
        <v>0</v>
      </c>
      <c r="CB386" s="859">
        <f>CC386+CD386</f>
        <v>0</v>
      </c>
      <c r="CC386" s="976">
        <f>CC$299*CC385</f>
        <v>0</v>
      </c>
      <c r="CD386" s="976">
        <f>CD$299*CD385</f>
        <v>0</v>
      </c>
      <c r="CE386" s="859">
        <f>CF386+CG386</f>
        <v>0</v>
      </c>
      <c r="CF386" s="87">
        <f>CF$299*CF385</f>
        <v>0</v>
      </c>
      <c r="CG386" s="87">
        <f>CG$299*CG385</f>
        <v>0</v>
      </c>
      <c r="CH386" s="859">
        <f>CI386+CJ386</f>
        <v>0</v>
      </c>
      <c r="CI386" s="87">
        <f>CI$299*CI385</f>
        <v>0</v>
      </c>
      <c r="CJ386" s="87">
        <f>CJ$299*CJ385</f>
        <v>0</v>
      </c>
      <c r="CK386" s="859">
        <f>CL386+CM386</f>
        <v>0</v>
      </c>
      <c r="CL386" s="87">
        <f>CL$299*CL385</f>
        <v>0</v>
      </c>
      <c r="CM386" s="87">
        <f>CM$299*CM385</f>
        <v>0</v>
      </c>
      <c r="CN386" s="859">
        <f>CO386+CP386</f>
        <v>0</v>
      </c>
      <c r="CO386" s="87">
        <f>CO$299*CO385</f>
        <v>0</v>
      </c>
      <c r="CP386" s="87">
        <f>CP$299*CP385</f>
        <v>0</v>
      </c>
      <c r="CQ386" s="859">
        <f>CR386+CS386</f>
        <v>0</v>
      </c>
      <c r="CR386" s="87">
        <f>CR$299*CR385</f>
        <v>0</v>
      </c>
      <c r="CS386" s="87">
        <f>CS$299*CS385</f>
        <v>0</v>
      </c>
      <c r="CT386" s="73"/>
      <c r="CU386" s="1619"/>
      <c r="CV386" s="1619"/>
      <c r="CW386" s="1170" t="s">
        <v>866</v>
      </c>
      <c r="CX386" s="1175"/>
      <c r="CY386" s="1175"/>
      <c r="CZ386" s="1175"/>
      <c r="DA386" s="1176"/>
      <c r="DB386" s="1176"/>
    </row>
    <row s="1619" customFormat="1" customHeight="1" ht="16.5" hidden="1">
      <c r="E387" s="794">
        <v>17.1</v>
      </c>
      <c r="F387" s="919" cm="1" t="str">
        <f t="array" ref="F387:F387">OFFSET(G387,-1,-1)</f>
        <v>2</v>
      </c>
      <c r="L387" s="919" cm="1" t="str">
        <f t="array" ref="L387:L387">OFFSET(M387,-1,-1)</f>
        <v>false</v>
      </c>
      <c r="S387" s="156" cm="1" t="str">
        <f t="array" ref="S387:S387">OFFSET(T387,-1,-1)</f>
        <v>true</v>
      </c>
      <c r="T387" s="156">
        <f>AD387&lt;&gt;"38.0"</f>
        <v>0</v>
      </c>
      <c r="U387" s="816">
        <f>AND(S387,IF(ISBLANK(T387),TRUE,T387))</f>
        <v>0</v>
      </c>
      <c r="X387" s="156" t="s">
        <v>233</v>
      </c>
      <c r="AB387" s="1483"/>
      <c r="AD387" s="157" t="s">
        <v>867</v>
      </c>
      <c r="AE387" s="971"/>
      <c r="AF387" s="622"/>
      <c r="AG387" s="856" t="s">
        <v>805</v>
      </c>
      <c r="AH387" s="86"/>
      <c r="AI387" s="87"/>
      <c r="AJ387" s="87"/>
      <c r="AK387" s="87"/>
      <c r="AL387" s="859">
        <f>AM387+AN387</f>
        <v>0</v>
      </c>
      <c r="AM387" s="87"/>
      <c r="AN387" s="87"/>
      <c r="AO387" s="859">
        <f>AP387+AQ387</f>
        <v>0</v>
      </c>
      <c r="AP387" s="976"/>
      <c r="AQ387" s="976"/>
      <c r="AR387" s="859">
        <f>AS387+AT387</f>
        <v>0</v>
      </c>
      <c r="AS387" s="976"/>
      <c r="AT387" s="976"/>
      <c r="AU387" s="859">
        <f>AV387+AW387</f>
        <v>0</v>
      </c>
      <c r="AV387" s="976"/>
      <c r="AW387" s="976"/>
      <c r="AX387" s="859">
        <f>AY387+AZ387</f>
        <v>0</v>
      </c>
      <c r="AY387" s="976"/>
      <c r="AZ387" s="976"/>
      <c r="BA387" s="859">
        <f>BB387+BC387</f>
        <v>0</v>
      </c>
      <c r="BB387" s="87"/>
      <c r="BC387" s="87"/>
      <c r="BD387" s="859">
        <f>BE387+BF387</f>
        <v>0</v>
      </c>
      <c r="BE387" s="87"/>
      <c r="BF387" s="87"/>
      <c r="BG387" s="859">
        <f>BH387+BI387</f>
        <v>0</v>
      </c>
      <c r="BH387" s="87"/>
      <c r="BI387" s="87"/>
      <c r="BJ387" s="859">
        <f>BK387+BL387</f>
        <v>0</v>
      </c>
      <c r="BK387" s="87"/>
      <c r="BL387" s="87"/>
      <c r="BM387" s="859">
        <f>BN387+BO387</f>
        <v>0</v>
      </c>
      <c r="BN387" s="87"/>
      <c r="BO387" s="87"/>
      <c r="BP387" s="859">
        <f>BQ387+BR387</f>
        <v>0</v>
      </c>
      <c r="BQ387" s="976"/>
      <c r="BR387" s="976"/>
      <c r="BS387" s="859">
        <f>BT387+BU387</f>
        <v>0</v>
      </c>
      <c r="BT387" s="976"/>
      <c r="BU387" s="976"/>
      <c r="BV387" s="859">
        <f>BW387+BX387</f>
        <v>0</v>
      </c>
      <c r="BW387" s="976"/>
      <c r="BX387" s="976"/>
      <c r="BY387" s="859">
        <f>BZ387+CA387</f>
        <v>0</v>
      </c>
      <c r="BZ387" s="976"/>
      <c r="CA387" s="976"/>
      <c r="CB387" s="859">
        <f>CC387+CD387</f>
        <v>0</v>
      </c>
      <c r="CC387" s="976"/>
      <c r="CD387" s="976"/>
      <c r="CE387" s="859">
        <f>CF387+CG387</f>
        <v>0</v>
      </c>
      <c r="CF387" s="87"/>
      <c r="CG387" s="87"/>
      <c r="CH387" s="859">
        <f>CI387+CJ387</f>
        <v>0</v>
      </c>
      <c r="CI387" s="87"/>
      <c r="CJ387" s="87"/>
      <c r="CK387" s="859">
        <f>CL387+CM387</f>
        <v>0</v>
      </c>
      <c r="CL387" s="87"/>
      <c r="CM387" s="87"/>
      <c r="CN387" s="859">
        <f>CO387+CP387</f>
        <v>0</v>
      </c>
      <c r="CO387" s="87"/>
      <c r="CP387" s="87"/>
      <c r="CQ387" s="859">
        <f>CR387+CS387</f>
        <v>0</v>
      </c>
      <c r="CR387" s="87"/>
      <c r="CS387" s="87"/>
      <c r="CT387" s="73"/>
      <c r="CW387" s="1170" t="s">
        <v>866</v>
      </c>
      <c r="CX387" s="1175" t="s">
        <v>787</v>
      </c>
      <c r="CY387" s="1179" cm="1" t="str">
        <f t="array" ref="CY387:CY387">AE387</f>
        <v>0</v>
      </c>
      <c r="CZ387" s="1179" cm="1" t="str">
        <f t="array" ref="CZ387:CZ387">AF387</f>
        <v>0</v>
      </c>
      <c r="DA387" s="1176"/>
      <c r="DB387" s="1176"/>
    </row>
    <row s="1619" customFormat="1" customHeight="1" ht="16.5">
      <c r="A388" s="1619"/>
      <c r="B388" s="1619"/>
      <c r="C388" s="1619"/>
      <c r="D388" s="1619"/>
      <c r="E388" s="794">
        <v>17.1</v>
      </c>
      <c r="F388" s="919" cm="1" t="str">
        <f t="array" ref="F388:F388">OFFSET(G388,-1,-1)</f>
        <v>2</v>
      </c>
      <c r="G388" s="1619"/>
      <c r="H388" s="1619"/>
      <c r="I388" s="1619"/>
      <c r="J388" s="1619"/>
      <c r="K388" s="1619"/>
      <c r="L388" s="919" cm="1" t="str">
        <f t="array" ref="L388:L388">OFFSET(M388,-1,-1)</f>
        <v>false</v>
      </c>
      <c r="M388" s="1619"/>
      <c r="N388" s="1619"/>
      <c r="O388" s="1619"/>
      <c r="P388" s="1619"/>
      <c r="Q388" s="1619"/>
      <c r="R388" s="1619"/>
      <c r="S388" s="156" cm="1" t="str">
        <f t="array" ref="S388:S388">OFFSET(T388,-1,-1)</f>
        <v>true</v>
      </c>
      <c r="T388" s="156">
        <f>AD388&lt;&gt;"38.0"</f>
        <v>1</v>
      </c>
      <c r="U388" s="816">
        <f>AND(S388,IF(ISBLANK(T388),TRUE,T388))</f>
        <v>1</v>
      </c>
      <c r="V388" s="1619"/>
      <c r="W388" s="1619"/>
      <c r="X388" s="156" t="str">
        <f>'Топливо 4.4'!$AE$383&amp;'Топливо 4.4'!$AF$383</f>
        <v>Уголь бурыйБ</v>
      </c>
      <c r="Y388" s="1619"/>
      <c r="Z388" s="1619"/>
      <c r="AA388" s="1619"/>
      <c r="AB388" s="1483"/>
      <c r="AC388" s="1619"/>
      <c r="AD388" s="157" t="s">
        <v>918</v>
      </c>
      <c r="AE388" s="971" cm="1" t="str">
        <f t="array" ref="AE388:AE388">IF(ISBLANK('Топливо 4.4'!$AE$383),"",'Топливо 4.4'!$AE$383)</f>
        <v>Уголь бурый</v>
      </c>
      <c r="AF388" s="622" cm="1" t="str">
        <f t="array" ref="AF388:AF388">IF(ISBLANK('Топливо 4.4'!$AF$383),"",'Топливо 4.4'!$AF$383)</f>
        <v>Б</v>
      </c>
      <c r="AG388" s="856" t="s">
        <v>805</v>
      </c>
      <c r="AH388" s="1768"/>
      <c r="AI388" s="1766"/>
      <c r="AJ388" s="1766"/>
      <c r="AK388" s="1766"/>
      <c r="AL388" s="859">
        <f>AM388+AN388</f>
        <v>0</v>
      </c>
      <c r="AM388" s="1766"/>
      <c r="AN388" s="1766"/>
      <c r="AO388" s="859">
        <f>AP388+AQ388</f>
        <v>0</v>
      </c>
      <c r="AP388" s="976"/>
      <c r="AQ388" s="976"/>
      <c r="AR388" s="859">
        <f>AS388+AT388</f>
        <v>0</v>
      </c>
      <c r="AS388" s="976"/>
      <c r="AT388" s="976"/>
      <c r="AU388" s="859">
        <f>AV388+AW388</f>
        <v>0</v>
      </c>
      <c r="AV388" s="976"/>
      <c r="AW388" s="976"/>
      <c r="AX388" s="859">
        <f>AY388+AZ388</f>
        <v>0</v>
      </c>
      <c r="AY388" s="976"/>
      <c r="AZ388" s="976"/>
      <c r="BA388" s="859">
        <f>BB388+BC388</f>
        <v>0</v>
      </c>
      <c r="BB388" s="1766"/>
      <c r="BC388" s="1766"/>
      <c r="BD388" s="859">
        <f>BE388+BF388</f>
        <v>0</v>
      </c>
      <c r="BE388" s="1766"/>
      <c r="BF388" s="1766"/>
      <c r="BG388" s="859">
        <f>BH388+BI388</f>
        <v>0</v>
      </c>
      <c r="BH388" s="1766"/>
      <c r="BI388" s="1766"/>
      <c r="BJ388" s="859">
        <f>BK388+BL388</f>
        <v>0</v>
      </c>
      <c r="BK388" s="1766"/>
      <c r="BL388" s="1766"/>
      <c r="BM388" s="859">
        <f>BN388+BO388</f>
        <v>0</v>
      </c>
      <c r="BN388" s="1766"/>
      <c r="BO388" s="1766"/>
      <c r="BP388" s="859">
        <f>BQ388+BR388</f>
        <v>0</v>
      </c>
      <c r="BQ388" s="976"/>
      <c r="BR388" s="976"/>
      <c r="BS388" s="859">
        <f>BT388+BU388</f>
        <v>0</v>
      </c>
      <c r="BT388" s="976"/>
      <c r="BU388" s="976"/>
      <c r="BV388" s="859">
        <f>BW388+BX388</f>
        <v>0</v>
      </c>
      <c r="BW388" s="976"/>
      <c r="BX388" s="976"/>
      <c r="BY388" s="859">
        <f>BZ388+CA388</f>
        <v>0</v>
      </c>
      <c r="BZ388" s="976"/>
      <c r="CA388" s="976"/>
      <c r="CB388" s="859">
        <f>CC388+CD388</f>
        <v>0</v>
      </c>
      <c r="CC388" s="976"/>
      <c r="CD388" s="976"/>
      <c r="CE388" s="859">
        <f>CF388+CG388</f>
        <v>0</v>
      </c>
      <c r="CF388" s="1766"/>
      <c r="CG388" s="1766"/>
      <c r="CH388" s="859">
        <f>CI388+CJ388</f>
        <v>0</v>
      </c>
      <c r="CI388" s="1766"/>
      <c r="CJ388" s="1766"/>
      <c r="CK388" s="859">
        <f>CL388+CM388</f>
        <v>0</v>
      </c>
      <c r="CL388" s="1766"/>
      <c r="CM388" s="1766"/>
      <c r="CN388" s="859">
        <f>CO388+CP388</f>
        <v>0</v>
      </c>
      <c r="CO388" s="1766"/>
      <c r="CP388" s="1766"/>
      <c r="CQ388" s="859">
        <f>CR388+CS388</f>
        <v>0</v>
      </c>
      <c r="CR388" s="1766"/>
      <c r="CS388" s="1766"/>
      <c r="CT388" s="1730"/>
      <c r="CU388" s="1619"/>
      <c r="CV388" s="1619"/>
      <c r="CW388" s="1170" t="s">
        <v>866</v>
      </c>
      <c r="CX388" s="1175" t="s">
        <v>787</v>
      </c>
      <c r="CY388" s="1179" cm="1" t="str">
        <f t="array" ref="CY388:CY388">AE388</f>
        <v>Уголь бурый</v>
      </c>
      <c r="CZ388" s="1179" cm="1" t="str">
        <f t="array" ref="CZ388:CZ388">AF388</f>
        <v>Б</v>
      </c>
      <c r="DA388" s="1176"/>
      <c r="DB388" s="1176"/>
    </row>
    <row s="1619" customFormat="1" customHeight="1" ht="15" hidden="1">
      <c r="A389" s="1440"/>
      <c r="B389" s="924"/>
      <c r="C389" s="1440"/>
      <c r="D389" s="1440"/>
      <c r="E389" s="794">
        <v>0</v>
      </c>
      <c r="F389" s="919" cm="1" t="str">
        <f t="array" ref="F389:F389">OFFSET(G389,-1,-1)</f>
        <v>2</v>
      </c>
      <c r="G389" s="962"/>
      <c r="H389" s="962"/>
      <c r="I389" s="962"/>
      <c r="J389" s="962"/>
      <c r="K389" s="962"/>
      <c r="L389" s="919" cm="1" t="str">
        <f t="array" ref="L389:L389">OFFSET(M389,-1,-1)</f>
        <v>false</v>
      </c>
      <c r="M389" s="962"/>
      <c r="N389" s="962"/>
      <c r="O389" s="962"/>
      <c r="P389" s="962"/>
      <c r="Q389" s="962"/>
      <c r="R389" s="1440"/>
      <c r="S389" s="156" cm="1" t="str">
        <f t="array" ref="S389:S389">OFFSET(T389,-1,-1)</f>
        <v>true</v>
      </c>
      <c r="T389" s="1440"/>
      <c r="U389" s="816">
        <f>AND(S389,IF(ISBLANK(T389),TRUE,T389))</f>
        <v>1</v>
      </c>
      <c r="V389" s="1440"/>
      <c r="W389" s="1440"/>
      <c r="X389" s="970" t="str">
        <f>"{                  
         funcDyn: 'msg1',
         blok: 'blok_2',
         wsCross: 'Топливо 4.4',
         linkFormula: 'AE-AE#AF-AF',
         levelDyn: "&amp;Y275&amp;"
}"</f>
        <v>{                  
         funcDyn: 'msg1',
         blok: 'blok_2',
         wsCross: 'Топливо 4.4',
         linkFormula: 'AE-AE#AF-AF',
         levelDyn: 2
}</v>
      </c>
      <c r="Y389" s="1440"/>
      <c r="Z389" s="1440"/>
      <c r="AA389" s="817"/>
      <c r="AB389" s="1483"/>
      <c r="AC389" s="1619"/>
      <c r="AD389" s="973"/>
      <c r="AE389" s="972" t="s">
        <v>235</v>
      </c>
      <c r="AF389" s="871"/>
      <c r="AG389" s="856"/>
      <c r="AH389" s="858"/>
      <c r="AI389" s="860"/>
      <c r="AJ389" s="860"/>
      <c r="AK389" s="860"/>
      <c r="AL389" s="860"/>
      <c r="AM389" s="860"/>
      <c r="AN389" s="860"/>
      <c r="AO389" s="860"/>
      <c r="AP389" s="860"/>
      <c r="AQ389" s="860"/>
      <c r="AR389" s="860"/>
      <c r="AS389" s="860"/>
      <c r="AT389" s="860"/>
      <c r="AU389" s="860"/>
      <c r="AV389" s="860"/>
      <c r="AW389" s="860"/>
      <c r="AX389" s="860"/>
      <c r="AY389" s="860"/>
      <c r="AZ389" s="860"/>
      <c r="BA389" s="860"/>
      <c r="BB389" s="860"/>
      <c r="BC389" s="860"/>
      <c r="BD389" s="860"/>
      <c r="BE389" s="860"/>
      <c r="BF389" s="860"/>
      <c r="BG389" s="860"/>
      <c r="BH389" s="860"/>
      <c r="BI389" s="860"/>
      <c r="BJ389" s="860"/>
      <c r="BK389" s="860"/>
      <c r="BL389" s="860"/>
      <c r="BM389" s="860"/>
      <c r="BN389" s="860"/>
      <c r="BO389" s="860"/>
      <c r="BP389" s="860"/>
      <c r="BQ389" s="860"/>
      <c r="BR389" s="860"/>
      <c r="BS389" s="860"/>
      <c r="BT389" s="860"/>
      <c r="BU389" s="860"/>
      <c r="BV389" s="860"/>
      <c r="BW389" s="860"/>
      <c r="BX389" s="860"/>
      <c r="BY389" s="860"/>
      <c r="BZ389" s="860"/>
      <c r="CA389" s="860"/>
      <c r="CB389" s="860"/>
      <c r="CC389" s="860"/>
      <c r="CD389" s="860"/>
      <c r="CE389" s="860"/>
      <c r="CF389" s="860"/>
      <c r="CG389" s="860"/>
      <c r="CH389" s="860"/>
      <c r="CI389" s="860"/>
      <c r="CJ389" s="860"/>
      <c r="CK389" s="860"/>
      <c r="CL389" s="860"/>
      <c r="CM389" s="860"/>
      <c r="CN389" s="860"/>
      <c r="CO389" s="860"/>
      <c r="CP389" s="860"/>
      <c r="CQ389" s="860"/>
      <c r="CR389" s="860"/>
      <c r="CS389" s="860"/>
      <c r="CT389" s="91"/>
      <c r="CU389" s="1619"/>
      <c r="CV389" s="1619"/>
      <c r="CW389" s="1170" t="str">
        <f>IF(AND(ISNUMBER(VALUE(TRIM(SUBSTITUTE(AD389,".","")))),TRIM(SUBSTITUTE(AD389,".",""))&lt;&gt;""),"P"&amp;SUBSTITUTE(AD389,".",""),"")</f>
        <v/>
      </c>
      <c r="CX389" s="1175"/>
      <c r="CY389" s="1175"/>
      <c r="CZ389" s="1175"/>
      <c r="DA389" s="1176"/>
      <c r="DB389" s="1176"/>
    </row>
    <row s="1619" customFormat="1" customHeight="1" ht="29.25" hidden="1">
      <c r="A390" s="1440"/>
      <c r="B390" s="924"/>
      <c r="C390" s="1440"/>
      <c r="D390" s="1440"/>
      <c r="E390" s="794">
        <v>30</v>
      </c>
      <c r="F390" s="919" cm="1" t="str">
        <f t="array" ref="F390:F390">OFFSET(G390,-1,-1)</f>
        <v>2</v>
      </c>
      <c r="G390" s="962"/>
      <c r="H390" s="962"/>
      <c r="I390" s="962"/>
      <c r="J390" s="962"/>
      <c r="K390" s="962"/>
      <c r="L390" s="919" cm="1" t="str">
        <f t="array" ref="L390:L390">OFFSET(M390,-1,-1)</f>
        <v>false</v>
      </c>
      <c r="M390" s="962"/>
      <c r="N390" s="962"/>
      <c r="O390" s="962"/>
      <c r="P390" s="962"/>
      <c r="Q390" s="962"/>
      <c r="R390" s="919" t="s">
        <v>725</v>
      </c>
      <c r="S390" s="156" cm="1" t="str">
        <f t="array" ref="S390:S390">OFFSET(T390,-1,-1)</f>
        <v>true</v>
      </c>
      <c r="T390" s="156" cm="1" t="str">
        <f t="array" ref="T390:T390">L390</f>
        <v>false</v>
      </c>
      <c r="U390" s="816">
        <f>AND(S390,IF(ISBLANK(T390),TRUE,T390))</f>
        <v>0</v>
      </c>
      <c r="V390" s="1440"/>
      <c r="W390" s="1440"/>
      <c r="X390" s="1440"/>
      <c r="Y390" s="1440"/>
      <c r="Z390" s="1440"/>
      <c r="AA390" s="817"/>
      <c r="AB390" s="1483"/>
      <c r="AC390" s="1619"/>
      <c r="AD390" s="170" t="s">
        <v>868</v>
      </c>
      <c r="AE390" s="1499" t="s">
        <v>869</v>
      </c>
      <c r="AF390" s="160"/>
      <c r="AG390" s="856" t="s">
        <v>805</v>
      </c>
      <c r="AH390" s="857">
        <f>SUM(AH391:AH393)</f>
        <v>0</v>
      </c>
      <c r="AI390" s="857">
        <f>SUM(AI391:AI393)</f>
        <v>0</v>
      </c>
      <c r="AJ390" s="857">
        <f>SUM(AJ391:AJ393)</f>
        <v>0</v>
      </c>
      <c r="AK390" s="857">
        <f>SUM(AK391:AK393)</f>
        <v>0</v>
      </c>
      <c r="AL390" s="857">
        <f>SUM(AL391:AL393)</f>
        <v>0</v>
      </c>
      <c r="AM390" s="857">
        <f>SUM(AM391:AM393)</f>
        <v>0</v>
      </c>
      <c r="AN390" s="857">
        <f>SUM(AN391:AN393)</f>
        <v>0</v>
      </c>
      <c r="AO390" s="857">
        <f>SUM(AO391:AO393)</f>
        <v>0</v>
      </c>
      <c r="AP390" s="857">
        <f>SUM(AP391:AP393)</f>
        <v>0</v>
      </c>
      <c r="AQ390" s="857">
        <f>SUM(AQ391:AQ393)</f>
        <v>0</v>
      </c>
      <c r="AR390" s="857">
        <f>SUM(AR391:AR393)</f>
        <v>0</v>
      </c>
      <c r="AS390" s="857">
        <f>SUM(AS391:AS393)</f>
        <v>0</v>
      </c>
      <c r="AT390" s="857">
        <f>SUM(AT391:AT393)</f>
        <v>0</v>
      </c>
      <c r="AU390" s="857">
        <f>SUM(AU391:AU393)</f>
        <v>0</v>
      </c>
      <c r="AV390" s="857">
        <f>SUM(AV391:AV393)</f>
        <v>0</v>
      </c>
      <c r="AW390" s="857">
        <f>SUM(AW391:AW393)</f>
        <v>0</v>
      </c>
      <c r="AX390" s="857">
        <f>SUM(AX391:AX393)</f>
        <v>0</v>
      </c>
      <c r="AY390" s="857">
        <f>SUM(AY391:AY393)</f>
        <v>0</v>
      </c>
      <c r="AZ390" s="857">
        <f>SUM(AZ391:AZ393)</f>
        <v>0</v>
      </c>
      <c r="BA390" s="857">
        <f>SUM(BA391:BA393)</f>
        <v>0</v>
      </c>
      <c r="BB390" s="857">
        <f>SUM(BB391:BB393)</f>
        <v>0</v>
      </c>
      <c r="BC390" s="857">
        <f>SUM(BC391:BC393)</f>
        <v>0</v>
      </c>
      <c r="BD390" s="857">
        <f>SUM(BD391:BD393)</f>
        <v>0</v>
      </c>
      <c r="BE390" s="857">
        <f>SUM(BE391:BE393)</f>
        <v>0</v>
      </c>
      <c r="BF390" s="857">
        <f>SUM(BF391:BF393)</f>
        <v>0</v>
      </c>
      <c r="BG390" s="857">
        <f>SUM(BG391:BG393)</f>
        <v>0</v>
      </c>
      <c r="BH390" s="857">
        <f>SUM(BH391:BH393)</f>
        <v>0</v>
      </c>
      <c r="BI390" s="857">
        <f>SUM(BI391:BI393)</f>
        <v>0</v>
      </c>
      <c r="BJ390" s="857">
        <f>SUM(BJ391:BJ393)</f>
        <v>0</v>
      </c>
      <c r="BK390" s="857">
        <f>SUM(BK391:BK393)</f>
        <v>0</v>
      </c>
      <c r="BL390" s="857">
        <f>SUM(BL391:BL393)</f>
        <v>0</v>
      </c>
      <c r="BM390" s="857">
        <f>SUM(BM391:BM393)</f>
        <v>0</v>
      </c>
      <c r="BN390" s="857">
        <f>SUM(BN391:BN393)</f>
        <v>0</v>
      </c>
      <c r="BO390" s="857">
        <f>SUM(BO391:BO393)</f>
        <v>0</v>
      </c>
      <c r="BP390" s="857">
        <f>SUM(BP391:BP393)</f>
        <v>0</v>
      </c>
      <c r="BQ390" s="857">
        <f>SUM(BQ391:BQ393)</f>
        <v>0</v>
      </c>
      <c r="BR390" s="857">
        <f>SUM(BR391:BR393)</f>
        <v>0</v>
      </c>
      <c r="BS390" s="857">
        <f>SUM(BS391:BS393)</f>
        <v>0</v>
      </c>
      <c r="BT390" s="857">
        <f>SUM(BT391:BT393)</f>
        <v>0</v>
      </c>
      <c r="BU390" s="857">
        <f>SUM(BU391:BU393)</f>
        <v>0</v>
      </c>
      <c r="BV390" s="857">
        <f>SUM(BV391:BV393)</f>
        <v>0</v>
      </c>
      <c r="BW390" s="857">
        <f>SUM(BW391:BW393)</f>
        <v>0</v>
      </c>
      <c r="BX390" s="857">
        <f>SUM(BX391:BX393)</f>
        <v>0</v>
      </c>
      <c r="BY390" s="857">
        <f>SUM(BY391:BY393)</f>
        <v>0</v>
      </c>
      <c r="BZ390" s="857">
        <f>SUM(BZ391:BZ393)</f>
        <v>0</v>
      </c>
      <c r="CA390" s="857">
        <f>SUM(CA391:CA393)</f>
        <v>0</v>
      </c>
      <c r="CB390" s="857">
        <f>SUM(CB391:CB393)</f>
        <v>0</v>
      </c>
      <c r="CC390" s="857">
        <f>SUM(CC391:CC393)</f>
        <v>0</v>
      </c>
      <c r="CD390" s="857">
        <f>SUM(CD391:CD393)</f>
        <v>0</v>
      </c>
      <c r="CE390" s="857">
        <f>SUM(CE391:CE393)</f>
        <v>0</v>
      </c>
      <c r="CF390" s="857">
        <f>SUM(CF391:CF393)</f>
        <v>0</v>
      </c>
      <c r="CG390" s="857">
        <f>SUM(CG391:CG393)</f>
        <v>0</v>
      </c>
      <c r="CH390" s="857">
        <f>SUM(CH391:CH393)</f>
        <v>0</v>
      </c>
      <c r="CI390" s="857">
        <f>SUM(CI391:CI393)</f>
        <v>0</v>
      </c>
      <c r="CJ390" s="857">
        <f>SUM(CJ391:CJ393)</f>
        <v>0</v>
      </c>
      <c r="CK390" s="857">
        <f>SUM(CK391:CK393)</f>
        <v>0</v>
      </c>
      <c r="CL390" s="857">
        <f>SUM(CL391:CL393)</f>
        <v>0</v>
      </c>
      <c r="CM390" s="857">
        <f>SUM(CM391:CM393)</f>
        <v>0</v>
      </c>
      <c r="CN390" s="857">
        <f>SUM(CN391:CN393)</f>
        <v>0</v>
      </c>
      <c r="CO390" s="857">
        <f>SUM(CO391:CO393)</f>
        <v>0</v>
      </c>
      <c r="CP390" s="857">
        <f>SUM(CP391:CP393)</f>
        <v>0</v>
      </c>
      <c r="CQ390" s="857">
        <f>SUM(CQ391:CQ393)</f>
        <v>0</v>
      </c>
      <c r="CR390" s="857">
        <f>SUM(CR391:CR393)</f>
        <v>0</v>
      </c>
      <c r="CS390" s="857">
        <f>SUM(CS391:CS393)</f>
        <v>0</v>
      </c>
      <c r="CT390" s="73"/>
      <c r="CU390" s="1619"/>
      <c r="CV390" s="1619"/>
      <c r="CW390" s="1170" t="s">
        <v>870</v>
      </c>
      <c r="CX390" s="1175"/>
      <c r="CY390" s="1175"/>
      <c r="CZ390" s="1175"/>
      <c r="DA390" s="1176"/>
      <c r="DB390" s="1176"/>
    </row>
    <row s="1619" customFormat="1" customHeight="1" ht="16.5" hidden="1">
      <c r="E391" s="794">
        <v>17.1</v>
      </c>
      <c r="F391" s="919" cm="1" t="str">
        <f t="array" ref="F391:F391">OFFSET(G391,-1,-1)</f>
        <v>2</v>
      </c>
      <c r="L391" s="919" cm="1" t="str">
        <f t="array" ref="L391:L391">OFFSET(M391,-1,-1)</f>
        <v>false</v>
      </c>
      <c r="R391" s="919" t="s">
        <v>725</v>
      </c>
      <c r="S391" s="156" cm="1" t="str">
        <f t="array" ref="S391:S391">OFFSET(T391,-1,-1)</f>
        <v>true</v>
      </c>
      <c r="T391" s="156">
        <f>AND(L391,AD391&lt;&gt;"39.0")</f>
        <v>0</v>
      </c>
      <c r="U391" s="816">
        <f>AND(S391,IF(ISBLANK(T391),TRUE,T391))</f>
        <v>0</v>
      </c>
      <c r="X391" s="156" t="s">
        <v>233</v>
      </c>
      <c r="AB391" s="1483"/>
      <c r="AD391" s="157" t="s">
        <v>871</v>
      </c>
      <c r="AE391" s="971"/>
      <c r="AF391" s="622"/>
      <c r="AG391" s="856" t="s">
        <v>805</v>
      </c>
      <c r="AH391" s="86">
        <f>AH$299*AH387</f>
        <v>0</v>
      </c>
      <c r="AI391" s="87">
        <f>AI$299*AI387</f>
        <v>0</v>
      </c>
      <c r="AJ391" s="87">
        <f>AJ$299*AJ387</f>
        <v>0</v>
      </c>
      <c r="AK391" s="87">
        <f>AK$299*AK387</f>
        <v>0</v>
      </c>
      <c r="AL391" s="859">
        <f>AM391+AN391</f>
        <v>0</v>
      </c>
      <c r="AM391" s="87">
        <f>AM$299*AM387</f>
        <v>0</v>
      </c>
      <c r="AN391" s="87">
        <f>AN$299*AN387</f>
        <v>0</v>
      </c>
      <c r="AO391" s="859">
        <f>AP391+AQ391</f>
        <v>0</v>
      </c>
      <c r="AP391" s="976">
        <f>AP$299*AP387</f>
        <v>0</v>
      </c>
      <c r="AQ391" s="976">
        <f>AQ$299*AQ387</f>
        <v>0</v>
      </c>
      <c r="AR391" s="859">
        <f>AS391+AT391</f>
        <v>0</v>
      </c>
      <c r="AS391" s="976">
        <f>AS$299*AS387</f>
        <v>0</v>
      </c>
      <c r="AT391" s="976">
        <f>AT$299*AT387</f>
        <v>0</v>
      </c>
      <c r="AU391" s="859">
        <f>AV391+AW391</f>
        <v>0</v>
      </c>
      <c r="AV391" s="976">
        <f>AV$299*AV387</f>
        <v>0</v>
      </c>
      <c r="AW391" s="976">
        <f>AW$299*AW387</f>
        <v>0</v>
      </c>
      <c r="AX391" s="859">
        <f>AY391+AZ391</f>
        <v>0</v>
      </c>
      <c r="AY391" s="976">
        <f>AY$299*AY387</f>
        <v>0</v>
      </c>
      <c r="AZ391" s="976">
        <f>AZ$299*AZ387</f>
        <v>0</v>
      </c>
      <c r="BA391" s="859">
        <f>BB391+BC391</f>
        <v>0</v>
      </c>
      <c r="BB391" s="87">
        <f>BB$299*BB387</f>
        <v>0</v>
      </c>
      <c r="BC391" s="87">
        <f>BC$299*BC387</f>
        <v>0</v>
      </c>
      <c r="BD391" s="859">
        <f>BE391+BF391</f>
        <v>0</v>
      </c>
      <c r="BE391" s="87">
        <f>BE$299*BE387</f>
        <v>0</v>
      </c>
      <c r="BF391" s="87">
        <f>BF$299*BF387</f>
        <v>0</v>
      </c>
      <c r="BG391" s="859">
        <f>BH391+BI391</f>
        <v>0</v>
      </c>
      <c r="BH391" s="87">
        <f>BH$299*BH387</f>
        <v>0</v>
      </c>
      <c r="BI391" s="87">
        <f>BI$299*BI387</f>
        <v>0</v>
      </c>
      <c r="BJ391" s="859">
        <f>BK391+BL391</f>
        <v>0</v>
      </c>
      <c r="BK391" s="87">
        <f>BK$299*BK387</f>
        <v>0</v>
      </c>
      <c r="BL391" s="87">
        <f>BL$299*BL387</f>
        <v>0</v>
      </c>
      <c r="BM391" s="859">
        <f>BN391+BO391</f>
        <v>0</v>
      </c>
      <c r="BN391" s="87">
        <f>BN$299*BN387</f>
        <v>0</v>
      </c>
      <c r="BO391" s="87">
        <f>BO$299*BO387</f>
        <v>0</v>
      </c>
      <c r="BP391" s="859">
        <f>BQ391+BR391</f>
        <v>0</v>
      </c>
      <c r="BQ391" s="976">
        <f>BQ$299*BQ387</f>
        <v>0</v>
      </c>
      <c r="BR391" s="976">
        <f>BR$299*BR387</f>
        <v>0</v>
      </c>
      <c r="BS391" s="859">
        <f>BT391+BU391</f>
        <v>0</v>
      </c>
      <c r="BT391" s="976">
        <f>BT$299*BT387</f>
        <v>0</v>
      </c>
      <c r="BU391" s="976">
        <f>BU$299*BU387</f>
        <v>0</v>
      </c>
      <c r="BV391" s="859">
        <f>BW391+BX391</f>
        <v>0</v>
      </c>
      <c r="BW391" s="976">
        <f>BW$299*BW387</f>
        <v>0</v>
      </c>
      <c r="BX391" s="976">
        <f>BX$299*BX387</f>
        <v>0</v>
      </c>
      <c r="BY391" s="859">
        <f>BZ391+CA391</f>
        <v>0</v>
      </c>
      <c r="BZ391" s="976">
        <f>BZ$299*BZ387</f>
        <v>0</v>
      </c>
      <c r="CA391" s="976">
        <f>CA$299*CA387</f>
        <v>0</v>
      </c>
      <c r="CB391" s="859">
        <f>CC391+CD391</f>
        <v>0</v>
      </c>
      <c r="CC391" s="976">
        <f>CC$299*CC387</f>
        <v>0</v>
      </c>
      <c r="CD391" s="976">
        <f>CD$299*CD387</f>
        <v>0</v>
      </c>
      <c r="CE391" s="859">
        <f>CF391+CG391</f>
        <v>0</v>
      </c>
      <c r="CF391" s="87">
        <f>CF$299*CF387</f>
        <v>0</v>
      </c>
      <c r="CG391" s="87">
        <f>CG$299*CG387</f>
        <v>0</v>
      </c>
      <c r="CH391" s="859">
        <f>CI391+CJ391</f>
        <v>0</v>
      </c>
      <c r="CI391" s="87">
        <f>CI$299*CI387</f>
        <v>0</v>
      </c>
      <c r="CJ391" s="87">
        <f>CJ$299*CJ387</f>
        <v>0</v>
      </c>
      <c r="CK391" s="859">
        <f>CL391+CM391</f>
        <v>0</v>
      </c>
      <c r="CL391" s="87">
        <f>CL$299*CL387</f>
        <v>0</v>
      </c>
      <c r="CM391" s="87">
        <f>CM$299*CM387</f>
        <v>0</v>
      </c>
      <c r="CN391" s="859">
        <f>CO391+CP391</f>
        <v>0</v>
      </c>
      <c r="CO391" s="87">
        <f>CO$299*CO387</f>
        <v>0</v>
      </c>
      <c r="CP391" s="87">
        <f>CP$299*CP387</f>
        <v>0</v>
      </c>
      <c r="CQ391" s="859">
        <f>CR391+CS391</f>
        <v>0</v>
      </c>
      <c r="CR391" s="87">
        <f>CR$299*CR387</f>
        <v>0</v>
      </c>
      <c r="CS391" s="87">
        <f>CS$299*CS387</f>
        <v>0</v>
      </c>
      <c r="CT391" s="73"/>
      <c r="CW391" s="1170" t="s">
        <v>870</v>
      </c>
      <c r="CX391" s="1175" t="s">
        <v>787</v>
      </c>
      <c r="CY391" s="1179" cm="1" t="str">
        <f t="array" ref="CY391:CY391">AE391</f>
        <v>0</v>
      </c>
      <c r="CZ391" s="1179" cm="1" t="str">
        <f t="array" ref="CZ391:CZ391">AF391</f>
        <v>0</v>
      </c>
      <c r="DA391" s="1176"/>
      <c r="DB391" s="1176"/>
    </row>
    <row s="1619" customFormat="1" customHeight="1" ht="16.5" hidden="1">
      <c r="A392" s="1619"/>
      <c r="B392" s="1619"/>
      <c r="C392" s="1619"/>
      <c r="D392" s="1619"/>
      <c r="E392" s="794">
        <v>17.1</v>
      </c>
      <c r="F392" s="919" cm="1" t="str">
        <f t="array" ref="F392:F392">OFFSET(G392,-1,-1)</f>
        <v>2</v>
      </c>
      <c r="G392" s="1619"/>
      <c r="H392" s="1619"/>
      <c r="I392" s="1619"/>
      <c r="J392" s="1619"/>
      <c r="K392" s="1619"/>
      <c r="L392" s="919" cm="1" t="str">
        <f t="array" ref="L392:L392">OFFSET(M392,-1,-1)</f>
        <v>false</v>
      </c>
      <c r="M392" s="1619"/>
      <c r="N392" s="1619"/>
      <c r="O392" s="1619"/>
      <c r="P392" s="1619"/>
      <c r="Q392" s="1619"/>
      <c r="R392" s="919" t="s">
        <v>725</v>
      </c>
      <c r="S392" s="156" cm="1" t="str">
        <f t="array" ref="S392:S392">OFFSET(T392,-1,-1)</f>
        <v>true</v>
      </c>
      <c r="T392" s="156">
        <f>AND(L392,AD392&lt;&gt;"39.0")</f>
        <v>0</v>
      </c>
      <c r="U392" s="816">
        <f>AND(S392,IF(ISBLANK(T392),TRUE,T392))</f>
        <v>0</v>
      </c>
      <c r="V392" s="1619"/>
      <c r="W392" s="1619"/>
      <c r="X392" s="156" t="str">
        <f>'Топливо 4.4'!$AE$388&amp;'Топливо 4.4'!$AF$388</f>
        <v>Уголь бурыйБ</v>
      </c>
      <c r="Y392" s="1619"/>
      <c r="Z392" s="1619"/>
      <c r="AA392" s="1619"/>
      <c r="AB392" s="1483"/>
      <c r="AC392" s="1619"/>
      <c r="AD392" s="157" t="s">
        <v>919</v>
      </c>
      <c r="AE392" s="971" cm="1" t="str">
        <f t="array" ref="AE392:AE392">IF(ISBLANK('Топливо 4.4'!$AE$388),"",'Топливо 4.4'!$AE$388)</f>
        <v>Уголь бурый</v>
      </c>
      <c r="AF392" s="622" cm="1" t="str">
        <f t="array" ref="AF392:AF392">IF(ISBLANK('Топливо 4.4'!$AF$388),"",'Топливо 4.4'!$AF$388)</f>
        <v>Б</v>
      </c>
      <c r="AG392" s="856" t="s">
        <v>805</v>
      </c>
      <c r="AH392" s="86">
        <f>AH$299*AH388</f>
        <v>0</v>
      </c>
      <c r="AI392" s="87">
        <f>AI$299*AI388</f>
        <v>0</v>
      </c>
      <c r="AJ392" s="87">
        <f>AJ$299*AJ388</f>
        <v>0</v>
      </c>
      <c r="AK392" s="87">
        <f>AK$299*AK388</f>
        <v>0</v>
      </c>
      <c r="AL392" s="859">
        <f>AM392+AN392</f>
        <v>0</v>
      </c>
      <c r="AM392" s="87">
        <f>AM$299*AM388</f>
        <v>0</v>
      </c>
      <c r="AN392" s="87">
        <f>AN$299*AN388</f>
        <v>0</v>
      </c>
      <c r="AO392" s="859">
        <f>AP392+AQ392</f>
        <v>0</v>
      </c>
      <c r="AP392" s="976">
        <f>AP$299*AP388</f>
        <v>0</v>
      </c>
      <c r="AQ392" s="976">
        <f>AQ$299*AQ388</f>
        <v>0</v>
      </c>
      <c r="AR392" s="859">
        <f>AS392+AT392</f>
        <v>0</v>
      </c>
      <c r="AS392" s="976">
        <f>AS$299*AS388</f>
        <v>0</v>
      </c>
      <c r="AT392" s="976">
        <f>AT$299*AT388</f>
        <v>0</v>
      </c>
      <c r="AU392" s="859">
        <f>AV392+AW392</f>
        <v>0</v>
      </c>
      <c r="AV392" s="976">
        <f>AV$299*AV388</f>
        <v>0</v>
      </c>
      <c r="AW392" s="976">
        <f>AW$299*AW388</f>
        <v>0</v>
      </c>
      <c r="AX392" s="859">
        <f>AY392+AZ392</f>
        <v>0</v>
      </c>
      <c r="AY392" s="976">
        <f>AY$299*AY388</f>
        <v>0</v>
      </c>
      <c r="AZ392" s="976">
        <f>AZ$299*AZ388</f>
        <v>0</v>
      </c>
      <c r="BA392" s="859">
        <f>BB392+BC392</f>
        <v>0</v>
      </c>
      <c r="BB392" s="87">
        <f>BB$299*BB388</f>
        <v>0</v>
      </c>
      <c r="BC392" s="87">
        <f>BC$299*BC388</f>
        <v>0</v>
      </c>
      <c r="BD392" s="859">
        <f>BE392+BF392</f>
        <v>0</v>
      </c>
      <c r="BE392" s="87">
        <f>BE$299*BE388</f>
        <v>0</v>
      </c>
      <c r="BF392" s="87">
        <f>BF$299*BF388</f>
        <v>0</v>
      </c>
      <c r="BG392" s="859">
        <f>BH392+BI392</f>
        <v>0</v>
      </c>
      <c r="BH392" s="87">
        <f>BH$299*BH388</f>
        <v>0</v>
      </c>
      <c r="BI392" s="87">
        <f>BI$299*BI388</f>
        <v>0</v>
      </c>
      <c r="BJ392" s="859">
        <f>BK392+BL392</f>
        <v>0</v>
      </c>
      <c r="BK392" s="87">
        <f>BK$299*BK388</f>
        <v>0</v>
      </c>
      <c r="BL392" s="87">
        <f>BL$299*BL388</f>
        <v>0</v>
      </c>
      <c r="BM392" s="859">
        <f>BN392+BO392</f>
        <v>0</v>
      </c>
      <c r="BN392" s="87">
        <f>BN$299*BN388</f>
        <v>0</v>
      </c>
      <c r="BO392" s="87">
        <f>BO$299*BO388</f>
        <v>0</v>
      </c>
      <c r="BP392" s="859">
        <f>BQ392+BR392</f>
        <v>0</v>
      </c>
      <c r="BQ392" s="976">
        <f>BQ$299*BQ388</f>
        <v>0</v>
      </c>
      <c r="BR392" s="976">
        <f>BR$299*BR388</f>
        <v>0</v>
      </c>
      <c r="BS392" s="859">
        <f>BT392+BU392</f>
        <v>0</v>
      </c>
      <c r="BT392" s="976">
        <f>BT$299*BT388</f>
        <v>0</v>
      </c>
      <c r="BU392" s="976">
        <f>BU$299*BU388</f>
        <v>0</v>
      </c>
      <c r="BV392" s="859">
        <f>BW392+BX392</f>
        <v>0</v>
      </c>
      <c r="BW392" s="976">
        <f>BW$299*BW388</f>
        <v>0</v>
      </c>
      <c r="BX392" s="976">
        <f>BX$299*BX388</f>
        <v>0</v>
      </c>
      <c r="BY392" s="859">
        <f>BZ392+CA392</f>
        <v>0</v>
      </c>
      <c r="BZ392" s="976">
        <f>BZ$299*BZ388</f>
        <v>0</v>
      </c>
      <c r="CA392" s="976">
        <f>CA$299*CA388</f>
        <v>0</v>
      </c>
      <c r="CB392" s="859">
        <f>CC392+CD392</f>
        <v>0</v>
      </c>
      <c r="CC392" s="976">
        <f>CC$299*CC388</f>
        <v>0</v>
      </c>
      <c r="CD392" s="976">
        <f>CD$299*CD388</f>
        <v>0</v>
      </c>
      <c r="CE392" s="859">
        <f>CF392+CG392</f>
        <v>0</v>
      </c>
      <c r="CF392" s="87">
        <f>CF$299*CF388</f>
        <v>0</v>
      </c>
      <c r="CG392" s="87">
        <f>CG$299*CG388</f>
        <v>0</v>
      </c>
      <c r="CH392" s="859">
        <f>CI392+CJ392</f>
        <v>0</v>
      </c>
      <c r="CI392" s="87">
        <f>CI$299*CI388</f>
        <v>0</v>
      </c>
      <c r="CJ392" s="87">
        <f>CJ$299*CJ388</f>
        <v>0</v>
      </c>
      <c r="CK392" s="859">
        <f>CL392+CM392</f>
        <v>0</v>
      </c>
      <c r="CL392" s="87">
        <f>CL$299*CL388</f>
        <v>0</v>
      </c>
      <c r="CM392" s="87">
        <f>CM$299*CM388</f>
        <v>0</v>
      </c>
      <c r="CN392" s="859">
        <f>CO392+CP392</f>
        <v>0</v>
      </c>
      <c r="CO392" s="87">
        <f>CO$299*CO388</f>
        <v>0</v>
      </c>
      <c r="CP392" s="87">
        <f>CP$299*CP388</f>
        <v>0</v>
      </c>
      <c r="CQ392" s="859">
        <f>CR392+CS392</f>
        <v>0</v>
      </c>
      <c r="CR392" s="87">
        <f>CR$299*CR388</f>
        <v>0</v>
      </c>
      <c r="CS392" s="87">
        <f>CS$299*CS388</f>
        <v>0</v>
      </c>
      <c r="CT392" s="73"/>
      <c r="CU392" s="1619"/>
      <c r="CV392" s="1619"/>
      <c r="CW392" s="1170" t="s">
        <v>870</v>
      </c>
      <c r="CX392" s="1175" t="s">
        <v>787</v>
      </c>
      <c r="CY392" s="1179" cm="1" t="str">
        <f t="array" ref="CY392:CY392">AE392</f>
        <v>Уголь бурый</v>
      </c>
      <c r="CZ392" s="1179" cm="1" t="str">
        <f t="array" ref="CZ392:CZ392">AF392</f>
        <v>Б</v>
      </c>
      <c r="DA392" s="1176"/>
      <c r="DB392" s="1176"/>
    </row>
    <row s="1619" customFormat="1" customHeight="1" ht="15" hidden="1">
      <c r="A393" s="1440"/>
      <c r="B393" s="924"/>
      <c r="C393" s="1440"/>
      <c r="D393" s="1440"/>
      <c r="E393" s="794">
        <v>0</v>
      </c>
      <c r="F393" s="919" cm="1" t="str">
        <f t="array" ref="F393:F393">OFFSET(G393,-1,-1)</f>
        <v>2</v>
      </c>
      <c r="G393" s="962"/>
      <c r="H393" s="962"/>
      <c r="I393" s="962"/>
      <c r="J393" s="962"/>
      <c r="K393" s="962"/>
      <c r="L393" s="919" cm="1" t="str">
        <f t="array" ref="L393:L393">OFFSET(M393,-1,-1)</f>
        <v>false</v>
      </c>
      <c r="M393" s="962"/>
      <c r="N393" s="962"/>
      <c r="O393" s="962"/>
      <c r="P393" s="962"/>
      <c r="Q393" s="962"/>
      <c r="R393" s="1440"/>
      <c r="S393" s="156" cm="1" t="str">
        <f t="array" ref="S393:S393">OFFSET(T393,-1,-1)</f>
        <v>true</v>
      </c>
      <c r="T393" s="1440"/>
      <c r="U393" s="816">
        <f>AND(S393,IF(ISBLANK(T393),TRUE,T393))</f>
        <v>1</v>
      </c>
      <c r="V393" s="1440"/>
      <c r="W393" s="1440"/>
      <c r="X393" s="970" t="str">
        <f>"{                  
         funcDyn: 'msg1',
         blok: 'blok_2',
         wsCross: 'Топливо 4.4',
         linkFormula: 'AE-AE#AF-AF',
         levelDyn: "&amp;Y275&amp;"
}"</f>
        <v>{                  
         funcDyn: 'msg1',
         blok: 'blok_2',
         wsCross: 'Топливо 4.4',
         linkFormula: 'AE-AE#AF-AF',
         levelDyn: 2
}</v>
      </c>
      <c r="Y393" s="1440"/>
      <c r="Z393" s="1440"/>
      <c r="AA393" s="817"/>
      <c r="AB393" s="1484"/>
      <c r="AC393" s="1619"/>
      <c r="AD393" s="973"/>
      <c r="AE393" s="972" t="s">
        <v>235</v>
      </c>
      <c r="AF393" s="871"/>
      <c r="AG393" s="856"/>
      <c r="AH393" s="858"/>
      <c r="AI393" s="860"/>
      <c r="AJ393" s="860"/>
      <c r="AK393" s="860"/>
      <c r="AL393" s="860"/>
      <c r="AM393" s="860"/>
      <c r="AN393" s="860"/>
      <c r="AO393" s="860"/>
      <c r="AP393" s="860"/>
      <c r="AQ393" s="860"/>
      <c r="AR393" s="860"/>
      <c r="AS393" s="860"/>
      <c r="AT393" s="860"/>
      <c r="AU393" s="860"/>
      <c r="AV393" s="860"/>
      <c r="AW393" s="860"/>
      <c r="AX393" s="860"/>
      <c r="AY393" s="860"/>
      <c r="AZ393" s="860"/>
      <c r="BA393" s="860"/>
      <c r="BB393" s="860"/>
      <c r="BC393" s="860"/>
      <c r="BD393" s="860"/>
      <c r="BE393" s="860"/>
      <c r="BF393" s="860"/>
      <c r="BG393" s="860"/>
      <c r="BH393" s="860"/>
      <c r="BI393" s="860"/>
      <c r="BJ393" s="860"/>
      <c r="BK393" s="860"/>
      <c r="BL393" s="860"/>
      <c r="BM393" s="860"/>
      <c r="BN393" s="860"/>
      <c r="BO393" s="860"/>
      <c r="BP393" s="860"/>
      <c r="BQ393" s="860"/>
      <c r="BR393" s="860"/>
      <c r="BS393" s="860"/>
      <c r="BT393" s="860"/>
      <c r="BU393" s="860"/>
      <c r="BV393" s="860"/>
      <c r="BW393" s="860"/>
      <c r="BX393" s="860"/>
      <c r="BY393" s="860"/>
      <c r="BZ393" s="860"/>
      <c r="CA393" s="860"/>
      <c r="CB393" s="860"/>
      <c r="CC393" s="860"/>
      <c r="CD393" s="860"/>
      <c r="CE393" s="860"/>
      <c r="CF393" s="860"/>
      <c r="CG393" s="860"/>
      <c r="CH393" s="860"/>
      <c r="CI393" s="860"/>
      <c r="CJ393" s="860"/>
      <c r="CK393" s="860"/>
      <c r="CL393" s="860"/>
      <c r="CM393" s="860"/>
      <c r="CN393" s="860"/>
      <c r="CO393" s="860"/>
      <c r="CP393" s="860"/>
      <c r="CQ393" s="860"/>
      <c r="CR393" s="860"/>
      <c r="CS393" s="860"/>
      <c r="CT393" s="91"/>
      <c r="CU393" s="1619"/>
      <c r="CV393" s="1619"/>
      <c r="CW393" s="1170" t="str">
        <f>IF(AND(ISNUMBER(VALUE(TRIM(SUBSTITUTE(AD393,".","")))),TRIM(SUBSTITUTE(AD393,".",""))&lt;&gt;""),"P"&amp;SUBSTITUTE(AD393,".",""),"")</f>
        <v/>
      </c>
      <c r="CX393" s="1175"/>
      <c r="CY393" s="1175"/>
      <c r="CZ393" s="1175"/>
      <c r="DA393" s="1176"/>
      <c r="DB393" s="1176"/>
    </row>
    <row s="1619" customFormat="1" customHeight="1" ht="16.5">
      <c r="A394" s="1440"/>
      <c r="B394" s="924"/>
      <c r="C394" s="1440"/>
      <c r="D394" s="1440"/>
      <c r="E394" s="794">
        <v>17.1</v>
      </c>
      <c r="F394" s="919" cm="1" t="str">
        <f t="array" ref="F394:F394">OFFSET(G394,-1,-1)</f>
        <v>2</v>
      </c>
      <c r="G394" s="962"/>
      <c r="H394" s="962"/>
      <c r="I394" s="962"/>
      <c r="J394" s="962"/>
      <c r="K394" s="962"/>
      <c r="L394" s="919" cm="1" t="str">
        <f t="array" ref="L394:L394">OFFSET(M394,-1,-1)</f>
        <v>false</v>
      </c>
      <c r="M394" s="962"/>
      <c r="N394" s="962"/>
      <c r="O394" s="962"/>
      <c r="P394" s="962"/>
      <c r="Q394" s="962"/>
      <c r="R394" s="1440"/>
      <c r="S394" s="156" cm="1" t="str">
        <f t="array" ref="S394:S394">OFFSET(T394,-1,-1)</f>
        <v>true</v>
      </c>
      <c r="T394" s="1440"/>
      <c r="U394" s="816">
        <f>AND(S394,IF(ISBLANK(T394),TRUE,T394))</f>
        <v>1</v>
      </c>
      <c r="V394" s="1440"/>
      <c r="W394" s="1440"/>
      <c r="X394" s="1440"/>
      <c r="Y394" s="1440"/>
      <c r="Z394" s="1440"/>
      <c r="AA394" s="817"/>
      <c r="AB394" s="1523" t="s">
        <v>872</v>
      </c>
      <c r="AC394" s="1619"/>
      <c r="AD394" s="170" t="s">
        <v>873</v>
      </c>
      <c r="AE394" s="1499" t="s">
        <v>874</v>
      </c>
      <c r="AF394" s="160"/>
      <c r="AG394" s="856" t="s">
        <v>805</v>
      </c>
      <c r="AH394" s="857">
        <f>SUM(AH398:AH400)</f>
        <v>0</v>
      </c>
      <c r="AI394" s="857">
        <f>SUM(AI398:AI400)</f>
        <v>0</v>
      </c>
      <c r="AJ394" s="857">
        <f>SUM(AJ398:AJ400)</f>
        <v>0</v>
      </c>
      <c r="AK394" s="857">
        <f>SUM(AK398:AK400)</f>
        <v>0</v>
      </c>
      <c r="AL394" s="857">
        <f>SUM(AL398:AL400)</f>
        <v>4485.9999935</v>
      </c>
      <c r="AM394" s="857">
        <f>SUM(AM398:AM400)</f>
        <v>3353.0394112</v>
      </c>
      <c r="AN394" s="857">
        <f>SUM(AN398:AN400)</f>
        <v>1132.9605823</v>
      </c>
      <c r="AO394" s="857">
        <f>SUM(AO398:AO400)</f>
        <v>4735.998484</v>
      </c>
      <c r="AP394" s="857">
        <f>SUM(AP398:AP400)</f>
        <v>3539.8995968</v>
      </c>
      <c r="AQ394" s="857">
        <f>SUM(AQ398:AQ400)</f>
        <v>1196.0988872</v>
      </c>
      <c r="AR394" s="857">
        <f>SUM(AR398:AR400)</f>
        <v>4914.9996015</v>
      </c>
      <c r="AS394" s="857">
        <f>SUM(AS398:AS400)</f>
        <v>3673.6931328</v>
      </c>
      <c r="AT394" s="857">
        <f>SUM(AT398:AT400)</f>
        <v>1241.3064687</v>
      </c>
      <c r="AU394" s="857">
        <f>SUM(AU398:AU400)</f>
        <v>5100.9992955</v>
      </c>
      <c r="AV394" s="857">
        <f>SUM(AV398:AV400)</f>
        <v>3812.7177216</v>
      </c>
      <c r="AW394" s="857">
        <f>SUM(AW398:AW400)</f>
        <v>1288.2815739</v>
      </c>
      <c r="AX394" s="857">
        <f>SUM(AX398:AX400)</f>
        <v>5295.0043105</v>
      </c>
      <c r="AY394" s="857">
        <f>SUM(AY398:AY400)</f>
        <v>3957.7258496</v>
      </c>
      <c r="AZ394" s="857">
        <f>SUM(AZ398:AZ400)</f>
        <v>1337.2784609</v>
      </c>
      <c r="BA394" s="857">
        <f>SUM(BA398:BA400)</f>
        <v>0</v>
      </c>
      <c r="BB394" s="857">
        <f>SUM(BB398:BB400)</f>
        <v>0</v>
      </c>
      <c r="BC394" s="857">
        <f>SUM(BC398:BC400)</f>
        <v>0</v>
      </c>
      <c r="BD394" s="857">
        <f>SUM(BD398:BD400)</f>
        <v>0</v>
      </c>
      <c r="BE394" s="857">
        <f>SUM(BE398:BE400)</f>
        <v>0</v>
      </c>
      <c r="BF394" s="857">
        <f>SUM(BF398:BF400)</f>
        <v>0</v>
      </c>
      <c r="BG394" s="857">
        <f>SUM(BG398:BG400)</f>
        <v>0</v>
      </c>
      <c r="BH394" s="857">
        <f>SUM(BH398:BH400)</f>
        <v>0</v>
      </c>
      <c r="BI394" s="857">
        <f>SUM(BI398:BI400)</f>
        <v>0</v>
      </c>
      <c r="BJ394" s="857">
        <f>SUM(BJ398:BJ400)</f>
        <v>0</v>
      </c>
      <c r="BK394" s="857">
        <f>SUM(BK398:BK400)</f>
        <v>0</v>
      </c>
      <c r="BL394" s="857">
        <f>SUM(BL398:BL400)</f>
        <v>0</v>
      </c>
      <c r="BM394" s="857">
        <f>SUM(BM398:BM400)</f>
        <v>0</v>
      </c>
      <c r="BN394" s="857">
        <f>SUM(BN398:BN400)</f>
        <v>0</v>
      </c>
      <c r="BO394" s="857">
        <f>SUM(BO398:BO400)</f>
        <v>0</v>
      </c>
      <c r="BP394" s="857">
        <f>SUM(BP398:BP400)</f>
        <v>3879.0440814893</v>
      </c>
      <c r="BQ394" s="857">
        <f>SUM(BQ398:BQ400)</f>
        <v>2899.37309448543</v>
      </c>
      <c r="BR394" s="857">
        <f>SUM(BR398:BR400)</f>
        <v>979.670987003866</v>
      </c>
      <c r="BS394" s="857">
        <f>SUM(BS398:BS400)</f>
        <v>4049.72384966631</v>
      </c>
      <c r="BT394" s="857">
        <f>SUM(BT398:BT400)</f>
        <v>3026.94687741482</v>
      </c>
      <c r="BU394" s="857">
        <f>SUM(BU398:BU400)</f>
        <v>1022.77697225149</v>
      </c>
      <c r="BV394" s="857">
        <f>SUM(BV398:BV400)</f>
        <v>4159.06399719003</v>
      </c>
      <c r="BW394" s="857">
        <f>SUM(BW398:BW400)</f>
        <v>3108.6726519143</v>
      </c>
      <c r="BX394" s="857">
        <f>SUM(BX398:BX400)</f>
        <v>1050.39134527573</v>
      </c>
      <c r="BY394" s="857">
        <f>SUM(BY398:BY400)</f>
        <v>4271.35876361082</v>
      </c>
      <c r="BZ394" s="857">
        <f>SUM(BZ398:BZ400)</f>
        <v>3192.60684229013</v>
      </c>
      <c r="CA394" s="857">
        <f>SUM(CA398:CA400)</f>
        <v>1078.75192132069</v>
      </c>
      <c r="CB394" s="857">
        <f>SUM(CB398:CB400)</f>
        <v>4386.68514225501</v>
      </c>
      <c r="CC394" s="857">
        <f>SUM(CC398:CC400)</f>
        <v>3278.80699683878</v>
      </c>
      <c r="CD394" s="857">
        <f>SUM(CD398:CD400)</f>
        <v>1107.87814541623</v>
      </c>
      <c r="CE394" s="857">
        <f>SUM(CE398:CE400)</f>
        <v>0</v>
      </c>
      <c r="CF394" s="857">
        <f>SUM(CF398:CF400)</f>
        <v>0</v>
      </c>
      <c r="CG394" s="857">
        <f>SUM(CG398:CG400)</f>
        <v>0</v>
      </c>
      <c r="CH394" s="857">
        <f>SUM(CH398:CH400)</f>
        <v>0</v>
      </c>
      <c r="CI394" s="857">
        <f>SUM(CI398:CI400)</f>
        <v>0</v>
      </c>
      <c r="CJ394" s="857">
        <f>SUM(CJ398:CJ400)</f>
        <v>0</v>
      </c>
      <c r="CK394" s="857">
        <f>SUM(CK398:CK400)</f>
        <v>0</v>
      </c>
      <c r="CL394" s="857">
        <f>SUM(CL398:CL400)</f>
        <v>0</v>
      </c>
      <c r="CM394" s="857">
        <f>SUM(CM398:CM400)</f>
        <v>0</v>
      </c>
      <c r="CN394" s="857">
        <f>SUM(CN398:CN400)</f>
        <v>0</v>
      </c>
      <c r="CO394" s="857">
        <f>SUM(CO398:CO400)</f>
        <v>0</v>
      </c>
      <c r="CP394" s="857">
        <f>SUM(CP398:CP400)</f>
        <v>0</v>
      </c>
      <c r="CQ394" s="857">
        <f>SUM(CQ398:CQ400)</f>
        <v>0</v>
      </c>
      <c r="CR394" s="857">
        <f>SUM(CR398:CR400)</f>
        <v>0</v>
      </c>
      <c r="CS394" s="857">
        <f>SUM(CS398:CS400)</f>
        <v>0</v>
      </c>
      <c r="CT394" s="1730"/>
      <c r="CU394" s="1619"/>
      <c r="CV394" s="1619"/>
      <c r="CW394" s="1170" t="s">
        <v>875</v>
      </c>
      <c r="CX394" s="1175"/>
      <c r="CY394" s="1175"/>
      <c r="CZ394" s="1175"/>
      <c r="DA394" s="1176"/>
      <c r="DB394" s="1176"/>
    </row>
    <row s="1619" customFormat="1" customHeight="1" ht="16.5" hidden="1">
      <c r="A395" s="1440"/>
      <c r="B395" s="924"/>
      <c r="C395" s="1440"/>
      <c r="D395" s="1440"/>
      <c r="E395" s="794">
        <v>17.1</v>
      </c>
      <c r="F395" s="919" cm="1" t="str">
        <f t="array" ref="F395:F395">OFFSET(G395,-1,-1)</f>
        <v>2</v>
      </c>
      <c r="G395" s="736" t="str">
        <f>IF(J275="вода+пар","топливо","")</f>
        <v/>
      </c>
      <c r="H395" s="962"/>
      <c r="I395" s="962"/>
      <c r="J395" s="962"/>
      <c r="K395" s="962"/>
      <c r="L395" s="919" cm="1" t="str">
        <f t="array" ref="L395:L395">OFFSET(M395,-1,-1)</f>
        <v>false</v>
      </c>
      <c r="M395" s="962"/>
      <c r="N395" s="962"/>
      <c r="O395" s="962"/>
      <c r="P395" s="962"/>
      <c r="Q395" s="962"/>
      <c r="R395" s="919" t="s">
        <v>725</v>
      </c>
      <c r="S395" s="156" cm="1" t="str">
        <f t="array" ref="S395:S395">OFFSET(T395,-1,-1)</f>
        <v>true</v>
      </c>
      <c r="T395" s="156" cm="1" t="str">
        <f t="array" ref="T395:T395">L395</f>
        <v>false</v>
      </c>
      <c r="U395" s="816">
        <f>AND(S395,IF(ISBLANK(T395),TRUE,T395))</f>
        <v>0</v>
      </c>
      <c r="V395" s="1440"/>
      <c r="W395" s="1440"/>
      <c r="X395" s="1440"/>
      <c r="Y395" s="1440"/>
      <c r="Z395" s="1440"/>
      <c r="AA395" s="817"/>
      <c r="AB395" s="1524"/>
      <c r="AC395" s="1619"/>
      <c r="AD395" s="157" t="str">
        <f>AD394&amp;".0"</f>
        <v>40.0</v>
      </c>
      <c r="AE395" s="1501" t="s">
        <v>736</v>
      </c>
      <c r="AF395" s="1502"/>
      <c r="AG395" s="856" t="s">
        <v>805</v>
      </c>
      <c r="AH395" s="86">
        <f>AH$299*AH394</f>
        <v>0</v>
      </c>
      <c r="AI395" s="87">
        <f>AI$299*AI394</f>
        <v>0</v>
      </c>
      <c r="AJ395" s="87">
        <f>AJ$299*AJ394</f>
        <v>0</v>
      </c>
      <c r="AK395" s="87">
        <f>AK$299*AK394</f>
        <v>0</v>
      </c>
      <c r="AL395" s="859">
        <f>AM395+AN395</f>
        <v>4485.9999935</v>
      </c>
      <c r="AM395" s="87">
        <f>AM$299*AM394</f>
        <v>3353.0394112</v>
      </c>
      <c r="AN395" s="87">
        <f>AN$299*AN394</f>
        <v>1132.9605823</v>
      </c>
      <c r="AO395" s="859">
        <f>AP395+AQ395</f>
        <v>4735.998484</v>
      </c>
      <c r="AP395" s="976">
        <f>AP$299*AP394</f>
        <v>3539.8995968</v>
      </c>
      <c r="AQ395" s="976">
        <f>AQ$299*AQ394</f>
        <v>1196.0988872</v>
      </c>
      <c r="AR395" s="859">
        <f>AS395+AT395</f>
        <v>4914.9996015</v>
      </c>
      <c r="AS395" s="976">
        <f>AS$299*AS394</f>
        <v>3673.6931328</v>
      </c>
      <c r="AT395" s="976">
        <f>AT$299*AT394</f>
        <v>1241.3064687</v>
      </c>
      <c r="AU395" s="859">
        <f>AV395+AW395</f>
        <v>5100.9992955</v>
      </c>
      <c r="AV395" s="976">
        <f>AV$299*AV394</f>
        <v>3812.7177216</v>
      </c>
      <c r="AW395" s="976">
        <f>AW$299*AW394</f>
        <v>1288.2815739</v>
      </c>
      <c r="AX395" s="859">
        <f>AY395+AZ395</f>
        <v>5295.0043105</v>
      </c>
      <c r="AY395" s="976">
        <f>AY$299*AY394</f>
        <v>3957.7258496</v>
      </c>
      <c r="AZ395" s="976">
        <f>AZ$299*AZ394</f>
        <v>1337.2784609</v>
      </c>
      <c r="BA395" s="859">
        <f>BB395+BC395</f>
        <v>0</v>
      </c>
      <c r="BB395" s="87">
        <f>BB$299*BB394</f>
        <v>0</v>
      </c>
      <c r="BC395" s="87">
        <f>BC$299*BC394</f>
        <v>0</v>
      </c>
      <c r="BD395" s="859">
        <f>BE395+BF395</f>
        <v>0</v>
      </c>
      <c r="BE395" s="87">
        <f>BE$299*BE394</f>
        <v>0</v>
      </c>
      <c r="BF395" s="87">
        <f>BF$299*BF394</f>
        <v>0</v>
      </c>
      <c r="BG395" s="859">
        <f>BH395+BI395</f>
        <v>0</v>
      </c>
      <c r="BH395" s="87">
        <f>BH$299*BH394</f>
        <v>0</v>
      </c>
      <c r="BI395" s="87">
        <f>BI$299*BI394</f>
        <v>0</v>
      </c>
      <c r="BJ395" s="859">
        <f>BK395+BL395</f>
        <v>0</v>
      </c>
      <c r="BK395" s="87">
        <f>BK$299*BK394</f>
        <v>0</v>
      </c>
      <c r="BL395" s="87">
        <f>BL$299*BL394</f>
        <v>0</v>
      </c>
      <c r="BM395" s="859">
        <f>BN395+BO395</f>
        <v>0</v>
      </c>
      <c r="BN395" s="87">
        <f>BN$299*BN394</f>
        <v>0</v>
      </c>
      <c r="BO395" s="87">
        <f>BO$299*BO394</f>
        <v>0</v>
      </c>
      <c r="BP395" s="859">
        <f>BQ395+BR395</f>
        <v>3879.0440814893</v>
      </c>
      <c r="BQ395" s="976">
        <f>BQ$299*BQ394</f>
        <v>2899.37309448543</v>
      </c>
      <c r="BR395" s="976">
        <f>BR$299*BR394</f>
        <v>979.670987003866</v>
      </c>
      <c r="BS395" s="859">
        <f>BT395+BU395</f>
        <v>4049.72384966631</v>
      </c>
      <c r="BT395" s="976">
        <f>BT$299*BT394</f>
        <v>3026.94687741482</v>
      </c>
      <c r="BU395" s="976">
        <f>BU$299*BU394</f>
        <v>1022.77697225149</v>
      </c>
      <c r="BV395" s="859">
        <f>BW395+BX395</f>
        <v>4159.06399719003</v>
      </c>
      <c r="BW395" s="976">
        <f>BW$299*BW394</f>
        <v>3108.6726519143</v>
      </c>
      <c r="BX395" s="976">
        <f>BX$299*BX394</f>
        <v>1050.39134527573</v>
      </c>
      <c r="BY395" s="859">
        <f>BZ395+CA395</f>
        <v>4271.35876361082</v>
      </c>
      <c r="BZ395" s="976">
        <f>BZ$299*BZ394</f>
        <v>3192.60684229013</v>
      </c>
      <c r="CA395" s="976">
        <f>CA$299*CA394</f>
        <v>1078.75192132069</v>
      </c>
      <c r="CB395" s="859">
        <f>CC395+CD395</f>
        <v>4386.68514225501</v>
      </c>
      <c r="CC395" s="976">
        <f>CC$299*CC394</f>
        <v>3278.80699683878</v>
      </c>
      <c r="CD395" s="976">
        <f>CD$299*CD394</f>
        <v>1107.87814541623</v>
      </c>
      <c r="CE395" s="859">
        <f>CF395+CG395</f>
        <v>0</v>
      </c>
      <c r="CF395" s="87">
        <f>CF$299*CF394</f>
        <v>0</v>
      </c>
      <c r="CG395" s="87">
        <f>CG$299*CG394</f>
        <v>0</v>
      </c>
      <c r="CH395" s="859">
        <f>CI395+CJ395</f>
        <v>0</v>
      </c>
      <c r="CI395" s="87">
        <f>CI$299*CI394</f>
        <v>0</v>
      </c>
      <c r="CJ395" s="87">
        <f>CJ$299*CJ394</f>
        <v>0</v>
      </c>
      <c r="CK395" s="859">
        <f>CL395+CM395</f>
        <v>0</v>
      </c>
      <c r="CL395" s="87">
        <f>CL$299*CL394</f>
        <v>0</v>
      </c>
      <c r="CM395" s="87">
        <f>CM$299*CM394</f>
        <v>0</v>
      </c>
      <c r="CN395" s="859">
        <f>CO395+CP395</f>
        <v>0</v>
      </c>
      <c r="CO395" s="87">
        <f>CO$299*CO394</f>
        <v>0</v>
      </c>
      <c r="CP395" s="87">
        <f>CP$299*CP394</f>
        <v>0</v>
      </c>
      <c r="CQ395" s="859">
        <f>CR395+CS395</f>
        <v>0</v>
      </c>
      <c r="CR395" s="87">
        <f>CR$299*CR394</f>
        <v>0</v>
      </c>
      <c r="CS395" s="87">
        <f>CS$299*CS394</f>
        <v>0</v>
      </c>
      <c r="CT395" s="73"/>
      <c r="CU395" s="1619"/>
      <c r="CV395" s="1619"/>
      <c r="CW395" s="1170" t="s">
        <v>876</v>
      </c>
      <c r="CX395" s="1175"/>
      <c r="CY395" s="1175"/>
      <c r="CZ395" s="1175"/>
      <c r="DA395" s="1176"/>
      <c r="DB395" s="1176"/>
    </row>
    <row s="1619" customFormat="1" customHeight="1" ht="16.5">
      <c r="A396" s="1440"/>
      <c r="B396" s="924"/>
      <c r="C396" s="1440"/>
      <c r="D396" s="1440"/>
      <c r="E396" s="794">
        <v>17.1</v>
      </c>
      <c r="F396" s="919" cm="1" t="str">
        <f t="array" ref="F396:F396">OFFSET(G396,-1,-1)</f>
        <v>2</v>
      </c>
      <c r="G396" s="736" t="str">
        <f>IF(J275="вода","топливо","")</f>
        <v>топливо</v>
      </c>
      <c r="H396" s="962"/>
      <c r="I396" s="962"/>
      <c r="J396" s="962"/>
      <c r="K396" s="962"/>
      <c r="L396" s="919" cm="1" t="str">
        <f t="array" ref="L396:L396">OFFSET(M396,-1,-1)</f>
        <v>false</v>
      </c>
      <c r="M396" s="962"/>
      <c r="N396" s="962"/>
      <c r="O396" s="962"/>
      <c r="P396" s="962"/>
      <c r="Q396" s="962"/>
      <c r="R396" s="1440"/>
      <c r="S396" s="156" cm="1" t="str">
        <f t="array" ref="S396:S396">OFFSET(T396,-1,-1)</f>
        <v>true</v>
      </c>
      <c r="T396" s="1440"/>
      <c r="U396" s="816">
        <f>AND(S396,IF(ISBLANK(T396),TRUE,T396))</f>
        <v>1</v>
      </c>
      <c r="V396" s="1440"/>
      <c r="W396" s="1440"/>
      <c r="X396" s="1440"/>
      <c r="Y396" s="1440"/>
      <c r="Z396" s="1440"/>
      <c r="AA396" s="817"/>
      <c r="AB396" s="1524"/>
      <c r="AC396" s="1619"/>
      <c r="AD396" s="974" t="s">
        <v>877</v>
      </c>
      <c r="AE396" s="1503" t="s">
        <v>595</v>
      </c>
      <c r="AF396" s="1504"/>
      <c r="AG396" s="1010" t="s">
        <v>805</v>
      </c>
      <c r="AH396" s="861">
        <f>AH395-AH397</f>
        <v>0</v>
      </c>
      <c r="AI396" s="861">
        <f>AI395-AI397</f>
        <v>0</v>
      </c>
      <c r="AJ396" s="861">
        <f>AJ395-AJ397</f>
        <v>0</v>
      </c>
      <c r="AK396" s="861">
        <f>AK395-AK397</f>
        <v>0</v>
      </c>
      <c r="AL396" s="861">
        <f>AL395-AL397</f>
        <v>4485.9999935</v>
      </c>
      <c r="AM396" s="861">
        <f>AM395-AM397</f>
        <v>3353.0394112</v>
      </c>
      <c r="AN396" s="861">
        <f>AN395-AN397</f>
        <v>1132.9605823</v>
      </c>
      <c r="AO396" s="861">
        <f>AO395-AO397</f>
        <v>4735.998484</v>
      </c>
      <c r="AP396" s="861">
        <f>AP395-AP397</f>
        <v>3539.8995968</v>
      </c>
      <c r="AQ396" s="861">
        <f>AQ395-AQ397</f>
        <v>1196.0988872</v>
      </c>
      <c r="AR396" s="861">
        <f>AR395-AR397</f>
        <v>4914.9996015</v>
      </c>
      <c r="AS396" s="861">
        <f>AS395-AS397</f>
        <v>3673.6931328</v>
      </c>
      <c r="AT396" s="861">
        <f>AT395-AT397</f>
        <v>1241.3064687</v>
      </c>
      <c r="AU396" s="861">
        <f>AU395-AU397</f>
        <v>5100.9992955</v>
      </c>
      <c r="AV396" s="861">
        <f>AV395-AV397</f>
        <v>3812.7177216</v>
      </c>
      <c r="AW396" s="861">
        <f>AW395-AW397</f>
        <v>1288.2815739</v>
      </c>
      <c r="AX396" s="861">
        <f>AX395-AX397</f>
        <v>5295.0043105</v>
      </c>
      <c r="AY396" s="861">
        <f>AY395-AY397</f>
        <v>3957.7258496</v>
      </c>
      <c r="AZ396" s="861">
        <f>AZ395-AZ397</f>
        <v>1337.2784609</v>
      </c>
      <c r="BA396" s="861">
        <f>BA395-BA397</f>
        <v>0</v>
      </c>
      <c r="BB396" s="861">
        <f>BB395-BB397</f>
        <v>0</v>
      </c>
      <c r="BC396" s="861">
        <f>BC395-BC397</f>
        <v>0</v>
      </c>
      <c r="BD396" s="861">
        <f>BD395-BD397</f>
        <v>0</v>
      </c>
      <c r="BE396" s="861">
        <f>BE395-BE397</f>
        <v>0</v>
      </c>
      <c r="BF396" s="861">
        <f>BF395-BF397</f>
        <v>0</v>
      </c>
      <c r="BG396" s="861">
        <f>BG395-BG397</f>
        <v>0</v>
      </c>
      <c r="BH396" s="861">
        <f>BH395-BH397</f>
        <v>0</v>
      </c>
      <c r="BI396" s="861">
        <f>BI395-BI397</f>
        <v>0</v>
      </c>
      <c r="BJ396" s="861">
        <f>BJ395-BJ397</f>
        <v>0</v>
      </c>
      <c r="BK396" s="861">
        <f>BK395-BK397</f>
        <v>0</v>
      </c>
      <c r="BL396" s="861">
        <f>BL395-BL397</f>
        <v>0</v>
      </c>
      <c r="BM396" s="861">
        <f>BM395-BM397</f>
        <v>0</v>
      </c>
      <c r="BN396" s="861">
        <f>BN395-BN397</f>
        <v>0</v>
      </c>
      <c r="BO396" s="861">
        <f>BO395-BO397</f>
        <v>0</v>
      </c>
      <c r="BP396" s="861">
        <f>BP395-BP397</f>
        <v>3879.0440814893</v>
      </c>
      <c r="BQ396" s="861">
        <f>BQ395-BQ397</f>
        <v>2899.37309448543</v>
      </c>
      <c r="BR396" s="861">
        <f>BR395-BR397</f>
        <v>979.670987003866</v>
      </c>
      <c r="BS396" s="861">
        <f>BS395-BS397</f>
        <v>4049.72384966631</v>
      </c>
      <c r="BT396" s="861">
        <f>BT395-BT397</f>
        <v>3026.94687741482</v>
      </c>
      <c r="BU396" s="861">
        <f>BU395-BU397</f>
        <v>1022.77697225149</v>
      </c>
      <c r="BV396" s="861">
        <f>BV395-BV397</f>
        <v>4159.06399719003</v>
      </c>
      <c r="BW396" s="861">
        <f>BW395-BW397</f>
        <v>3108.6726519143</v>
      </c>
      <c r="BX396" s="861">
        <f>BX395-BX397</f>
        <v>1050.39134527573</v>
      </c>
      <c r="BY396" s="861">
        <f>BY395-BY397</f>
        <v>4271.35876361082</v>
      </c>
      <c r="BZ396" s="861">
        <f>BZ395-BZ397</f>
        <v>3192.60684229013</v>
      </c>
      <c r="CA396" s="861">
        <f>CA395-CA397</f>
        <v>1078.75192132069</v>
      </c>
      <c r="CB396" s="861">
        <f>CB395-CB397</f>
        <v>4386.68514225501</v>
      </c>
      <c r="CC396" s="861">
        <f>CC395-CC397</f>
        <v>3278.80699683878</v>
      </c>
      <c r="CD396" s="861">
        <f>CD395-CD397</f>
        <v>1107.87814541623</v>
      </c>
      <c r="CE396" s="861">
        <f>CE395-CE397</f>
        <v>0</v>
      </c>
      <c r="CF396" s="861">
        <f>CF395-CF397</f>
        <v>0</v>
      </c>
      <c r="CG396" s="861">
        <f>CG395-CG397</f>
        <v>0</v>
      </c>
      <c r="CH396" s="861">
        <f>CH395-CH397</f>
        <v>0</v>
      </c>
      <c r="CI396" s="861">
        <f>CI395-CI397</f>
        <v>0</v>
      </c>
      <c r="CJ396" s="861">
        <f>CJ395-CJ397</f>
        <v>0</v>
      </c>
      <c r="CK396" s="861">
        <f>CK395-CK397</f>
        <v>0</v>
      </c>
      <c r="CL396" s="861">
        <f>CL395-CL397</f>
        <v>0</v>
      </c>
      <c r="CM396" s="861">
        <f>CM395-CM397</f>
        <v>0</v>
      </c>
      <c r="CN396" s="861">
        <f>CN395-CN397</f>
        <v>0</v>
      </c>
      <c r="CO396" s="861">
        <f>CO395-CO397</f>
        <v>0</v>
      </c>
      <c r="CP396" s="861">
        <f>CP395-CP397</f>
        <v>0</v>
      </c>
      <c r="CQ396" s="861">
        <f>CQ395-CQ397</f>
        <v>0</v>
      </c>
      <c r="CR396" s="861">
        <f>CR395-CR397</f>
        <v>0</v>
      </c>
      <c r="CS396" s="861">
        <f>CS395-CS397</f>
        <v>0</v>
      </c>
      <c r="CT396" s="1730"/>
      <c r="CU396" s="1619"/>
      <c r="CV396" s="1619"/>
      <c r="CW396" s="1170" t="s">
        <v>878</v>
      </c>
      <c r="CX396" s="1175"/>
      <c r="CY396" s="1175"/>
      <c r="CZ396" s="1175"/>
      <c r="DA396" s="1176"/>
      <c r="DB396" s="1176"/>
    </row>
    <row s="1619" customFormat="1" customHeight="1" ht="16.5">
      <c r="A397" s="1440"/>
      <c r="B397" s="924"/>
      <c r="C397" s="1440"/>
      <c r="D397" s="1440"/>
      <c r="E397" s="794">
        <v>17.1</v>
      </c>
      <c r="F397" s="919" cm="1" t="str">
        <f t="array" ref="F397:F397">OFFSET(G397,-1,-1)</f>
        <v>2</v>
      </c>
      <c r="G397" s="736" t="str">
        <f>IF(J275="пар","топливо","")</f>
        <v/>
      </c>
      <c r="H397" s="962"/>
      <c r="I397" s="962"/>
      <c r="J397" s="962"/>
      <c r="K397" s="962"/>
      <c r="L397" s="919" cm="1" t="str">
        <f t="array" ref="L397:L397">OFFSET(M397,-1,-1)</f>
        <v>false</v>
      </c>
      <c r="M397" s="962"/>
      <c r="N397" s="962"/>
      <c r="O397" s="962"/>
      <c r="P397" s="962"/>
      <c r="Q397" s="962"/>
      <c r="R397" s="1440"/>
      <c r="S397" s="156" cm="1" t="str">
        <f t="array" ref="S397:S397">OFFSET(T397,-1,-1)</f>
        <v>true</v>
      </c>
      <c r="T397" s="1440"/>
      <c r="U397" s="816">
        <f>AND(S397,IF(ISBLANK(T397),TRUE,T397))</f>
        <v>1</v>
      </c>
      <c r="V397" s="1440"/>
      <c r="W397" s="1440"/>
      <c r="X397" s="1440"/>
      <c r="Y397" s="1440"/>
      <c r="Z397" s="1440"/>
      <c r="AA397" s="817"/>
      <c r="AB397" s="1524"/>
      <c r="AC397" s="1619"/>
      <c r="AD397" s="974" t="s">
        <v>879</v>
      </c>
      <c r="AE397" s="1503" t="s">
        <v>597</v>
      </c>
      <c r="AF397" s="1504"/>
      <c r="AG397" s="1010" t="s">
        <v>805</v>
      </c>
      <c r="AH397" s="1779"/>
      <c r="AI397" s="1779"/>
      <c r="AJ397" s="1779"/>
      <c r="AK397" s="1779"/>
      <c r="AL397" s="1779"/>
      <c r="AM397" s="1779"/>
      <c r="AN397" s="1779"/>
      <c r="AO397" s="982"/>
      <c r="AP397" s="982"/>
      <c r="AQ397" s="982"/>
      <c r="AR397" s="982"/>
      <c r="AS397" s="982"/>
      <c r="AT397" s="982"/>
      <c r="AU397" s="982"/>
      <c r="AV397" s="982"/>
      <c r="AW397" s="982"/>
      <c r="AX397" s="982"/>
      <c r="AY397" s="982"/>
      <c r="AZ397" s="982"/>
      <c r="BA397" s="1779"/>
      <c r="BB397" s="1779"/>
      <c r="BC397" s="1779"/>
      <c r="BD397" s="1779"/>
      <c r="BE397" s="1779"/>
      <c r="BF397" s="1779"/>
      <c r="BG397" s="1779"/>
      <c r="BH397" s="1779"/>
      <c r="BI397" s="1779"/>
      <c r="BJ397" s="1779"/>
      <c r="BK397" s="1779"/>
      <c r="BL397" s="1779"/>
      <c r="BM397" s="1779"/>
      <c r="BN397" s="1779"/>
      <c r="BO397" s="1779"/>
      <c r="BP397" s="982"/>
      <c r="BQ397" s="982"/>
      <c r="BR397" s="982"/>
      <c r="BS397" s="982"/>
      <c r="BT397" s="982"/>
      <c r="BU397" s="982"/>
      <c r="BV397" s="982"/>
      <c r="BW397" s="982"/>
      <c r="BX397" s="982"/>
      <c r="BY397" s="982"/>
      <c r="BZ397" s="982"/>
      <c r="CA397" s="982"/>
      <c r="CB397" s="982"/>
      <c r="CC397" s="982"/>
      <c r="CD397" s="982"/>
      <c r="CE397" s="1779"/>
      <c r="CF397" s="1779"/>
      <c r="CG397" s="1779"/>
      <c r="CH397" s="1779"/>
      <c r="CI397" s="1779"/>
      <c r="CJ397" s="1779"/>
      <c r="CK397" s="1779"/>
      <c r="CL397" s="1779"/>
      <c r="CM397" s="1779"/>
      <c r="CN397" s="1779"/>
      <c r="CO397" s="1779"/>
      <c r="CP397" s="1779"/>
      <c r="CQ397" s="1779"/>
      <c r="CR397" s="1779"/>
      <c r="CS397" s="1779"/>
      <c r="CT397" s="1730"/>
      <c r="CU397" s="1619"/>
      <c r="CV397" s="1619"/>
      <c r="CW397" s="1170" t="s">
        <v>880</v>
      </c>
      <c r="CX397" s="1175"/>
      <c r="CY397" s="1175"/>
      <c r="CZ397" s="1175"/>
      <c r="DA397" s="1176"/>
      <c r="DB397" s="1176"/>
    </row>
    <row s="1619" customFormat="1" customHeight="1" ht="16.5" hidden="1">
      <c r="E398" s="794">
        <v>17.1</v>
      </c>
      <c r="F398" s="919" cm="1" t="str">
        <f t="array" ref="F398:F398">OFFSET(G398,-1,-1)</f>
        <v>2</v>
      </c>
      <c r="L398" s="919" cm="1" t="str">
        <f t="array" ref="L398:L398">OFFSET(M398,-1,-1)</f>
        <v>false</v>
      </c>
      <c r="S398" s="156" cm="1" t="str">
        <f t="array" ref="S398:S398">OFFSET(T398,-1,-1)</f>
        <v>true</v>
      </c>
      <c r="T398" s="156">
        <f>AD398&lt;&gt;"40.0"</f>
        <v>0</v>
      </c>
      <c r="U398" s="816">
        <f>AND(S398,IF(ISBLANK(T398),TRUE,T398))</f>
        <v>0</v>
      </c>
      <c r="X398" s="156" t="s">
        <v>233</v>
      </c>
      <c r="AB398" s="1524"/>
      <c r="AD398" s="157" t="s">
        <v>881</v>
      </c>
      <c r="AE398" s="971"/>
      <c r="AF398" s="622"/>
      <c r="AG398" s="856" t="s">
        <v>805</v>
      </c>
      <c r="AH398" s="857">
        <f>AH327+AH344+AH361+AH378+AH387</f>
        <v>0</v>
      </c>
      <c r="AI398" s="857">
        <f>AI327+AI344+AI361+AI378+AI387</f>
        <v>0</v>
      </c>
      <c r="AJ398" s="857">
        <f>AJ327+AJ344+AJ361+AJ378+AJ387</f>
        <v>0</v>
      </c>
      <c r="AK398" s="857">
        <f>AK327+AK344+AK361+AK378+AK387</f>
        <v>0</v>
      </c>
      <c r="AL398" s="857">
        <f>AL327+AL344+AL361+AL378+AL387</f>
        <v>0</v>
      </c>
      <c r="AM398" s="857">
        <f>AM327+AM344+AM361+AM378+AM387</f>
        <v>0</v>
      </c>
      <c r="AN398" s="857">
        <f>AN327+AN344+AN361+AN378+AN387</f>
        <v>0</v>
      </c>
      <c r="AO398" s="857">
        <f>AO327+AO344+AO361+AO378+AO387</f>
        <v>0</v>
      </c>
      <c r="AP398" s="857">
        <f>AP327+AP344+AP361+AP378+AP387</f>
        <v>0</v>
      </c>
      <c r="AQ398" s="857">
        <f>AQ327+AQ344+AQ361+AQ378+AQ387</f>
        <v>0</v>
      </c>
      <c r="AR398" s="857">
        <f>AR327+AR344+AR361+AR378+AR387</f>
        <v>0</v>
      </c>
      <c r="AS398" s="857">
        <f>AS327+AS344+AS361+AS378+AS387</f>
        <v>0</v>
      </c>
      <c r="AT398" s="857">
        <f>AT327+AT344+AT361+AT378+AT387</f>
        <v>0</v>
      </c>
      <c r="AU398" s="857">
        <f>AU327+AU344+AU361+AU378+AU387</f>
        <v>0</v>
      </c>
      <c r="AV398" s="857">
        <f>AV327+AV344+AV361+AV378+AV387</f>
        <v>0</v>
      </c>
      <c r="AW398" s="857">
        <f>AW327+AW344+AW361+AW378+AW387</f>
        <v>0</v>
      </c>
      <c r="AX398" s="857">
        <f>AX327+AX344+AX361+AX378+AX387</f>
        <v>0</v>
      </c>
      <c r="AY398" s="857">
        <f>AY327+AY344+AY361+AY378+AY387</f>
        <v>0</v>
      </c>
      <c r="AZ398" s="857">
        <f>AZ327+AZ344+AZ361+AZ378+AZ387</f>
        <v>0</v>
      </c>
      <c r="BA398" s="857">
        <f>BA327+BA344+BA361+BA378+BA387</f>
        <v>0</v>
      </c>
      <c r="BB398" s="857">
        <f>BB327+BB344+BB361+BB378+BB387</f>
        <v>0</v>
      </c>
      <c r="BC398" s="857">
        <f>BC327+BC344+BC361+BC378+BC387</f>
        <v>0</v>
      </c>
      <c r="BD398" s="857">
        <f>BD327+BD344+BD361+BD378+BD387</f>
        <v>0</v>
      </c>
      <c r="BE398" s="857">
        <f>BE327+BE344+BE361+BE378+BE387</f>
        <v>0</v>
      </c>
      <c r="BF398" s="857">
        <f>BF327+BF344+BF361+BF378+BF387</f>
        <v>0</v>
      </c>
      <c r="BG398" s="857">
        <f>BG327+BG344+BG361+BG378+BG387</f>
        <v>0</v>
      </c>
      <c r="BH398" s="857">
        <f>BH327+BH344+BH361+BH378+BH387</f>
        <v>0</v>
      </c>
      <c r="BI398" s="857">
        <f>BI327+BI344+BI361+BI378+BI387</f>
        <v>0</v>
      </c>
      <c r="BJ398" s="857">
        <f>BJ327+BJ344+BJ361+BJ378+BJ387</f>
        <v>0</v>
      </c>
      <c r="BK398" s="857">
        <f>BK327+BK344+BK361+BK378+BK387</f>
        <v>0</v>
      </c>
      <c r="BL398" s="857">
        <f>BL327+BL344+BL361+BL378+BL387</f>
        <v>0</v>
      </c>
      <c r="BM398" s="857">
        <f>BM327+BM344+BM361+BM378+BM387</f>
        <v>0</v>
      </c>
      <c r="BN398" s="857">
        <f>BN327+BN344+BN361+BN378+BN387</f>
        <v>0</v>
      </c>
      <c r="BO398" s="857">
        <f>BO327+BO344+BO361+BO378+BO387</f>
        <v>0</v>
      </c>
      <c r="BP398" s="857">
        <f>BP327+BP344+BP361+BP378+BP387</f>
        <v>0</v>
      </c>
      <c r="BQ398" s="857">
        <f>BQ327+BQ344+BQ361+BQ378+BQ387</f>
        <v>0</v>
      </c>
      <c r="BR398" s="857">
        <f>BR327+BR344+BR361+BR378+BR387</f>
        <v>0</v>
      </c>
      <c r="BS398" s="857">
        <f>BS327+BS344+BS361+BS378+BS387</f>
        <v>0</v>
      </c>
      <c r="BT398" s="857">
        <f>BT327+BT344+BT361+BT378+BT387</f>
        <v>0</v>
      </c>
      <c r="BU398" s="857">
        <f>BU327+BU344+BU361+BU378+BU387</f>
        <v>0</v>
      </c>
      <c r="BV398" s="857">
        <f>BV327+BV344+BV361+BV378+BV387</f>
        <v>0</v>
      </c>
      <c r="BW398" s="857">
        <f>BW327+BW344+BW361+BW378+BW387</f>
        <v>0</v>
      </c>
      <c r="BX398" s="857">
        <f>BX327+BX344+BX361+BX378+BX387</f>
        <v>0</v>
      </c>
      <c r="BY398" s="857">
        <f>BY327+BY344+BY361+BY378+BY387</f>
        <v>0</v>
      </c>
      <c r="BZ398" s="857">
        <f>BZ327+BZ344+BZ361+BZ378+BZ387</f>
        <v>0</v>
      </c>
      <c r="CA398" s="857">
        <f>CA327+CA344+CA361+CA378+CA387</f>
        <v>0</v>
      </c>
      <c r="CB398" s="857">
        <f>CB327+CB344+CB361+CB378+CB387</f>
        <v>0</v>
      </c>
      <c r="CC398" s="857">
        <f>CC327+CC344+CC361+CC378+CC387</f>
        <v>0</v>
      </c>
      <c r="CD398" s="857">
        <f>CD327+CD344+CD361+CD378+CD387</f>
        <v>0</v>
      </c>
      <c r="CE398" s="857">
        <f>CE327+CE344+CE361+CE378+CE387</f>
        <v>0</v>
      </c>
      <c r="CF398" s="857">
        <f>CF327+CF344+CF361+CF378+CF387</f>
        <v>0</v>
      </c>
      <c r="CG398" s="857">
        <f>CG327+CG344+CG361+CG378+CG387</f>
        <v>0</v>
      </c>
      <c r="CH398" s="857">
        <f>CH327+CH344+CH361+CH378+CH387</f>
        <v>0</v>
      </c>
      <c r="CI398" s="857">
        <f>CI327+CI344+CI361+CI378+CI387</f>
        <v>0</v>
      </c>
      <c r="CJ398" s="857">
        <f>CJ327+CJ344+CJ361+CJ378+CJ387</f>
        <v>0</v>
      </c>
      <c r="CK398" s="857">
        <f>CK327+CK344+CK361+CK378+CK387</f>
        <v>0</v>
      </c>
      <c r="CL398" s="857">
        <f>CL327+CL344+CL361+CL378+CL387</f>
        <v>0</v>
      </c>
      <c r="CM398" s="857">
        <f>CM327+CM344+CM361+CM378+CM387</f>
        <v>0</v>
      </c>
      <c r="CN398" s="857">
        <f>CN327+CN344+CN361+CN378+CN387</f>
        <v>0</v>
      </c>
      <c r="CO398" s="857">
        <f>CO327+CO344+CO361+CO378+CO387</f>
        <v>0</v>
      </c>
      <c r="CP398" s="857">
        <f>CP327+CP344+CP361+CP378+CP387</f>
        <v>0</v>
      </c>
      <c r="CQ398" s="857">
        <f>CQ327+CQ344+CQ361+CQ378+CQ387</f>
        <v>0</v>
      </c>
      <c r="CR398" s="857">
        <f>CR327+CR344+CR361+CR378+CR387</f>
        <v>0</v>
      </c>
      <c r="CS398" s="857">
        <f>CS327+CS344+CS361+CS378+CS387</f>
        <v>0</v>
      </c>
      <c r="CT398" s="73"/>
      <c r="CW398" s="1170" t="s">
        <v>882</v>
      </c>
      <c r="CX398" s="1175" t="s">
        <v>787</v>
      </c>
      <c r="CY398" s="1179" cm="1" t="str">
        <f t="array" ref="CY398:CY398">AE398</f>
        <v>0</v>
      </c>
      <c r="CZ398" s="1179" cm="1" t="str">
        <f t="array" ref="CZ398:CZ398">AF398</f>
        <v>0</v>
      </c>
      <c r="DA398" s="1176"/>
      <c r="DB398" s="1176"/>
    </row>
    <row s="1619" customFormat="1" customHeight="1" ht="16.5">
      <c r="A399" s="1619"/>
      <c r="B399" s="1619"/>
      <c r="C399" s="1619"/>
      <c r="D399" s="1619"/>
      <c r="E399" s="794">
        <v>17.1</v>
      </c>
      <c r="F399" s="919" cm="1" t="str">
        <f t="array" ref="F399:F399">OFFSET(G399,-1,-1)</f>
        <v>2</v>
      </c>
      <c r="G399" s="1619"/>
      <c r="H399" s="1619"/>
      <c r="I399" s="1619"/>
      <c r="J399" s="1619"/>
      <c r="K399" s="1619"/>
      <c r="L399" s="919" cm="1" t="str">
        <f t="array" ref="L399:L399">OFFSET(M399,-1,-1)</f>
        <v>false</v>
      </c>
      <c r="M399" s="1619"/>
      <c r="N399" s="1619"/>
      <c r="O399" s="1619"/>
      <c r="P399" s="1619"/>
      <c r="Q399" s="1619"/>
      <c r="R399" s="1619"/>
      <c r="S399" s="156" cm="1" t="str">
        <f t="array" ref="S399:S399">OFFSET(T399,-1,-1)</f>
        <v>true</v>
      </c>
      <c r="T399" s="156">
        <f>AD399&lt;&gt;"40.0"</f>
        <v>1</v>
      </c>
      <c r="U399" s="816">
        <f>AND(S399,IF(ISBLANK(T399),TRUE,T399))</f>
        <v>1</v>
      </c>
      <c r="V399" s="1619"/>
      <c r="W399" s="1619"/>
      <c r="X399" s="156" t="str">
        <f>'Топливо 4.4'!$AE$392&amp;'Топливо 4.4'!$AF$392</f>
        <v>Уголь бурыйБ</v>
      </c>
      <c r="Y399" s="1619"/>
      <c r="Z399" s="1619"/>
      <c r="AA399" s="1619"/>
      <c r="AB399" s="1524"/>
      <c r="AC399" s="1619"/>
      <c r="AD399" s="157" t="s">
        <v>920</v>
      </c>
      <c r="AE399" s="971" cm="1" t="str">
        <f t="array" ref="AE399:AE399">IF(ISBLANK('Топливо 4.4'!$AE$392),"",'Топливо 4.4'!$AE$392)</f>
        <v>Уголь бурый</v>
      </c>
      <c r="AF399" s="622" cm="1" t="str">
        <f t="array" ref="AF399:AF399">IF(ISBLANK('Топливо 4.4'!$AF$392),"",'Топливо 4.4'!$AF$392)</f>
        <v>Б</v>
      </c>
      <c r="AG399" s="856" t="s">
        <v>805</v>
      </c>
      <c r="AH399" s="857">
        <f>AH328+AH345+AH362+AH379+AH388</f>
        <v>0</v>
      </c>
      <c r="AI399" s="857">
        <f>AI328+AI345+AI362+AI379+AI388</f>
        <v>0</v>
      </c>
      <c r="AJ399" s="857">
        <f>AJ328+AJ345+AJ362+AJ379+AJ388</f>
        <v>0</v>
      </c>
      <c r="AK399" s="857">
        <f>AK328+AK345+AK362+AK379+AK388</f>
        <v>0</v>
      </c>
      <c r="AL399" s="857">
        <f>AL328+AL345+AL362+AL379+AL388</f>
        <v>4485.9999935</v>
      </c>
      <c r="AM399" s="857">
        <f>AM328+AM345+AM362+AM379+AM388</f>
        <v>3353.0394112</v>
      </c>
      <c r="AN399" s="857">
        <f>AN328+AN345+AN362+AN379+AN388</f>
        <v>1132.9605823</v>
      </c>
      <c r="AO399" s="857">
        <f>AO328+AO345+AO362+AO379+AO388</f>
        <v>4735.998484</v>
      </c>
      <c r="AP399" s="857">
        <f>AP328+AP345+AP362+AP379+AP388</f>
        <v>3539.8995968</v>
      </c>
      <c r="AQ399" s="857">
        <f>AQ328+AQ345+AQ362+AQ379+AQ388</f>
        <v>1196.0988872</v>
      </c>
      <c r="AR399" s="857">
        <f>AR328+AR345+AR362+AR379+AR388</f>
        <v>4914.9996015</v>
      </c>
      <c r="AS399" s="857">
        <f>AS328+AS345+AS362+AS379+AS388</f>
        <v>3673.6931328</v>
      </c>
      <c r="AT399" s="857">
        <f>AT328+AT345+AT362+AT379+AT388</f>
        <v>1241.3064687</v>
      </c>
      <c r="AU399" s="857">
        <f>AU328+AU345+AU362+AU379+AU388</f>
        <v>5100.9992955</v>
      </c>
      <c r="AV399" s="857">
        <f>AV328+AV345+AV362+AV379+AV388</f>
        <v>3812.7177216</v>
      </c>
      <c r="AW399" s="857">
        <f>AW328+AW345+AW362+AW379+AW388</f>
        <v>1288.2815739</v>
      </c>
      <c r="AX399" s="857">
        <f>AX328+AX345+AX362+AX379+AX388</f>
        <v>5295.0043105</v>
      </c>
      <c r="AY399" s="857">
        <f>AY328+AY345+AY362+AY379+AY388</f>
        <v>3957.7258496</v>
      </c>
      <c r="AZ399" s="857">
        <f>AZ328+AZ345+AZ362+AZ379+AZ388</f>
        <v>1337.2784609</v>
      </c>
      <c r="BA399" s="857">
        <f>BA328+BA345+BA362+BA379+BA388</f>
        <v>0</v>
      </c>
      <c r="BB399" s="857">
        <f>BB328+BB345+BB362+BB379+BB388</f>
        <v>0</v>
      </c>
      <c r="BC399" s="857">
        <f>BC328+BC345+BC362+BC379+BC388</f>
        <v>0</v>
      </c>
      <c r="BD399" s="857">
        <f>BD328+BD345+BD362+BD379+BD388</f>
        <v>0</v>
      </c>
      <c r="BE399" s="857">
        <f>BE328+BE345+BE362+BE379+BE388</f>
        <v>0</v>
      </c>
      <c r="BF399" s="857">
        <f>BF328+BF345+BF362+BF379+BF388</f>
        <v>0</v>
      </c>
      <c r="BG399" s="857">
        <f>BG328+BG345+BG362+BG379+BG388</f>
        <v>0</v>
      </c>
      <c r="BH399" s="857">
        <f>BH328+BH345+BH362+BH379+BH388</f>
        <v>0</v>
      </c>
      <c r="BI399" s="857">
        <f>BI328+BI345+BI362+BI379+BI388</f>
        <v>0</v>
      </c>
      <c r="BJ399" s="857">
        <f>BJ328+BJ345+BJ362+BJ379+BJ388</f>
        <v>0</v>
      </c>
      <c r="BK399" s="857">
        <f>BK328+BK345+BK362+BK379+BK388</f>
        <v>0</v>
      </c>
      <c r="BL399" s="857">
        <f>BL328+BL345+BL362+BL379+BL388</f>
        <v>0</v>
      </c>
      <c r="BM399" s="857">
        <f>BM328+BM345+BM362+BM379+BM388</f>
        <v>0</v>
      </c>
      <c r="BN399" s="857">
        <f>BN328+BN345+BN362+BN379+BN388</f>
        <v>0</v>
      </c>
      <c r="BO399" s="857">
        <f>BO328+BO345+BO362+BO379+BO388</f>
        <v>0</v>
      </c>
      <c r="BP399" s="857">
        <f>BP328+BP345+BP362+BP379+BP388</f>
        <v>3879.0440814893</v>
      </c>
      <c r="BQ399" s="857">
        <f>BQ328+BQ345+BQ362+BQ379+BQ388</f>
        <v>2899.37309448543</v>
      </c>
      <c r="BR399" s="857">
        <f>BR328+BR345+BR362+BR379+BR388</f>
        <v>979.670987003866</v>
      </c>
      <c r="BS399" s="857">
        <f>BS328+BS345+BS362+BS379+BS388</f>
        <v>4049.72384966631</v>
      </c>
      <c r="BT399" s="857">
        <f>BT328+BT345+BT362+BT379+BT388</f>
        <v>3026.94687741482</v>
      </c>
      <c r="BU399" s="857">
        <f>BU328+BU345+BU362+BU379+BU388</f>
        <v>1022.77697225149</v>
      </c>
      <c r="BV399" s="857">
        <f>BV328+BV345+BV362+BV379+BV388</f>
        <v>4159.06399719003</v>
      </c>
      <c r="BW399" s="857">
        <f>BW328+BW345+BW362+BW379+BW388</f>
        <v>3108.6726519143</v>
      </c>
      <c r="BX399" s="857">
        <f>BX328+BX345+BX362+BX379+BX388</f>
        <v>1050.39134527573</v>
      </c>
      <c r="BY399" s="857">
        <f>BY328+BY345+BY362+BY379+BY388</f>
        <v>4271.35876361082</v>
      </c>
      <c r="BZ399" s="857">
        <f>BZ328+BZ345+BZ362+BZ379+BZ388</f>
        <v>3192.60684229013</v>
      </c>
      <c r="CA399" s="857">
        <f>CA328+CA345+CA362+CA379+CA388</f>
        <v>1078.75192132069</v>
      </c>
      <c r="CB399" s="857">
        <f>CB328+CB345+CB362+CB379+CB388</f>
        <v>4386.68514225501</v>
      </c>
      <c r="CC399" s="857">
        <f>CC328+CC345+CC362+CC379+CC388</f>
        <v>3278.80699683878</v>
      </c>
      <c r="CD399" s="857">
        <f>CD328+CD345+CD362+CD379+CD388</f>
        <v>1107.87814541623</v>
      </c>
      <c r="CE399" s="857">
        <f>CE328+CE345+CE362+CE379+CE388</f>
        <v>0</v>
      </c>
      <c r="CF399" s="857">
        <f>CF328+CF345+CF362+CF379+CF388</f>
        <v>0</v>
      </c>
      <c r="CG399" s="857">
        <f>CG328+CG345+CG362+CG379+CG388</f>
        <v>0</v>
      </c>
      <c r="CH399" s="857">
        <f>CH328+CH345+CH362+CH379+CH388</f>
        <v>0</v>
      </c>
      <c r="CI399" s="857">
        <f>CI328+CI345+CI362+CI379+CI388</f>
        <v>0</v>
      </c>
      <c r="CJ399" s="857">
        <f>CJ328+CJ345+CJ362+CJ379+CJ388</f>
        <v>0</v>
      </c>
      <c r="CK399" s="857">
        <f>CK328+CK345+CK362+CK379+CK388</f>
        <v>0</v>
      </c>
      <c r="CL399" s="857">
        <f>CL328+CL345+CL362+CL379+CL388</f>
        <v>0</v>
      </c>
      <c r="CM399" s="857">
        <f>CM328+CM345+CM362+CM379+CM388</f>
        <v>0</v>
      </c>
      <c r="CN399" s="857">
        <f>CN328+CN345+CN362+CN379+CN388</f>
        <v>0</v>
      </c>
      <c r="CO399" s="857">
        <f>CO328+CO345+CO362+CO379+CO388</f>
        <v>0</v>
      </c>
      <c r="CP399" s="857">
        <f>CP328+CP345+CP362+CP379+CP388</f>
        <v>0</v>
      </c>
      <c r="CQ399" s="857">
        <f>CQ328+CQ345+CQ362+CQ379+CQ388</f>
        <v>0</v>
      </c>
      <c r="CR399" s="857">
        <f>CR328+CR345+CR362+CR379+CR388</f>
        <v>0</v>
      </c>
      <c r="CS399" s="857">
        <f>CS328+CS345+CS362+CS379+CS388</f>
        <v>0</v>
      </c>
      <c r="CT399" s="1730"/>
      <c r="CU399" s="1619"/>
      <c r="CV399" s="1619"/>
      <c r="CW399" s="1170" t="s">
        <v>882</v>
      </c>
      <c r="CX399" s="1175" t="s">
        <v>787</v>
      </c>
      <c r="CY399" s="1179" cm="1" t="str">
        <f t="array" ref="CY399:CY399">AE399</f>
        <v>Уголь бурый</v>
      </c>
      <c r="CZ399" s="1179" cm="1" t="str">
        <f t="array" ref="CZ399:CZ399">AF399</f>
        <v>Б</v>
      </c>
      <c r="DA399" s="1176"/>
      <c r="DB399" s="1176"/>
    </row>
    <row s="1619" customFormat="1" customHeight="1" ht="15" hidden="1">
      <c r="A400" s="1440"/>
      <c r="B400" s="924"/>
      <c r="C400" s="1440"/>
      <c r="D400" s="1440"/>
      <c r="E400" s="794">
        <v>0</v>
      </c>
      <c r="F400" s="919" cm="1" t="str">
        <f t="array" ref="F400:F400">OFFSET(G400,-1,-1)</f>
        <v>2</v>
      </c>
      <c r="G400" s="962"/>
      <c r="H400" s="962"/>
      <c r="I400" s="962"/>
      <c r="J400" s="962"/>
      <c r="K400" s="962"/>
      <c r="L400" s="919" cm="1" t="str">
        <f t="array" ref="L400:L400">OFFSET(M400,-1,-1)</f>
        <v>false</v>
      </c>
      <c r="M400" s="962"/>
      <c r="N400" s="962"/>
      <c r="O400" s="962"/>
      <c r="P400" s="962"/>
      <c r="Q400" s="962"/>
      <c r="R400" s="1440"/>
      <c r="S400" s="156" cm="1" t="str">
        <f t="array" ref="S400:S400">OFFSET(T400,-1,-1)</f>
        <v>true</v>
      </c>
      <c r="T400" s="1440"/>
      <c r="U400" s="816">
        <f>AND(S400,IF(ISBLANK(T400),TRUE,T400))</f>
        <v>1</v>
      </c>
      <c r="V400" s="1440"/>
      <c r="W400" s="1440"/>
      <c r="X400" s="970" t="str">
        <f>"{                  
         funcDyn: 'msg1',
         blok: 'blok_2',
         wsCross: 'Топливо 4.4',
         linkFormula: 'AE-AE#AF-AF',
         levelDyn: "&amp;Y275&amp;"
}"</f>
        <v>{                  
         funcDyn: 'msg1',
         blok: 'blok_2',
         wsCross: 'Топливо 4.4',
         linkFormula: 'AE-AE#AF-AF',
         levelDyn: 2
}</v>
      </c>
      <c r="Y400" s="1440"/>
      <c r="Z400" s="1440"/>
      <c r="AA400" s="817"/>
      <c r="AB400" s="1524"/>
      <c r="AC400" s="1619"/>
      <c r="AD400" s="973"/>
      <c r="AE400" s="972" t="s">
        <v>235</v>
      </c>
      <c r="AF400" s="871"/>
      <c r="AG400" s="856"/>
      <c r="AH400" s="858"/>
      <c r="AI400" s="860"/>
      <c r="AJ400" s="860"/>
      <c r="AK400" s="860"/>
      <c r="AL400" s="860"/>
      <c r="AM400" s="860"/>
      <c r="AN400" s="860"/>
      <c r="AO400" s="860"/>
      <c r="AP400" s="860"/>
      <c r="AQ400" s="860"/>
      <c r="AR400" s="860"/>
      <c r="AS400" s="860"/>
      <c r="AT400" s="860"/>
      <c r="AU400" s="860"/>
      <c r="AV400" s="860"/>
      <c r="AW400" s="860"/>
      <c r="AX400" s="860"/>
      <c r="AY400" s="860"/>
      <c r="AZ400" s="860"/>
      <c r="BA400" s="860"/>
      <c r="BB400" s="860"/>
      <c r="BC400" s="860"/>
      <c r="BD400" s="860"/>
      <c r="BE400" s="860"/>
      <c r="BF400" s="860"/>
      <c r="BG400" s="860"/>
      <c r="BH400" s="860"/>
      <c r="BI400" s="860"/>
      <c r="BJ400" s="860"/>
      <c r="BK400" s="860"/>
      <c r="BL400" s="860"/>
      <c r="BM400" s="860"/>
      <c r="BN400" s="860"/>
      <c r="BO400" s="860"/>
      <c r="BP400" s="860"/>
      <c r="BQ400" s="860"/>
      <c r="BR400" s="860"/>
      <c r="BS400" s="860"/>
      <c r="BT400" s="860"/>
      <c r="BU400" s="860"/>
      <c r="BV400" s="860"/>
      <c r="BW400" s="860"/>
      <c r="BX400" s="860"/>
      <c r="BY400" s="860"/>
      <c r="BZ400" s="860"/>
      <c r="CA400" s="860"/>
      <c r="CB400" s="860"/>
      <c r="CC400" s="860"/>
      <c r="CD400" s="860"/>
      <c r="CE400" s="860"/>
      <c r="CF400" s="860"/>
      <c r="CG400" s="860"/>
      <c r="CH400" s="860"/>
      <c r="CI400" s="860"/>
      <c r="CJ400" s="860"/>
      <c r="CK400" s="860"/>
      <c r="CL400" s="860"/>
      <c r="CM400" s="860"/>
      <c r="CN400" s="860"/>
      <c r="CO400" s="860"/>
      <c r="CP400" s="860"/>
      <c r="CQ400" s="860"/>
      <c r="CR400" s="860"/>
      <c r="CS400" s="860"/>
      <c r="CT400" s="91"/>
      <c r="CU400" s="1619"/>
      <c r="CV400" s="1619"/>
      <c r="CW400" s="1170" t="str">
        <f>IF(AND(ISNUMBER(VALUE(TRIM(SUBSTITUTE(AD400,".","")))),TRIM(SUBSTITUTE(AD400,".",""))&lt;&gt;""),"P"&amp;SUBSTITUTE(AD400,".",""),"")</f>
        <v/>
      </c>
      <c r="CX400" s="1175"/>
      <c r="CY400" s="1175"/>
      <c r="CZ400" s="1175"/>
      <c r="DA400" s="1176"/>
      <c r="DB400" s="1176"/>
    </row>
    <row s="1619" customFormat="1" customHeight="1" ht="16.5">
      <c r="A401" s="1440"/>
      <c r="B401" s="924"/>
      <c r="C401" s="1440"/>
      <c r="D401" s="1440"/>
      <c r="E401" s="794">
        <v>17.1</v>
      </c>
      <c r="F401" s="919" cm="1" t="str">
        <f t="array" ref="F401:F401">OFFSET(G401,-1,-1)</f>
        <v>2</v>
      </c>
      <c r="G401" s="962"/>
      <c r="H401" s="962"/>
      <c r="I401" s="962"/>
      <c r="J401" s="962"/>
      <c r="K401" s="962"/>
      <c r="L401" s="919" cm="1" t="str">
        <f t="array" ref="L401:L401">OFFSET(M401,-1,-1)</f>
        <v>false</v>
      </c>
      <c r="M401" s="962"/>
      <c r="N401" s="962"/>
      <c r="O401" s="962"/>
      <c r="P401" s="962"/>
      <c r="Q401" s="962"/>
      <c r="R401" s="1440"/>
      <c r="S401" s="156" cm="1" t="str">
        <f t="array" ref="S401:S401">OFFSET(T401,-1,-1)</f>
        <v>true</v>
      </c>
      <c r="T401" s="1440"/>
      <c r="U401" s="816">
        <f>AND(S401,IF(ISBLANK(T401),TRUE,T401))</f>
        <v>1</v>
      </c>
      <c r="V401" s="1440"/>
      <c r="W401" s="1440"/>
      <c r="X401" s="1440"/>
      <c r="Y401" s="1440"/>
      <c r="Z401" s="1440"/>
      <c r="AA401" s="817"/>
      <c r="AB401" s="1524"/>
      <c r="AC401" s="1619"/>
      <c r="AD401" s="170" t="s">
        <v>883</v>
      </c>
      <c r="AE401" s="1494" t="s">
        <v>884</v>
      </c>
      <c r="AF401" s="320"/>
      <c r="AG401" s="856" t="s">
        <v>885</v>
      </c>
      <c r="AH401" s="857">
        <f>_xlfn.IFERROR(AH394/AH300,0)*1000</f>
        <v>0</v>
      </c>
      <c r="AI401" s="857">
        <f>_xlfn.IFERROR(AI394/AI300,0)*1000</f>
        <v>0</v>
      </c>
      <c r="AJ401" s="857">
        <f>_xlfn.IFERROR(AJ394/AJ300,0)*1000</f>
        <v>0</v>
      </c>
      <c r="AK401" s="857">
        <f>_xlfn.IFERROR(AK394/AK300,0)*1000</f>
        <v>0</v>
      </c>
      <c r="AL401" s="857">
        <f>_xlfn.IFERROR(AL394/AL300,0)*1000</f>
        <v>15373.0166666667</v>
      </c>
      <c r="AM401" s="857">
        <f>_xlfn.IFERROR(AM394/AM300,0)*1000</f>
        <v>15373.0166666667</v>
      </c>
      <c r="AN401" s="857">
        <f>_xlfn.IFERROR(AN394/AN300,0)*1000</f>
        <v>15373.0166666667</v>
      </c>
      <c r="AO401" s="857">
        <f>_xlfn.IFERROR(AO394/AO300,0)*1000</f>
        <v>16229.7333333333</v>
      </c>
      <c r="AP401" s="857">
        <f>_xlfn.IFERROR(AP394/AP300,0)*1000</f>
        <v>16229.7333333333</v>
      </c>
      <c r="AQ401" s="857">
        <f>_xlfn.IFERROR(AQ394/AQ300,0)*1000</f>
        <v>16229.7333333333</v>
      </c>
      <c r="AR401" s="857">
        <f>_xlfn.IFERROR(AR394/AR300,0)*1000</f>
        <v>16843.15</v>
      </c>
      <c r="AS401" s="857">
        <f>_xlfn.IFERROR(AS394/AS300,0)*1000</f>
        <v>16843.15</v>
      </c>
      <c r="AT401" s="857">
        <f>_xlfn.IFERROR(AT394/AT300,0)*1000</f>
        <v>16843.15</v>
      </c>
      <c r="AU401" s="857">
        <f>_xlfn.IFERROR(AU394/AU300,0)*1000</f>
        <v>17480.55</v>
      </c>
      <c r="AV401" s="857">
        <f>_xlfn.IFERROR(AV394/AV300,0)*1000</f>
        <v>17480.55</v>
      </c>
      <c r="AW401" s="857">
        <f>_xlfn.IFERROR(AW394/AW300,0)*1000</f>
        <v>17480.55</v>
      </c>
      <c r="AX401" s="857">
        <f>_xlfn.IFERROR(AX394/AX300,0)*1000</f>
        <v>18145.3833333333</v>
      </c>
      <c r="AY401" s="857">
        <f>_xlfn.IFERROR(AY394/AY300,0)*1000</f>
        <v>18145.3833333333</v>
      </c>
      <c r="AZ401" s="857">
        <f>_xlfn.IFERROR(AZ394/AZ300,0)*1000</f>
        <v>18145.3833333333</v>
      </c>
      <c r="BA401" s="857">
        <f>_xlfn.IFERROR(BA394/BA300,0)*1000</f>
        <v>0</v>
      </c>
      <c r="BB401" s="857">
        <f>_xlfn.IFERROR(BB394/BB300,0)*1000</f>
        <v>0</v>
      </c>
      <c r="BC401" s="857">
        <f>_xlfn.IFERROR(BC394/BC300,0)*1000</f>
        <v>0</v>
      </c>
      <c r="BD401" s="857">
        <f>_xlfn.IFERROR(BD394/BD300,0)*1000</f>
        <v>0</v>
      </c>
      <c r="BE401" s="857">
        <f>_xlfn.IFERROR(BE394/BE300,0)*1000</f>
        <v>0</v>
      </c>
      <c r="BF401" s="857">
        <f>_xlfn.IFERROR(BF394/BF300,0)*1000</f>
        <v>0</v>
      </c>
      <c r="BG401" s="857">
        <f>_xlfn.IFERROR(BG394/BG300,0)*1000</f>
        <v>0</v>
      </c>
      <c r="BH401" s="857">
        <f>_xlfn.IFERROR(BH394/BH300,0)*1000</f>
        <v>0</v>
      </c>
      <c r="BI401" s="857">
        <f>_xlfn.IFERROR(BI394/BI300,0)*1000</f>
        <v>0</v>
      </c>
      <c r="BJ401" s="857">
        <f>_xlfn.IFERROR(BJ394/BJ300,0)*1000</f>
        <v>0</v>
      </c>
      <c r="BK401" s="857">
        <f>_xlfn.IFERROR(BK394/BK300,0)*1000</f>
        <v>0</v>
      </c>
      <c r="BL401" s="857">
        <f>_xlfn.IFERROR(BL394/BL300,0)*1000</f>
        <v>0</v>
      </c>
      <c r="BM401" s="857">
        <f>_xlfn.IFERROR(BM394/BM300,0)*1000</f>
        <v>0</v>
      </c>
      <c r="BN401" s="857">
        <f>_xlfn.IFERROR(BN394/BN300,0)*1000</f>
        <v>0</v>
      </c>
      <c r="BO401" s="857">
        <f>_xlfn.IFERROR(BO394/BO300,0)*1000</f>
        <v>0</v>
      </c>
      <c r="BP401" s="857">
        <f>_xlfn.IFERROR(BP394/BP300,0)*1000</f>
        <v>13293.0471248048</v>
      </c>
      <c r="BQ401" s="857">
        <f>_xlfn.IFERROR(BQ394/BQ300,0)*1000</f>
        <v>13293.0471248048</v>
      </c>
      <c r="BR401" s="857">
        <f>_xlfn.IFERROR(BR394/BR300,0)*1000</f>
        <v>13293.0471248048</v>
      </c>
      <c r="BS401" s="857">
        <f>_xlfn.IFERROR(BS394/BS300,0)*1000</f>
        <v>13877.9474646733</v>
      </c>
      <c r="BT401" s="857">
        <f>_xlfn.IFERROR(BT394/BT300,0)*1000</f>
        <v>13877.9474646733</v>
      </c>
      <c r="BU401" s="857">
        <f>_xlfn.IFERROR(BU394/BU300,0)*1000</f>
        <v>13877.9474646733</v>
      </c>
      <c r="BV401" s="857">
        <f>_xlfn.IFERROR(BV394/BV300,0)*1000</f>
        <v>14252.6438339674</v>
      </c>
      <c r="BW401" s="857">
        <f>_xlfn.IFERROR(BW394/BW300,0)*1000</f>
        <v>14252.6438339674</v>
      </c>
      <c r="BX401" s="857">
        <f>_xlfn.IFERROR(BX394/BX300,0)*1000</f>
        <v>14252.6438339674</v>
      </c>
      <c r="BY401" s="857">
        <f>_xlfn.IFERROR(BY394/BY300,0)*1000</f>
        <v>14637.4653494082</v>
      </c>
      <c r="BZ401" s="857">
        <f>_xlfn.IFERROR(BZ394/BZ300,0)*1000</f>
        <v>14637.4653494082</v>
      </c>
      <c r="CA401" s="857">
        <f>_xlfn.IFERROR(CA394/CA300,0)*1000</f>
        <v>14637.4653494083</v>
      </c>
      <c r="CB401" s="857">
        <f>_xlfn.IFERROR(CB394/CB300,0)*1000</f>
        <v>15032.6758584525</v>
      </c>
      <c r="CC401" s="857">
        <f>_xlfn.IFERROR(CC394/CC300,0)*1000</f>
        <v>15032.6758584524</v>
      </c>
      <c r="CD401" s="857">
        <f>_xlfn.IFERROR(CD394/CD300,0)*1000</f>
        <v>15032.6758584525</v>
      </c>
      <c r="CE401" s="857">
        <f>_xlfn.IFERROR(CE394/CE300,0)*1000</f>
        <v>0</v>
      </c>
      <c r="CF401" s="857">
        <f>_xlfn.IFERROR(CF394/CF300,0)*1000</f>
        <v>0</v>
      </c>
      <c r="CG401" s="857">
        <f>_xlfn.IFERROR(CG394/CG300,0)*1000</f>
        <v>0</v>
      </c>
      <c r="CH401" s="857">
        <f>_xlfn.IFERROR(CH394/CH300,0)*1000</f>
        <v>0</v>
      </c>
      <c r="CI401" s="857">
        <f>_xlfn.IFERROR(CI394/CI300,0)*1000</f>
        <v>0</v>
      </c>
      <c r="CJ401" s="857">
        <f>_xlfn.IFERROR(CJ394/CJ300,0)*1000</f>
        <v>0</v>
      </c>
      <c r="CK401" s="857">
        <f>_xlfn.IFERROR(CK394/CK300,0)*1000</f>
        <v>0</v>
      </c>
      <c r="CL401" s="857">
        <f>_xlfn.IFERROR(CL394/CL300,0)*1000</f>
        <v>0</v>
      </c>
      <c r="CM401" s="857">
        <f>_xlfn.IFERROR(CM394/CM300,0)*1000</f>
        <v>0</v>
      </c>
      <c r="CN401" s="857">
        <f>_xlfn.IFERROR(CN394/CN300,0)*1000</f>
        <v>0</v>
      </c>
      <c r="CO401" s="857">
        <f>_xlfn.IFERROR(CO394/CO300,0)*1000</f>
        <v>0</v>
      </c>
      <c r="CP401" s="857">
        <f>_xlfn.IFERROR(CP394/CP300,0)*1000</f>
        <v>0</v>
      </c>
      <c r="CQ401" s="857">
        <f>_xlfn.IFERROR(CQ394/CQ300,0)*1000</f>
        <v>0</v>
      </c>
      <c r="CR401" s="857">
        <f>_xlfn.IFERROR(CR394/CR300,0)*1000</f>
        <v>0</v>
      </c>
      <c r="CS401" s="857">
        <f>_xlfn.IFERROR(CS394/CS300,0)*1000</f>
        <v>0</v>
      </c>
      <c r="CT401" s="1730"/>
      <c r="CU401" s="1619"/>
      <c r="CV401" s="1619"/>
      <c r="CW401" s="1170" t="s">
        <v>886</v>
      </c>
      <c r="CX401" s="1175"/>
      <c r="CY401" s="1175"/>
      <c r="CZ401" s="1175"/>
      <c r="DA401" s="1176"/>
      <c r="DB401" s="1176"/>
    </row>
    <row s="1619" customFormat="1" customHeight="1" ht="16.5" hidden="1">
      <c r="A402" s="1440"/>
      <c r="B402" s="924"/>
      <c r="C402" s="1440"/>
      <c r="D402" s="1440"/>
      <c r="E402" s="794">
        <v>17.1</v>
      </c>
      <c r="F402" s="919" cm="1" t="str">
        <f t="array" ref="F402:F402">OFFSET(G402,-1,-1)</f>
        <v>2</v>
      </c>
      <c r="G402" s="962"/>
      <c r="H402" s="962"/>
      <c r="I402" s="962"/>
      <c r="J402" s="962"/>
      <c r="K402" s="962"/>
      <c r="L402" s="919" cm="1" t="str">
        <f t="array" ref="L402:L402">OFFSET(M402,-1,-1)</f>
        <v>false</v>
      </c>
      <c r="M402" s="962"/>
      <c r="N402" s="962"/>
      <c r="O402" s="962"/>
      <c r="P402" s="962"/>
      <c r="Q402" s="962"/>
      <c r="R402" s="919" t="s">
        <v>725</v>
      </c>
      <c r="S402" s="156" cm="1" t="str">
        <f t="array" ref="S402:S402">OFFSET(T402,-1,-1)</f>
        <v>true</v>
      </c>
      <c r="T402" s="156" cm="1" t="str">
        <f t="array" ref="T402:T402">L402</f>
        <v>false</v>
      </c>
      <c r="U402" s="816">
        <f>AND(S402,IF(ISBLANK(T402),TRUE,T402))</f>
        <v>0</v>
      </c>
      <c r="V402" s="1440"/>
      <c r="W402" s="1440"/>
      <c r="X402" s="1440"/>
      <c r="Y402" s="1440"/>
      <c r="Z402" s="1440"/>
      <c r="AA402" s="817"/>
      <c r="AB402" s="1524"/>
      <c r="AC402" s="1619"/>
      <c r="AD402" s="157" t="str">
        <f>AD401&amp;".0"</f>
        <v>41.0</v>
      </c>
      <c r="AE402" s="1346" t="s">
        <v>736</v>
      </c>
      <c r="AF402" s="161"/>
      <c r="AG402" s="856" t="s">
        <v>885</v>
      </c>
      <c r="AH402" s="857">
        <f>_xlfn.IFERROR(AH395/AH301,0)*1000</f>
        <v>0</v>
      </c>
      <c r="AI402" s="857">
        <f>_xlfn.IFERROR(AI395/AI301,0)*1000</f>
        <v>0</v>
      </c>
      <c r="AJ402" s="857">
        <f>_xlfn.IFERROR(AJ395/AJ301,0)*1000</f>
        <v>0</v>
      </c>
      <c r="AK402" s="857">
        <f>_xlfn.IFERROR(AK395/AK301,0)*1000</f>
        <v>0</v>
      </c>
      <c r="AL402" s="857">
        <f>_xlfn.IFERROR(AL395/AL301,0)*1000</f>
        <v>15373.0166666667</v>
      </c>
      <c r="AM402" s="857">
        <f>_xlfn.IFERROR(AM395/AM301,0)*1000</f>
        <v>15373.0166666667</v>
      </c>
      <c r="AN402" s="857">
        <f>_xlfn.IFERROR(AN395/AN301,0)*1000</f>
        <v>15373.0166666667</v>
      </c>
      <c r="AO402" s="857">
        <f>_xlfn.IFERROR(AO395/AO301,0)*1000</f>
        <v>16229.7333333333</v>
      </c>
      <c r="AP402" s="857">
        <f>_xlfn.IFERROR(AP395/AP301,0)*1000</f>
        <v>16229.7333333333</v>
      </c>
      <c r="AQ402" s="857">
        <f>_xlfn.IFERROR(AQ395/AQ301,0)*1000</f>
        <v>16229.7333333333</v>
      </c>
      <c r="AR402" s="857">
        <f>_xlfn.IFERROR(AR395/AR301,0)*1000</f>
        <v>16843.15</v>
      </c>
      <c r="AS402" s="857">
        <f>_xlfn.IFERROR(AS395/AS301,0)*1000</f>
        <v>16843.15</v>
      </c>
      <c r="AT402" s="857">
        <f>_xlfn.IFERROR(AT395/AT301,0)*1000</f>
        <v>16843.15</v>
      </c>
      <c r="AU402" s="857">
        <f>_xlfn.IFERROR(AU395/AU301,0)*1000</f>
        <v>17480.55</v>
      </c>
      <c r="AV402" s="857">
        <f>_xlfn.IFERROR(AV395/AV301,0)*1000</f>
        <v>17480.55</v>
      </c>
      <c r="AW402" s="857">
        <f>_xlfn.IFERROR(AW395/AW301,0)*1000</f>
        <v>17480.55</v>
      </c>
      <c r="AX402" s="857">
        <f>_xlfn.IFERROR(AX395/AX301,0)*1000</f>
        <v>18145.3833333333</v>
      </c>
      <c r="AY402" s="857">
        <f>_xlfn.IFERROR(AY395/AY301,0)*1000</f>
        <v>18145.3833333333</v>
      </c>
      <c r="AZ402" s="857">
        <f>_xlfn.IFERROR(AZ395/AZ301,0)*1000</f>
        <v>18145.3833333333</v>
      </c>
      <c r="BA402" s="857">
        <f>_xlfn.IFERROR(BA395/BA301,0)*1000</f>
        <v>0</v>
      </c>
      <c r="BB402" s="857">
        <f>_xlfn.IFERROR(BB395/BB301,0)*1000</f>
        <v>0</v>
      </c>
      <c r="BC402" s="857">
        <f>_xlfn.IFERROR(BC395/BC301,0)*1000</f>
        <v>0</v>
      </c>
      <c r="BD402" s="857">
        <f>_xlfn.IFERROR(BD395/BD301,0)*1000</f>
        <v>0</v>
      </c>
      <c r="BE402" s="857">
        <f>_xlfn.IFERROR(BE395/BE301,0)*1000</f>
        <v>0</v>
      </c>
      <c r="BF402" s="857">
        <f>_xlfn.IFERROR(BF395/BF301,0)*1000</f>
        <v>0</v>
      </c>
      <c r="BG402" s="857">
        <f>_xlfn.IFERROR(BG395/BG301,0)*1000</f>
        <v>0</v>
      </c>
      <c r="BH402" s="857">
        <f>_xlfn.IFERROR(BH395/BH301,0)*1000</f>
        <v>0</v>
      </c>
      <c r="BI402" s="857">
        <f>_xlfn.IFERROR(BI395/BI301,0)*1000</f>
        <v>0</v>
      </c>
      <c r="BJ402" s="857">
        <f>_xlfn.IFERROR(BJ395/BJ301,0)*1000</f>
        <v>0</v>
      </c>
      <c r="BK402" s="857">
        <f>_xlfn.IFERROR(BK395/BK301,0)*1000</f>
        <v>0</v>
      </c>
      <c r="BL402" s="857">
        <f>_xlfn.IFERROR(BL395/BL301,0)*1000</f>
        <v>0</v>
      </c>
      <c r="BM402" s="857">
        <f>_xlfn.IFERROR(BM395/BM301,0)*1000</f>
        <v>0</v>
      </c>
      <c r="BN402" s="857">
        <f>_xlfn.IFERROR(BN395/BN301,0)*1000</f>
        <v>0</v>
      </c>
      <c r="BO402" s="857">
        <f>_xlfn.IFERROR(BO395/BO301,0)*1000</f>
        <v>0</v>
      </c>
      <c r="BP402" s="857">
        <f>_xlfn.IFERROR(BP395/BP301,0)*1000</f>
        <v>13293.0471248048</v>
      </c>
      <c r="BQ402" s="857">
        <f>_xlfn.IFERROR(BQ395/BQ301,0)*1000</f>
        <v>13293.0471248048</v>
      </c>
      <c r="BR402" s="857">
        <f>_xlfn.IFERROR(BR395/BR301,0)*1000</f>
        <v>13293.0471248048</v>
      </c>
      <c r="BS402" s="857">
        <f>_xlfn.IFERROR(BS395/BS301,0)*1000</f>
        <v>13877.9474646733</v>
      </c>
      <c r="BT402" s="857">
        <f>_xlfn.IFERROR(BT395/BT301,0)*1000</f>
        <v>13877.9474646733</v>
      </c>
      <c r="BU402" s="857">
        <f>_xlfn.IFERROR(BU395/BU301,0)*1000</f>
        <v>13877.9474646733</v>
      </c>
      <c r="BV402" s="857">
        <f>_xlfn.IFERROR(BV395/BV301,0)*1000</f>
        <v>14252.6438339674</v>
      </c>
      <c r="BW402" s="857">
        <f>_xlfn.IFERROR(BW395/BW301,0)*1000</f>
        <v>14252.6438339674</v>
      </c>
      <c r="BX402" s="857">
        <f>_xlfn.IFERROR(BX395/BX301,0)*1000</f>
        <v>14252.6438339674</v>
      </c>
      <c r="BY402" s="857">
        <f>_xlfn.IFERROR(BY395/BY301,0)*1000</f>
        <v>14637.4653494082</v>
      </c>
      <c r="BZ402" s="857">
        <f>_xlfn.IFERROR(BZ395/BZ301,0)*1000</f>
        <v>14637.4653494082</v>
      </c>
      <c r="CA402" s="857">
        <f>_xlfn.IFERROR(CA395/CA301,0)*1000</f>
        <v>14637.4653494083</v>
      </c>
      <c r="CB402" s="857">
        <f>_xlfn.IFERROR(CB395/CB301,0)*1000</f>
        <v>15032.6758584525</v>
      </c>
      <c r="CC402" s="857">
        <f>_xlfn.IFERROR(CC395/CC301,0)*1000</f>
        <v>15032.6758584524</v>
      </c>
      <c r="CD402" s="857">
        <f>_xlfn.IFERROR(CD395/CD301,0)*1000</f>
        <v>15032.6758584525</v>
      </c>
      <c r="CE402" s="857">
        <f>_xlfn.IFERROR(CE395/CE301,0)*1000</f>
        <v>0</v>
      </c>
      <c r="CF402" s="857">
        <f>_xlfn.IFERROR(CF395/CF301,0)*1000</f>
        <v>0</v>
      </c>
      <c r="CG402" s="857">
        <f>_xlfn.IFERROR(CG395/CG301,0)*1000</f>
        <v>0</v>
      </c>
      <c r="CH402" s="857">
        <f>_xlfn.IFERROR(CH395/CH301,0)*1000</f>
        <v>0</v>
      </c>
      <c r="CI402" s="857">
        <f>_xlfn.IFERROR(CI395/CI301,0)*1000</f>
        <v>0</v>
      </c>
      <c r="CJ402" s="857">
        <f>_xlfn.IFERROR(CJ395/CJ301,0)*1000</f>
        <v>0</v>
      </c>
      <c r="CK402" s="857">
        <f>_xlfn.IFERROR(CK395/CK301,0)*1000</f>
        <v>0</v>
      </c>
      <c r="CL402" s="857">
        <f>_xlfn.IFERROR(CL395/CL301,0)*1000</f>
        <v>0</v>
      </c>
      <c r="CM402" s="857">
        <f>_xlfn.IFERROR(CM395/CM301,0)*1000</f>
        <v>0</v>
      </c>
      <c r="CN402" s="857">
        <f>_xlfn.IFERROR(CN395/CN301,0)*1000</f>
        <v>0</v>
      </c>
      <c r="CO402" s="857">
        <f>_xlfn.IFERROR(CO395/CO301,0)*1000</f>
        <v>0</v>
      </c>
      <c r="CP402" s="857">
        <f>_xlfn.IFERROR(CP395/CP301,0)*1000</f>
        <v>0</v>
      </c>
      <c r="CQ402" s="857">
        <f>_xlfn.IFERROR(CQ395/CQ301,0)*1000</f>
        <v>0</v>
      </c>
      <c r="CR402" s="857">
        <f>_xlfn.IFERROR(CR395/CR301,0)*1000</f>
        <v>0</v>
      </c>
      <c r="CS402" s="857">
        <f>_xlfn.IFERROR(CS395/CS301,0)*1000</f>
        <v>0</v>
      </c>
      <c r="CT402" s="73"/>
      <c r="CU402" s="1619"/>
      <c r="CV402" s="1619"/>
      <c r="CW402" s="1170" t="s">
        <v>887</v>
      </c>
      <c r="CX402" s="1175"/>
      <c r="CY402" s="1175"/>
      <c r="CZ402" s="1175"/>
      <c r="DA402" s="1176"/>
      <c r="DB402" s="1176"/>
    </row>
    <row s="1619" customFormat="1" customHeight="1" ht="16.5" hidden="1">
      <c r="E403" s="794">
        <v>17.1</v>
      </c>
      <c r="F403" s="919" cm="1" t="str">
        <f t="array" ref="F403:F403">OFFSET(G403,-1,-1)</f>
        <v>2</v>
      </c>
      <c r="L403" s="919" cm="1" t="str">
        <f t="array" ref="L403:L403">OFFSET(M403,-1,-1)</f>
        <v>false</v>
      </c>
      <c r="S403" s="156" cm="1" t="str">
        <f t="array" ref="S403:S403">OFFSET(T403,-1,-1)</f>
        <v>true</v>
      </c>
      <c r="T403" s="156">
        <f>AD403&lt;&gt;"41.0"</f>
        <v>0</v>
      </c>
      <c r="U403" s="816">
        <f>AND(S403,IF(ISBLANK(T403),TRUE,T403))</f>
        <v>0</v>
      </c>
      <c r="X403" s="156" t="s">
        <v>233</v>
      </c>
      <c r="AB403" s="1524"/>
      <c r="AD403" s="157" t="s">
        <v>888</v>
      </c>
      <c r="AE403" s="971"/>
      <c r="AF403" s="622"/>
      <c r="AG403" s="856" t="s">
        <v>885</v>
      </c>
      <c r="AH403" s="857">
        <f>_xlfn.IFERROR(AH398/AH302,0)*1000</f>
        <v>0</v>
      </c>
      <c r="AI403" s="857">
        <f>_xlfn.IFERROR(AI398/AI302,0)*1000</f>
        <v>0</v>
      </c>
      <c r="AJ403" s="857">
        <f>_xlfn.IFERROR(AJ398/AJ302,0)*1000</f>
        <v>0</v>
      </c>
      <c r="AK403" s="857">
        <f>_xlfn.IFERROR(AK398/AK302,0)*1000</f>
        <v>0</v>
      </c>
      <c r="AL403" s="857">
        <f>_xlfn.IFERROR(AL398/AL302,0)*1000</f>
        <v>0</v>
      </c>
      <c r="AM403" s="857">
        <f>_xlfn.IFERROR(AM398/AM302,0)*1000</f>
        <v>0</v>
      </c>
      <c r="AN403" s="857">
        <f>_xlfn.IFERROR(AN398/AN302,0)*1000</f>
        <v>0</v>
      </c>
      <c r="AO403" s="857">
        <f>_xlfn.IFERROR(AO398/AO302,0)*1000</f>
        <v>0</v>
      </c>
      <c r="AP403" s="857">
        <f>_xlfn.IFERROR(AP398/AP302,0)*1000</f>
        <v>0</v>
      </c>
      <c r="AQ403" s="857">
        <f>_xlfn.IFERROR(AQ398/AQ302,0)*1000</f>
        <v>0</v>
      </c>
      <c r="AR403" s="857">
        <f>_xlfn.IFERROR(AR398/AR302,0)*1000</f>
        <v>0</v>
      </c>
      <c r="AS403" s="857">
        <f>_xlfn.IFERROR(AS398/AS302,0)*1000</f>
        <v>0</v>
      </c>
      <c r="AT403" s="857">
        <f>_xlfn.IFERROR(AT398/AT302,0)*1000</f>
        <v>0</v>
      </c>
      <c r="AU403" s="857">
        <f>_xlfn.IFERROR(AU398/AU302,0)*1000</f>
        <v>0</v>
      </c>
      <c r="AV403" s="857">
        <f>_xlfn.IFERROR(AV398/AV302,0)*1000</f>
        <v>0</v>
      </c>
      <c r="AW403" s="857">
        <f>_xlfn.IFERROR(AW398/AW302,0)*1000</f>
        <v>0</v>
      </c>
      <c r="AX403" s="857">
        <f>_xlfn.IFERROR(AX398/AX302,0)*1000</f>
        <v>0</v>
      </c>
      <c r="AY403" s="857">
        <f>_xlfn.IFERROR(AY398/AY302,0)*1000</f>
        <v>0</v>
      </c>
      <c r="AZ403" s="857">
        <f>_xlfn.IFERROR(AZ398/AZ302,0)*1000</f>
        <v>0</v>
      </c>
      <c r="BA403" s="857">
        <f>_xlfn.IFERROR(BA398/BA302,0)*1000</f>
        <v>0</v>
      </c>
      <c r="BB403" s="857">
        <f>_xlfn.IFERROR(BB398/BB302,0)*1000</f>
        <v>0</v>
      </c>
      <c r="BC403" s="857">
        <f>_xlfn.IFERROR(BC398/BC302,0)*1000</f>
        <v>0</v>
      </c>
      <c r="BD403" s="857">
        <f>_xlfn.IFERROR(BD398/BD302,0)*1000</f>
        <v>0</v>
      </c>
      <c r="BE403" s="857">
        <f>_xlfn.IFERROR(BE398/BE302,0)*1000</f>
        <v>0</v>
      </c>
      <c r="BF403" s="857">
        <f>_xlfn.IFERROR(BF398/BF302,0)*1000</f>
        <v>0</v>
      </c>
      <c r="BG403" s="857">
        <f>_xlfn.IFERROR(BG398/BG302,0)*1000</f>
        <v>0</v>
      </c>
      <c r="BH403" s="857">
        <f>_xlfn.IFERROR(BH398/BH302,0)*1000</f>
        <v>0</v>
      </c>
      <c r="BI403" s="857">
        <f>_xlfn.IFERROR(BI398/BI302,0)*1000</f>
        <v>0</v>
      </c>
      <c r="BJ403" s="857">
        <f>_xlfn.IFERROR(BJ398/BJ302,0)*1000</f>
        <v>0</v>
      </c>
      <c r="BK403" s="857">
        <f>_xlfn.IFERROR(BK398/BK302,0)*1000</f>
        <v>0</v>
      </c>
      <c r="BL403" s="857">
        <f>_xlfn.IFERROR(BL398/BL302,0)*1000</f>
        <v>0</v>
      </c>
      <c r="BM403" s="857">
        <f>_xlfn.IFERROR(BM398/BM302,0)*1000</f>
        <v>0</v>
      </c>
      <c r="BN403" s="857">
        <f>_xlfn.IFERROR(BN398/BN302,0)*1000</f>
        <v>0</v>
      </c>
      <c r="BO403" s="857">
        <f>_xlfn.IFERROR(BO398/BO302,0)*1000</f>
        <v>0</v>
      </c>
      <c r="BP403" s="857">
        <f>_xlfn.IFERROR(BP398/BP302,0)*1000</f>
        <v>0</v>
      </c>
      <c r="BQ403" s="857">
        <f>_xlfn.IFERROR(BQ398/BQ302,0)*1000</f>
        <v>0</v>
      </c>
      <c r="BR403" s="857">
        <f>_xlfn.IFERROR(BR398/BR302,0)*1000</f>
        <v>0</v>
      </c>
      <c r="BS403" s="857">
        <f>_xlfn.IFERROR(BS398/BS302,0)*1000</f>
        <v>0</v>
      </c>
      <c r="BT403" s="857">
        <f>_xlfn.IFERROR(BT398/BT302,0)*1000</f>
        <v>0</v>
      </c>
      <c r="BU403" s="857">
        <f>_xlfn.IFERROR(BU398/BU302,0)*1000</f>
        <v>0</v>
      </c>
      <c r="BV403" s="857">
        <f>_xlfn.IFERROR(BV398/BV302,0)*1000</f>
        <v>0</v>
      </c>
      <c r="BW403" s="857">
        <f>_xlfn.IFERROR(BW398/BW302,0)*1000</f>
        <v>0</v>
      </c>
      <c r="BX403" s="857">
        <f>_xlfn.IFERROR(BX398/BX302,0)*1000</f>
        <v>0</v>
      </c>
      <c r="BY403" s="857">
        <f>_xlfn.IFERROR(BY398/BY302,0)*1000</f>
        <v>0</v>
      </c>
      <c r="BZ403" s="857">
        <f>_xlfn.IFERROR(BZ398/BZ302,0)*1000</f>
        <v>0</v>
      </c>
      <c r="CA403" s="857">
        <f>_xlfn.IFERROR(CA398/CA302,0)*1000</f>
        <v>0</v>
      </c>
      <c r="CB403" s="857">
        <f>_xlfn.IFERROR(CB398/CB302,0)*1000</f>
        <v>0</v>
      </c>
      <c r="CC403" s="857">
        <f>_xlfn.IFERROR(CC398/CC302,0)*1000</f>
        <v>0</v>
      </c>
      <c r="CD403" s="857">
        <f>_xlfn.IFERROR(CD398/CD302,0)*1000</f>
        <v>0</v>
      </c>
      <c r="CE403" s="857">
        <f>_xlfn.IFERROR(CE398/CE302,0)*1000</f>
        <v>0</v>
      </c>
      <c r="CF403" s="857">
        <f>_xlfn.IFERROR(CF398/CF302,0)*1000</f>
        <v>0</v>
      </c>
      <c r="CG403" s="857">
        <f>_xlfn.IFERROR(CG398/CG302,0)*1000</f>
        <v>0</v>
      </c>
      <c r="CH403" s="857">
        <f>_xlfn.IFERROR(CH398/CH302,0)*1000</f>
        <v>0</v>
      </c>
      <c r="CI403" s="857">
        <f>_xlfn.IFERROR(CI398/CI302,0)*1000</f>
        <v>0</v>
      </c>
      <c r="CJ403" s="857">
        <f>_xlfn.IFERROR(CJ398/CJ302,0)*1000</f>
        <v>0</v>
      </c>
      <c r="CK403" s="857">
        <f>_xlfn.IFERROR(CK398/CK302,0)*1000</f>
        <v>0</v>
      </c>
      <c r="CL403" s="857">
        <f>_xlfn.IFERROR(CL398/CL302,0)*1000</f>
        <v>0</v>
      </c>
      <c r="CM403" s="857">
        <f>_xlfn.IFERROR(CM398/CM302,0)*1000</f>
        <v>0</v>
      </c>
      <c r="CN403" s="857">
        <f>_xlfn.IFERROR(CN398/CN302,0)*1000</f>
        <v>0</v>
      </c>
      <c r="CO403" s="857">
        <f>_xlfn.IFERROR(CO398/CO302,0)*1000</f>
        <v>0</v>
      </c>
      <c r="CP403" s="857">
        <f>_xlfn.IFERROR(CP398/CP302,0)*1000</f>
        <v>0</v>
      </c>
      <c r="CQ403" s="857">
        <f>_xlfn.IFERROR(CQ398/CQ302,0)*1000</f>
        <v>0</v>
      </c>
      <c r="CR403" s="857">
        <f>_xlfn.IFERROR(CR398/CR302,0)*1000</f>
        <v>0</v>
      </c>
      <c r="CS403" s="857">
        <f>_xlfn.IFERROR(CS398/CS302,0)*1000</f>
        <v>0</v>
      </c>
      <c r="CT403" s="73"/>
      <c r="CW403" s="1170" t="s">
        <v>887</v>
      </c>
      <c r="CX403" s="1175" t="s">
        <v>787</v>
      </c>
      <c r="CY403" s="1179" cm="1" t="str">
        <f t="array" ref="CY403:CY403">AE403</f>
        <v>0</v>
      </c>
      <c r="CZ403" s="1179" cm="1" t="str">
        <f t="array" ref="CZ403:CZ403">AF403</f>
        <v>0</v>
      </c>
      <c r="DA403" s="1176"/>
      <c r="DB403" s="1176"/>
    </row>
    <row s="1619" customFormat="1" customHeight="1" ht="16.5">
      <c r="A404" s="1619"/>
      <c r="B404" s="1619"/>
      <c r="C404" s="1619"/>
      <c r="D404" s="1619"/>
      <c r="E404" s="794">
        <v>17.1</v>
      </c>
      <c r="F404" s="919" cm="1" t="str">
        <f t="array" ref="F404:F404">OFFSET(G404,-1,-1)</f>
        <v>2</v>
      </c>
      <c r="G404" s="1619"/>
      <c r="H404" s="1619"/>
      <c r="I404" s="1619"/>
      <c r="J404" s="1619"/>
      <c r="K404" s="1619"/>
      <c r="L404" s="919" cm="1" t="str">
        <f t="array" ref="L404:L404">OFFSET(M404,-1,-1)</f>
        <v>false</v>
      </c>
      <c r="M404" s="1619"/>
      <c r="N404" s="1619"/>
      <c r="O404" s="1619"/>
      <c r="P404" s="1619"/>
      <c r="Q404" s="1619"/>
      <c r="R404" s="1619"/>
      <c r="S404" s="156" cm="1" t="str">
        <f t="array" ref="S404:S404">OFFSET(T404,-1,-1)</f>
        <v>true</v>
      </c>
      <c r="T404" s="156">
        <f>AD404&lt;&gt;"41.0"</f>
        <v>1</v>
      </c>
      <c r="U404" s="816">
        <f>AND(S404,IF(ISBLANK(T404),TRUE,T404))</f>
        <v>1</v>
      </c>
      <c r="V404" s="1619"/>
      <c r="W404" s="1619"/>
      <c r="X404" s="156" t="str">
        <f>'Топливо 4.4'!$AE$399&amp;'Топливо 4.4'!$AF$399</f>
        <v>Уголь бурыйБ</v>
      </c>
      <c r="Y404" s="1619"/>
      <c r="Z404" s="1619"/>
      <c r="AA404" s="1619"/>
      <c r="AB404" s="1524"/>
      <c r="AC404" s="1619"/>
      <c r="AD404" s="157" t="s">
        <v>921</v>
      </c>
      <c r="AE404" s="971" cm="1" t="str">
        <f t="array" ref="AE404:AE404">IF(ISBLANK('Топливо 4.4'!$AE$399),"",'Топливо 4.4'!$AE$399)</f>
        <v>Уголь бурый</v>
      </c>
      <c r="AF404" s="622" cm="1" t="str">
        <f t="array" ref="AF404:AF404">IF(ISBLANK('Топливо 4.4'!$AF$399),"",'Топливо 4.4'!$AF$399)</f>
        <v>Б</v>
      </c>
      <c r="AG404" s="856" t="s">
        <v>885</v>
      </c>
      <c r="AH404" s="857">
        <f>_xlfn.IFERROR(AH399/AH303,0)*1000</f>
        <v>0</v>
      </c>
      <c r="AI404" s="857">
        <f>_xlfn.IFERROR(AI399/AI303,0)*1000</f>
        <v>0</v>
      </c>
      <c r="AJ404" s="857">
        <f>_xlfn.IFERROR(AJ399/AJ303,0)*1000</f>
        <v>0</v>
      </c>
      <c r="AK404" s="857">
        <f>_xlfn.IFERROR(AK399/AK303,0)*1000</f>
        <v>0</v>
      </c>
      <c r="AL404" s="857">
        <f>_xlfn.IFERROR(AL399/AL303,0)*1000</f>
        <v>15373.0166666667</v>
      </c>
      <c r="AM404" s="857">
        <f>_xlfn.IFERROR(AM399/AM303,0)*1000</f>
        <v>15373.0166666667</v>
      </c>
      <c r="AN404" s="857">
        <f>_xlfn.IFERROR(AN399/AN303,0)*1000</f>
        <v>15373.0166666667</v>
      </c>
      <c r="AO404" s="857">
        <f>_xlfn.IFERROR(AO399/AO303,0)*1000</f>
        <v>16229.7333333333</v>
      </c>
      <c r="AP404" s="857">
        <f>_xlfn.IFERROR(AP399/AP303,0)*1000</f>
        <v>16229.7333333333</v>
      </c>
      <c r="AQ404" s="857">
        <f>_xlfn.IFERROR(AQ399/AQ303,0)*1000</f>
        <v>16229.7333333333</v>
      </c>
      <c r="AR404" s="857">
        <f>_xlfn.IFERROR(AR399/AR303,0)*1000</f>
        <v>16843.15</v>
      </c>
      <c r="AS404" s="857">
        <f>_xlfn.IFERROR(AS399/AS303,0)*1000</f>
        <v>16843.15</v>
      </c>
      <c r="AT404" s="857">
        <f>_xlfn.IFERROR(AT399/AT303,0)*1000</f>
        <v>16843.15</v>
      </c>
      <c r="AU404" s="857">
        <f>_xlfn.IFERROR(AU399/AU303,0)*1000</f>
        <v>17480.55</v>
      </c>
      <c r="AV404" s="857">
        <f>_xlfn.IFERROR(AV399/AV303,0)*1000</f>
        <v>17480.55</v>
      </c>
      <c r="AW404" s="857">
        <f>_xlfn.IFERROR(AW399/AW303,0)*1000</f>
        <v>17480.55</v>
      </c>
      <c r="AX404" s="857">
        <f>_xlfn.IFERROR(AX399/AX303,0)*1000</f>
        <v>18145.3833333333</v>
      </c>
      <c r="AY404" s="857">
        <f>_xlfn.IFERROR(AY399/AY303,0)*1000</f>
        <v>18145.3833333333</v>
      </c>
      <c r="AZ404" s="857">
        <f>_xlfn.IFERROR(AZ399/AZ303,0)*1000</f>
        <v>18145.3833333333</v>
      </c>
      <c r="BA404" s="857">
        <f>_xlfn.IFERROR(BA399/BA303,0)*1000</f>
        <v>0</v>
      </c>
      <c r="BB404" s="857">
        <f>_xlfn.IFERROR(BB399/BB303,0)*1000</f>
        <v>0</v>
      </c>
      <c r="BC404" s="857">
        <f>_xlfn.IFERROR(BC399/BC303,0)*1000</f>
        <v>0</v>
      </c>
      <c r="BD404" s="857">
        <f>_xlfn.IFERROR(BD399/BD303,0)*1000</f>
        <v>0</v>
      </c>
      <c r="BE404" s="857">
        <f>_xlfn.IFERROR(BE399/BE303,0)*1000</f>
        <v>0</v>
      </c>
      <c r="BF404" s="857">
        <f>_xlfn.IFERROR(BF399/BF303,0)*1000</f>
        <v>0</v>
      </c>
      <c r="BG404" s="857">
        <f>_xlfn.IFERROR(BG399/BG303,0)*1000</f>
        <v>0</v>
      </c>
      <c r="BH404" s="857">
        <f>_xlfn.IFERROR(BH399/BH303,0)*1000</f>
        <v>0</v>
      </c>
      <c r="BI404" s="857">
        <f>_xlfn.IFERROR(BI399/BI303,0)*1000</f>
        <v>0</v>
      </c>
      <c r="BJ404" s="857">
        <f>_xlfn.IFERROR(BJ399/BJ303,0)*1000</f>
        <v>0</v>
      </c>
      <c r="BK404" s="857">
        <f>_xlfn.IFERROR(BK399/BK303,0)*1000</f>
        <v>0</v>
      </c>
      <c r="BL404" s="857">
        <f>_xlfn.IFERROR(BL399/BL303,0)*1000</f>
        <v>0</v>
      </c>
      <c r="BM404" s="857">
        <f>_xlfn.IFERROR(BM399/BM303,0)*1000</f>
        <v>0</v>
      </c>
      <c r="BN404" s="857">
        <f>_xlfn.IFERROR(BN399/BN303,0)*1000</f>
        <v>0</v>
      </c>
      <c r="BO404" s="857">
        <f>_xlfn.IFERROR(BO399/BO303,0)*1000</f>
        <v>0</v>
      </c>
      <c r="BP404" s="857">
        <f>_xlfn.IFERROR(BP399/BP303,0)*1000</f>
        <v>13293.0471248048</v>
      </c>
      <c r="BQ404" s="857">
        <f>_xlfn.IFERROR(BQ399/BQ303,0)*1000</f>
        <v>13293.0471248048</v>
      </c>
      <c r="BR404" s="857">
        <f>_xlfn.IFERROR(BR399/BR303,0)*1000</f>
        <v>13293.0471248048</v>
      </c>
      <c r="BS404" s="857">
        <f>_xlfn.IFERROR(BS399/BS303,0)*1000</f>
        <v>13877.9474646733</v>
      </c>
      <c r="BT404" s="857">
        <f>_xlfn.IFERROR(BT399/BT303,0)*1000</f>
        <v>13877.9474646733</v>
      </c>
      <c r="BU404" s="857">
        <f>_xlfn.IFERROR(BU399/BU303,0)*1000</f>
        <v>13877.9474646733</v>
      </c>
      <c r="BV404" s="857">
        <f>_xlfn.IFERROR(BV399/BV303,0)*1000</f>
        <v>14252.6438339674</v>
      </c>
      <c r="BW404" s="857">
        <f>_xlfn.IFERROR(BW399/BW303,0)*1000</f>
        <v>14252.6438339674</v>
      </c>
      <c r="BX404" s="857">
        <f>_xlfn.IFERROR(BX399/BX303,0)*1000</f>
        <v>14252.6438339674</v>
      </c>
      <c r="BY404" s="857">
        <f>_xlfn.IFERROR(BY399/BY303,0)*1000</f>
        <v>14637.4653494082</v>
      </c>
      <c r="BZ404" s="857">
        <f>_xlfn.IFERROR(BZ399/BZ303,0)*1000</f>
        <v>14637.4653494082</v>
      </c>
      <c r="CA404" s="857">
        <f>_xlfn.IFERROR(CA399/CA303,0)*1000</f>
        <v>14637.4653494083</v>
      </c>
      <c r="CB404" s="857">
        <f>_xlfn.IFERROR(CB399/CB303,0)*1000</f>
        <v>15032.6758584525</v>
      </c>
      <c r="CC404" s="857">
        <f>_xlfn.IFERROR(CC399/CC303,0)*1000</f>
        <v>15032.6758584524</v>
      </c>
      <c r="CD404" s="857">
        <f>_xlfn.IFERROR(CD399/CD303,0)*1000</f>
        <v>15032.6758584525</v>
      </c>
      <c r="CE404" s="857">
        <f>_xlfn.IFERROR(CE399/CE303,0)*1000</f>
        <v>0</v>
      </c>
      <c r="CF404" s="857">
        <f>_xlfn.IFERROR(CF399/CF303,0)*1000</f>
        <v>0</v>
      </c>
      <c r="CG404" s="857">
        <f>_xlfn.IFERROR(CG399/CG303,0)*1000</f>
        <v>0</v>
      </c>
      <c r="CH404" s="857">
        <f>_xlfn.IFERROR(CH399/CH303,0)*1000</f>
        <v>0</v>
      </c>
      <c r="CI404" s="857">
        <f>_xlfn.IFERROR(CI399/CI303,0)*1000</f>
        <v>0</v>
      </c>
      <c r="CJ404" s="857">
        <f>_xlfn.IFERROR(CJ399/CJ303,0)*1000</f>
        <v>0</v>
      </c>
      <c r="CK404" s="857">
        <f>_xlfn.IFERROR(CK399/CK303,0)*1000</f>
        <v>0</v>
      </c>
      <c r="CL404" s="857">
        <f>_xlfn.IFERROR(CL399/CL303,0)*1000</f>
        <v>0</v>
      </c>
      <c r="CM404" s="857">
        <f>_xlfn.IFERROR(CM399/CM303,0)*1000</f>
        <v>0</v>
      </c>
      <c r="CN404" s="857">
        <f>_xlfn.IFERROR(CN399/CN303,0)*1000</f>
        <v>0</v>
      </c>
      <c r="CO404" s="857">
        <f>_xlfn.IFERROR(CO399/CO303,0)*1000</f>
        <v>0</v>
      </c>
      <c r="CP404" s="857">
        <f>_xlfn.IFERROR(CP399/CP303,0)*1000</f>
        <v>0</v>
      </c>
      <c r="CQ404" s="857">
        <f>_xlfn.IFERROR(CQ399/CQ303,0)*1000</f>
        <v>0</v>
      </c>
      <c r="CR404" s="857">
        <f>_xlfn.IFERROR(CR399/CR303,0)*1000</f>
        <v>0</v>
      </c>
      <c r="CS404" s="857">
        <f>_xlfn.IFERROR(CS399/CS303,0)*1000</f>
        <v>0</v>
      </c>
      <c r="CT404" s="1730"/>
      <c r="CU404" s="1619"/>
      <c r="CV404" s="1619"/>
      <c r="CW404" s="1170" t="s">
        <v>887</v>
      </c>
      <c r="CX404" s="1175" t="s">
        <v>787</v>
      </c>
      <c r="CY404" s="1179" cm="1" t="str">
        <f t="array" ref="CY404:CY404">AE404</f>
        <v>Уголь бурый</v>
      </c>
      <c r="CZ404" s="1179" cm="1" t="str">
        <f t="array" ref="CZ404:CZ404">AF404</f>
        <v>Б</v>
      </c>
      <c r="DA404" s="1176"/>
      <c r="DB404" s="1176"/>
    </row>
    <row s="1619" customFormat="1" customHeight="1" ht="15" hidden="1">
      <c r="A405" s="1440"/>
      <c r="B405" s="924"/>
      <c r="C405" s="1440"/>
      <c r="D405" s="1440"/>
      <c r="E405" s="794">
        <v>0</v>
      </c>
      <c r="F405" s="919" cm="1" t="str">
        <f t="array" ref="F405:F405">OFFSET(G405,-1,-1)</f>
        <v>2</v>
      </c>
      <c r="G405" s="962"/>
      <c r="H405" s="962"/>
      <c r="I405" s="962"/>
      <c r="J405" s="962"/>
      <c r="K405" s="962"/>
      <c r="L405" s="919" cm="1" t="str">
        <f t="array" ref="L405:L405">OFFSET(M405,-1,-1)</f>
        <v>false</v>
      </c>
      <c r="M405" s="962"/>
      <c r="N405" s="962"/>
      <c r="O405" s="962"/>
      <c r="P405" s="962"/>
      <c r="Q405" s="962"/>
      <c r="R405" s="1440"/>
      <c r="S405" s="156" cm="1" t="str">
        <f t="array" ref="S405:S405">OFFSET(T405,-1,-1)</f>
        <v>true</v>
      </c>
      <c r="T405" s="1440"/>
      <c r="U405" s="816">
        <f>AND(S405,IF(ISBLANK(T405),TRUE,T405))</f>
        <v>1</v>
      </c>
      <c r="V405" s="1440"/>
      <c r="W405" s="1440"/>
      <c r="X405" s="970" t="str">
        <f>"{                  
         funcDyn: 'msg1',
         blok: 'blok_2',
         wsCross: 'Топливо 4.4',
         linkFormula: 'AE-AE#AF-AF',
         levelDyn: "&amp;Y275&amp;"
}"</f>
        <v>{                  
         funcDyn: 'msg1',
         blok: 'blok_2',
         wsCross: 'Топливо 4.4',
         linkFormula: 'AE-AE#AF-AF',
         levelDyn: 2
}</v>
      </c>
      <c r="Y405" s="1440"/>
      <c r="Z405" s="1440"/>
      <c r="AA405" s="817"/>
      <c r="AB405" s="1524"/>
      <c r="AC405" s="1619"/>
      <c r="AD405" s="973"/>
      <c r="AE405" s="972" t="s">
        <v>235</v>
      </c>
      <c r="AF405" s="871"/>
      <c r="AG405" s="856"/>
      <c r="AH405" s="858"/>
      <c r="AI405" s="860"/>
      <c r="AJ405" s="860"/>
      <c r="AK405" s="860"/>
      <c r="AL405" s="860"/>
      <c r="AM405" s="860"/>
      <c r="AN405" s="860"/>
      <c r="AO405" s="860"/>
      <c r="AP405" s="860"/>
      <c r="AQ405" s="860"/>
      <c r="AR405" s="860"/>
      <c r="AS405" s="860"/>
      <c r="AT405" s="860"/>
      <c r="AU405" s="860"/>
      <c r="AV405" s="860"/>
      <c r="AW405" s="860"/>
      <c r="AX405" s="860"/>
      <c r="AY405" s="860"/>
      <c r="AZ405" s="860"/>
      <c r="BA405" s="860"/>
      <c r="BB405" s="860"/>
      <c r="BC405" s="860"/>
      <c r="BD405" s="860"/>
      <c r="BE405" s="860"/>
      <c r="BF405" s="860"/>
      <c r="BG405" s="860"/>
      <c r="BH405" s="860"/>
      <c r="BI405" s="860"/>
      <c r="BJ405" s="860"/>
      <c r="BK405" s="860"/>
      <c r="BL405" s="860"/>
      <c r="BM405" s="860"/>
      <c r="BN405" s="860"/>
      <c r="BO405" s="860"/>
      <c r="BP405" s="860"/>
      <c r="BQ405" s="860"/>
      <c r="BR405" s="860"/>
      <c r="BS405" s="860"/>
      <c r="BT405" s="860"/>
      <c r="BU405" s="860"/>
      <c r="BV405" s="860"/>
      <c r="BW405" s="860"/>
      <c r="BX405" s="860"/>
      <c r="BY405" s="860"/>
      <c r="BZ405" s="860"/>
      <c r="CA405" s="860"/>
      <c r="CB405" s="860"/>
      <c r="CC405" s="860"/>
      <c r="CD405" s="860"/>
      <c r="CE405" s="860"/>
      <c r="CF405" s="860"/>
      <c r="CG405" s="860"/>
      <c r="CH405" s="860"/>
      <c r="CI405" s="860"/>
      <c r="CJ405" s="860"/>
      <c r="CK405" s="860"/>
      <c r="CL405" s="860"/>
      <c r="CM405" s="860"/>
      <c r="CN405" s="860"/>
      <c r="CO405" s="860"/>
      <c r="CP405" s="860"/>
      <c r="CQ405" s="860"/>
      <c r="CR405" s="860"/>
      <c r="CS405" s="860"/>
      <c r="CT405" s="91"/>
      <c r="CU405" s="1619"/>
      <c r="CV405" s="1619"/>
      <c r="CW405" s="1170" t="str">
        <f>IF(AND(ISNUMBER(VALUE(TRIM(SUBSTITUTE(AD405,".","")))),TRIM(SUBSTITUTE(AD405,".",""))&lt;&gt;""),"P"&amp;SUBSTITUTE(AD405,".",""),"")</f>
        <v/>
      </c>
      <c r="CX405" s="1175"/>
      <c r="CY405" s="1175"/>
      <c r="CZ405" s="1175"/>
      <c r="DA405" s="1176"/>
      <c r="DB405" s="1176"/>
    </row>
    <row s="1619" customFormat="1" customHeight="1" ht="16.5">
      <c r="A406" s="1440"/>
      <c r="B406" s="924"/>
      <c r="C406" s="1440"/>
      <c r="D406" s="1440"/>
      <c r="E406" s="794">
        <v>17.1</v>
      </c>
      <c r="F406" s="919" cm="1" t="str">
        <f t="array" ref="F406:F406">OFFSET(G406,-1,-1)</f>
        <v>2</v>
      </c>
      <c r="G406" s="962"/>
      <c r="H406" s="962"/>
      <c r="I406" s="962"/>
      <c r="J406" s="962"/>
      <c r="K406" s="962"/>
      <c r="L406" s="919" cm="1" t="str">
        <f t="array" ref="L406:L406">OFFSET(M406,-1,-1)</f>
        <v>false</v>
      </c>
      <c r="M406" s="962"/>
      <c r="N406" s="962"/>
      <c r="O406" s="962"/>
      <c r="P406" s="962"/>
      <c r="Q406" s="962"/>
      <c r="R406" s="1440"/>
      <c r="S406" s="156" cm="1" t="str">
        <f t="array" ref="S406:S406">OFFSET(T406,-1,-1)</f>
        <v>true</v>
      </c>
      <c r="T406" s="1440"/>
      <c r="U406" s="816">
        <f>AND(S406,IF(ISBLANK(T406),TRUE,T406))</f>
        <v>1</v>
      </c>
      <c r="V406" s="1440"/>
      <c r="W406" s="1440"/>
      <c r="X406" s="1440"/>
      <c r="Y406" s="1440"/>
      <c r="Z406" s="1440"/>
      <c r="AA406" s="817"/>
      <c r="AB406" s="1524"/>
      <c r="AC406" s="1619"/>
      <c r="AD406" s="170" t="s">
        <v>889</v>
      </c>
      <c r="AE406" s="1494" t="s">
        <v>890</v>
      </c>
      <c r="AF406" s="320"/>
      <c r="AG406" s="1007"/>
      <c r="AH406" s="858"/>
      <c r="AI406" s="860"/>
      <c r="AJ406" s="860"/>
      <c r="AK406" s="860"/>
      <c r="AL406" s="860"/>
      <c r="AM406" s="860"/>
      <c r="AN406" s="860"/>
      <c r="AO406" s="860"/>
      <c r="AP406" s="860"/>
      <c r="AQ406" s="860"/>
      <c r="AR406" s="860"/>
      <c r="AS406" s="860"/>
      <c r="AT406" s="860"/>
      <c r="AU406" s="860"/>
      <c r="AV406" s="860"/>
      <c r="AW406" s="860"/>
      <c r="AX406" s="860"/>
      <c r="AY406" s="860"/>
      <c r="AZ406" s="860"/>
      <c r="BA406" s="860"/>
      <c r="BB406" s="860"/>
      <c r="BC406" s="860"/>
      <c r="BD406" s="860"/>
      <c r="BE406" s="860"/>
      <c r="BF406" s="860"/>
      <c r="BG406" s="860"/>
      <c r="BH406" s="860"/>
      <c r="BI406" s="860"/>
      <c r="BJ406" s="860"/>
      <c r="BK406" s="860"/>
      <c r="BL406" s="860"/>
      <c r="BM406" s="860"/>
      <c r="BN406" s="860"/>
      <c r="BO406" s="860"/>
      <c r="BP406" s="860"/>
      <c r="BQ406" s="860"/>
      <c r="BR406" s="860"/>
      <c r="BS406" s="860"/>
      <c r="BT406" s="860"/>
      <c r="BU406" s="860"/>
      <c r="BV406" s="860"/>
      <c r="BW406" s="860"/>
      <c r="BX406" s="860"/>
      <c r="BY406" s="860"/>
      <c r="BZ406" s="860"/>
      <c r="CA406" s="860"/>
      <c r="CB406" s="860"/>
      <c r="CC406" s="860"/>
      <c r="CD406" s="860"/>
      <c r="CE406" s="860"/>
      <c r="CF406" s="860"/>
      <c r="CG406" s="860"/>
      <c r="CH406" s="860"/>
      <c r="CI406" s="860"/>
      <c r="CJ406" s="860"/>
      <c r="CK406" s="860"/>
      <c r="CL406" s="860"/>
      <c r="CM406" s="860"/>
      <c r="CN406" s="860"/>
      <c r="CO406" s="860"/>
      <c r="CP406" s="860"/>
      <c r="CQ406" s="860"/>
      <c r="CR406" s="860"/>
      <c r="CS406" s="860"/>
      <c r="CT406" s="1730"/>
      <c r="CU406" s="1619"/>
      <c r="CV406" s="1619"/>
      <c r="CW406" s="1170" t="s">
        <v>891</v>
      </c>
      <c r="CX406" s="1175"/>
      <c r="CY406" s="1175"/>
      <c r="CZ406" s="1175"/>
      <c r="DA406" s="1176"/>
      <c r="DB406" s="1176"/>
    </row>
    <row s="1619" customFormat="1" customHeight="1" ht="16.5" hidden="1">
      <c r="E407" s="794">
        <v>17.1</v>
      </c>
      <c r="F407" s="919" cm="1" t="str">
        <f t="array" ref="F407:F407">OFFSET(G407,-1,-1)</f>
        <v>2</v>
      </c>
      <c r="L407" s="919" cm="1" t="str">
        <f t="array" ref="L407:L407">OFFSET(M407,-1,-1)</f>
        <v>false</v>
      </c>
      <c r="S407" s="156" cm="1" t="str">
        <f t="array" ref="S407:S407">OFFSET(T407,-1,-1)</f>
        <v>true</v>
      </c>
      <c r="T407" s="156">
        <f>AD407&lt;&gt;"42.0"</f>
        <v>0</v>
      </c>
      <c r="U407" s="816">
        <f>AND(S407,IF(ISBLANK(T407),TRUE,T407))</f>
        <v>0</v>
      </c>
      <c r="X407" s="156" t="s">
        <v>233</v>
      </c>
      <c r="AB407" s="1524"/>
      <c r="AD407" s="157" t="s">
        <v>892</v>
      </c>
      <c r="AE407" s="971"/>
      <c r="AF407" s="622"/>
      <c r="AG407" s="1067" t="str">
        <f>"руб./"&amp;_xlfn.IFERROR(INDEX(fuel_ed_izm_list,MATCH(AE407,fuel_list,0)),"")</f>
        <v>руб./</v>
      </c>
      <c r="AH407" s="1141">
        <f>_xlfn.IFERROR(AH398/AH314,0)*1000</f>
        <v>0</v>
      </c>
      <c r="AI407" s="1141">
        <f>_xlfn.IFERROR(AI398/AI314,0)*1000</f>
        <v>0</v>
      </c>
      <c r="AJ407" s="1141">
        <f>_xlfn.IFERROR(AJ398/AJ314,0)*1000</f>
        <v>0</v>
      </c>
      <c r="AK407" s="1141">
        <f>_xlfn.IFERROR(AK398/AK314,0)*1000</f>
        <v>0</v>
      </c>
      <c r="AL407" s="1141">
        <f>_xlfn.IFERROR(AL398/AL314,0)*1000</f>
        <v>0</v>
      </c>
      <c r="AM407" s="1141">
        <f>_xlfn.IFERROR(AM398/AM314,0)*1000</f>
        <v>0</v>
      </c>
      <c r="AN407" s="1141">
        <f>_xlfn.IFERROR(AN398/AN314,0)*1000</f>
        <v>0</v>
      </c>
      <c r="AO407" s="1141">
        <f>_xlfn.IFERROR(AO398/AO314,0)*1000</f>
        <v>0</v>
      </c>
      <c r="AP407" s="1141">
        <f>_xlfn.IFERROR(AP398/AP314,0)*1000</f>
        <v>0</v>
      </c>
      <c r="AQ407" s="1141">
        <f>_xlfn.IFERROR(AQ398/AQ314,0)*1000</f>
        <v>0</v>
      </c>
      <c r="AR407" s="1141">
        <f>_xlfn.IFERROR(AR398/AR314,0)*1000</f>
        <v>0</v>
      </c>
      <c r="AS407" s="1141">
        <f>_xlfn.IFERROR(AS398/AS314,0)*1000</f>
        <v>0</v>
      </c>
      <c r="AT407" s="1141">
        <f>_xlfn.IFERROR(AT398/AT314,0)*1000</f>
        <v>0</v>
      </c>
      <c r="AU407" s="1141">
        <f>_xlfn.IFERROR(AU398/AU314,0)*1000</f>
        <v>0</v>
      </c>
      <c r="AV407" s="1141">
        <f>_xlfn.IFERROR(AV398/AV314,0)*1000</f>
        <v>0</v>
      </c>
      <c r="AW407" s="1141">
        <f>_xlfn.IFERROR(AW398/AW314,0)*1000</f>
        <v>0</v>
      </c>
      <c r="AX407" s="1141">
        <f>_xlfn.IFERROR(AX398/AX314,0)*1000</f>
        <v>0</v>
      </c>
      <c r="AY407" s="1141">
        <f>_xlfn.IFERROR(AY398/AY314,0)*1000</f>
        <v>0</v>
      </c>
      <c r="AZ407" s="1141">
        <f>_xlfn.IFERROR(AZ398/AZ314,0)*1000</f>
        <v>0</v>
      </c>
      <c r="BA407" s="1141">
        <f>_xlfn.IFERROR(BA398/BA314,0)*1000</f>
        <v>0</v>
      </c>
      <c r="BB407" s="1141">
        <f>_xlfn.IFERROR(BB398/BB314,0)*1000</f>
        <v>0</v>
      </c>
      <c r="BC407" s="1141">
        <f>_xlfn.IFERROR(BC398/BC314,0)*1000</f>
        <v>0</v>
      </c>
      <c r="BD407" s="1141">
        <f>_xlfn.IFERROR(BD398/BD314,0)*1000</f>
        <v>0</v>
      </c>
      <c r="BE407" s="1141">
        <f>_xlfn.IFERROR(BE398/BE314,0)*1000</f>
        <v>0</v>
      </c>
      <c r="BF407" s="1141">
        <f>_xlfn.IFERROR(BF398/BF314,0)*1000</f>
        <v>0</v>
      </c>
      <c r="BG407" s="1141">
        <f>_xlfn.IFERROR(BG398/BG314,0)*1000</f>
        <v>0</v>
      </c>
      <c r="BH407" s="1141">
        <f>_xlfn.IFERROR(BH398/BH314,0)*1000</f>
        <v>0</v>
      </c>
      <c r="BI407" s="1141">
        <f>_xlfn.IFERROR(BI398/BI314,0)*1000</f>
        <v>0</v>
      </c>
      <c r="BJ407" s="1141">
        <f>_xlfn.IFERROR(BJ398/BJ314,0)*1000</f>
        <v>0</v>
      </c>
      <c r="BK407" s="1141">
        <f>_xlfn.IFERROR(BK398/BK314,0)*1000</f>
        <v>0</v>
      </c>
      <c r="BL407" s="1141">
        <f>_xlfn.IFERROR(BL398/BL314,0)*1000</f>
        <v>0</v>
      </c>
      <c r="BM407" s="1141">
        <f>_xlfn.IFERROR(BM398/BM314,0)*1000</f>
        <v>0</v>
      </c>
      <c r="BN407" s="1141">
        <f>_xlfn.IFERROR(BN398/BN314,0)*1000</f>
        <v>0</v>
      </c>
      <c r="BO407" s="1141">
        <f>_xlfn.IFERROR(BO398/BO314,0)*1000</f>
        <v>0</v>
      </c>
      <c r="BP407" s="1141">
        <f>_xlfn.IFERROR(BP398/BP314,0)*1000</f>
        <v>0</v>
      </c>
      <c r="BQ407" s="1141">
        <f>_xlfn.IFERROR(BQ398/BQ314,0)*1000</f>
        <v>0</v>
      </c>
      <c r="BR407" s="1141">
        <f>_xlfn.IFERROR(BR398/BR314,0)*1000</f>
        <v>0</v>
      </c>
      <c r="BS407" s="1141">
        <f>_xlfn.IFERROR(BS398/BS314,0)*1000</f>
        <v>0</v>
      </c>
      <c r="BT407" s="1141">
        <f>_xlfn.IFERROR(BT398/BT314,0)*1000</f>
        <v>0</v>
      </c>
      <c r="BU407" s="1141">
        <f>_xlfn.IFERROR(BU398/BU314,0)*1000</f>
        <v>0</v>
      </c>
      <c r="BV407" s="1141">
        <f>_xlfn.IFERROR(BV398/BV314,0)*1000</f>
        <v>0</v>
      </c>
      <c r="BW407" s="1141">
        <f>_xlfn.IFERROR(BW398/BW314,0)*1000</f>
        <v>0</v>
      </c>
      <c r="BX407" s="1141">
        <f>_xlfn.IFERROR(BX398/BX314,0)*1000</f>
        <v>0</v>
      </c>
      <c r="BY407" s="1141">
        <f>_xlfn.IFERROR(BY398/BY314,0)*1000</f>
        <v>0</v>
      </c>
      <c r="BZ407" s="1141">
        <f>_xlfn.IFERROR(BZ398/BZ314,0)*1000</f>
        <v>0</v>
      </c>
      <c r="CA407" s="1141">
        <f>_xlfn.IFERROR(CA398/CA314,0)*1000</f>
        <v>0</v>
      </c>
      <c r="CB407" s="1141">
        <f>_xlfn.IFERROR(CB398/CB314,0)*1000</f>
        <v>0</v>
      </c>
      <c r="CC407" s="1141">
        <f>_xlfn.IFERROR(CC398/CC314,0)*1000</f>
        <v>0</v>
      </c>
      <c r="CD407" s="1141">
        <f>_xlfn.IFERROR(CD398/CD314,0)*1000</f>
        <v>0</v>
      </c>
      <c r="CE407" s="1141">
        <f>_xlfn.IFERROR(CE398/CE314,0)*1000</f>
        <v>0</v>
      </c>
      <c r="CF407" s="1141">
        <f>_xlfn.IFERROR(CF398/CF314,0)*1000</f>
        <v>0</v>
      </c>
      <c r="CG407" s="1141">
        <f>_xlfn.IFERROR(CG398/CG314,0)*1000</f>
        <v>0</v>
      </c>
      <c r="CH407" s="1141">
        <f>_xlfn.IFERROR(CH398/CH314,0)*1000</f>
        <v>0</v>
      </c>
      <c r="CI407" s="1141">
        <f>_xlfn.IFERROR(CI398/CI314,0)*1000</f>
        <v>0</v>
      </c>
      <c r="CJ407" s="1141">
        <f>_xlfn.IFERROR(CJ398/CJ314,0)*1000</f>
        <v>0</v>
      </c>
      <c r="CK407" s="1141">
        <f>_xlfn.IFERROR(CK398/CK314,0)*1000</f>
        <v>0</v>
      </c>
      <c r="CL407" s="1141">
        <f>_xlfn.IFERROR(CL398/CL314,0)*1000</f>
        <v>0</v>
      </c>
      <c r="CM407" s="1141">
        <f>_xlfn.IFERROR(CM398/CM314,0)*1000</f>
        <v>0</v>
      </c>
      <c r="CN407" s="1141">
        <f>_xlfn.IFERROR(CN398/CN314,0)*1000</f>
        <v>0</v>
      </c>
      <c r="CO407" s="1141">
        <f>_xlfn.IFERROR(CO398/CO314,0)*1000</f>
        <v>0</v>
      </c>
      <c r="CP407" s="1141">
        <f>_xlfn.IFERROR(CP398/CP314,0)*1000</f>
        <v>0</v>
      </c>
      <c r="CQ407" s="1141">
        <f>_xlfn.IFERROR(CQ398/CQ314,0)*1000</f>
        <v>0</v>
      </c>
      <c r="CR407" s="1141">
        <f>_xlfn.IFERROR(CR398/CR314,0)*1000</f>
        <v>0</v>
      </c>
      <c r="CS407" s="1141">
        <f>_xlfn.IFERROR(CS398/CS314,0)*1000</f>
        <v>0</v>
      </c>
      <c r="CT407" s="73"/>
      <c r="CW407" s="1170" t="s">
        <v>891</v>
      </c>
      <c r="CX407" s="1175" t="s">
        <v>787</v>
      </c>
      <c r="CY407" s="1179" cm="1" t="str">
        <f t="array" ref="CY407:CY407">AE407</f>
        <v>0</v>
      </c>
      <c r="CZ407" s="1179" cm="1" t="str">
        <f t="array" ref="CZ407:CZ407">AF407</f>
        <v>0</v>
      </c>
      <c r="DA407" s="1176"/>
      <c r="DB407" s="1176"/>
    </row>
    <row s="1619" customFormat="1" customHeight="1" ht="16.5">
      <c r="A408" s="1619"/>
      <c r="B408" s="1619"/>
      <c r="C408" s="1619"/>
      <c r="D408" s="1619"/>
      <c r="E408" s="794">
        <v>17.1</v>
      </c>
      <c r="F408" s="919" cm="1" t="str">
        <f t="array" ref="F408:F408">OFFSET(G408,-1,-1)</f>
        <v>2</v>
      </c>
      <c r="G408" s="1619"/>
      <c r="H408" s="1619"/>
      <c r="I408" s="1619"/>
      <c r="J408" s="1619"/>
      <c r="K408" s="1619"/>
      <c r="L408" s="919" cm="1" t="str">
        <f t="array" ref="L408:L408">OFFSET(M408,-1,-1)</f>
        <v>false</v>
      </c>
      <c r="M408" s="1619"/>
      <c r="N408" s="1619"/>
      <c r="O408" s="1619"/>
      <c r="P408" s="1619"/>
      <c r="Q408" s="1619"/>
      <c r="R408" s="1619"/>
      <c r="S408" s="156" cm="1" t="str">
        <f t="array" ref="S408:S408">OFFSET(T408,-1,-1)</f>
        <v>true</v>
      </c>
      <c r="T408" s="156">
        <f>AD408&lt;&gt;"42.0"</f>
        <v>1</v>
      </c>
      <c r="U408" s="816">
        <f>AND(S408,IF(ISBLANK(T408),TRUE,T408))</f>
        <v>1</v>
      </c>
      <c r="V408" s="1619"/>
      <c r="W408" s="1619"/>
      <c r="X408" s="156" t="str">
        <f>'Топливо 4.4'!$AE$404&amp;'Топливо 4.4'!$AF$404</f>
        <v>Уголь бурыйБ</v>
      </c>
      <c r="Y408" s="1619"/>
      <c r="Z408" s="1619"/>
      <c r="AA408" s="1619"/>
      <c r="AB408" s="1524"/>
      <c r="AC408" s="1619"/>
      <c r="AD408" s="157" t="s">
        <v>922</v>
      </c>
      <c r="AE408" s="971" cm="1" t="str">
        <f t="array" ref="AE408:AE408">IF(ISBLANK('Топливо 4.4'!$AE$404),"",'Топливо 4.4'!$AE$404)</f>
        <v>Уголь бурый</v>
      </c>
      <c r="AF408" s="622" cm="1" t="str">
        <f t="array" ref="AF408:AF408">IF(ISBLANK('Топливо 4.4'!$AF$404),"",'Топливо 4.4'!$AF$404)</f>
        <v>Б</v>
      </c>
      <c r="AG408" s="1067" t="str">
        <f>"руб./"&amp;_xlfn.IFERROR(INDEX(fuel_ed_izm_list,MATCH(AE408,fuel_list,0)),"")</f>
        <v>руб./тнт</v>
      </c>
      <c r="AH408" s="1141">
        <f>_xlfn.IFERROR(AH399/AH315,0)*1000</f>
        <v>0</v>
      </c>
      <c r="AI408" s="1141">
        <f>_xlfn.IFERROR(AI399/AI315,0)*1000</f>
        <v>0</v>
      </c>
      <c r="AJ408" s="1141">
        <f>_xlfn.IFERROR(AJ399/AJ315,0)*1000</f>
        <v>0</v>
      </c>
      <c r="AK408" s="1141">
        <f>_xlfn.IFERROR(AK399/AK315,0)*1000</f>
        <v>0</v>
      </c>
      <c r="AL408" s="1141">
        <f>_xlfn.IFERROR(AL399/AL315,0)*1000</f>
        <v>9223.81</v>
      </c>
      <c r="AM408" s="1141">
        <f>_xlfn.IFERROR(AM399/AM315,0)*1000</f>
        <v>9223.81</v>
      </c>
      <c r="AN408" s="1141">
        <f>_xlfn.IFERROR(AN399/AN315,0)*1000</f>
        <v>9223.81</v>
      </c>
      <c r="AO408" s="1141">
        <f>_xlfn.IFERROR(AO399/AO315,0)*1000</f>
        <v>9737.84</v>
      </c>
      <c r="AP408" s="1141">
        <f>_xlfn.IFERROR(AP399/AP315,0)*1000</f>
        <v>9737.84</v>
      </c>
      <c r="AQ408" s="1141">
        <f>_xlfn.IFERROR(AQ399/AQ315,0)*1000</f>
        <v>9737.84</v>
      </c>
      <c r="AR408" s="1141">
        <f>_xlfn.IFERROR(AR399/AR315,0)*1000</f>
        <v>10105.89</v>
      </c>
      <c r="AS408" s="1141">
        <f>_xlfn.IFERROR(AS399/AS315,0)*1000</f>
        <v>10105.89</v>
      </c>
      <c r="AT408" s="1141">
        <f>_xlfn.IFERROR(AT399/AT315,0)*1000</f>
        <v>10105.89</v>
      </c>
      <c r="AU408" s="1141">
        <f>_xlfn.IFERROR(AU399/AU315,0)*1000</f>
        <v>10488.33</v>
      </c>
      <c r="AV408" s="1141">
        <f>_xlfn.IFERROR(AV399/AV315,0)*1000</f>
        <v>10488.33</v>
      </c>
      <c r="AW408" s="1141">
        <f>_xlfn.IFERROR(AW399/AW315,0)*1000</f>
        <v>10488.33</v>
      </c>
      <c r="AX408" s="1141">
        <f>_xlfn.IFERROR(AX399/AX315,0)*1000</f>
        <v>10887.23</v>
      </c>
      <c r="AY408" s="1141">
        <f>_xlfn.IFERROR(AY399/AY315,0)*1000</f>
        <v>10887.23</v>
      </c>
      <c r="AZ408" s="1141">
        <f>_xlfn.IFERROR(AZ399/AZ315,0)*1000</f>
        <v>10887.23</v>
      </c>
      <c r="BA408" s="1141">
        <f>_xlfn.IFERROR(BA399/BA315,0)*1000</f>
        <v>0</v>
      </c>
      <c r="BB408" s="1141">
        <f>_xlfn.IFERROR(BB399/BB315,0)*1000</f>
        <v>0</v>
      </c>
      <c r="BC408" s="1141">
        <f>_xlfn.IFERROR(BC399/BC315,0)*1000</f>
        <v>0</v>
      </c>
      <c r="BD408" s="1141">
        <f>_xlfn.IFERROR(BD399/BD315,0)*1000</f>
        <v>0</v>
      </c>
      <c r="BE408" s="1141">
        <f>_xlfn.IFERROR(BE399/BE315,0)*1000</f>
        <v>0</v>
      </c>
      <c r="BF408" s="1141">
        <f>_xlfn.IFERROR(BF399/BF315,0)*1000</f>
        <v>0</v>
      </c>
      <c r="BG408" s="1141">
        <f>_xlfn.IFERROR(BG399/BG315,0)*1000</f>
        <v>0</v>
      </c>
      <c r="BH408" s="1141">
        <f>_xlfn.IFERROR(BH399/BH315,0)*1000</f>
        <v>0</v>
      </c>
      <c r="BI408" s="1141">
        <f>_xlfn.IFERROR(BI399/BI315,0)*1000</f>
        <v>0</v>
      </c>
      <c r="BJ408" s="1141">
        <f>_xlfn.IFERROR(BJ399/BJ315,0)*1000</f>
        <v>0</v>
      </c>
      <c r="BK408" s="1141">
        <f>_xlfn.IFERROR(BK399/BK315,0)*1000</f>
        <v>0</v>
      </c>
      <c r="BL408" s="1141">
        <f>_xlfn.IFERROR(BL399/BL315,0)*1000</f>
        <v>0</v>
      </c>
      <c r="BM408" s="1141">
        <f>_xlfn.IFERROR(BM399/BM315,0)*1000</f>
        <v>0</v>
      </c>
      <c r="BN408" s="1141">
        <f>_xlfn.IFERROR(BN399/BN315,0)*1000</f>
        <v>0</v>
      </c>
      <c r="BO408" s="1141">
        <f>_xlfn.IFERROR(BO399/BO315,0)*1000</f>
        <v>0</v>
      </c>
      <c r="BP408" s="1141">
        <f>_xlfn.IFERROR(BP399/BP315,0)*1000</f>
        <v>8061.05000000002</v>
      </c>
      <c r="BQ408" s="1141">
        <f>_xlfn.IFERROR(BQ399/BQ315,0)*1000</f>
        <v>8061.05000000001</v>
      </c>
      <c r="BR408" s="1141">
        <f>_xlfn.IFERROR(BR399/BR315,0)*1000</f>
        <v>8061.05</v>
      </c>
      <c r="BS408" s="1141">
        <f>_xlfn.IFERROR(BS399/BS315,0)*1000</f>
        <v>8415.73999999998</v>
      </c>
      <c r="BT408" s="1141">
        <f>_xlfn.IFERROR(BT399/BT315,0)*1000</f>
        <v>8415.73999999999</v>
      </c>
      <c r="BU408" s="1141">
        <f>_xlfn.IFERROR(BU399/BU315,0)*1000</f>
        <v>8415.73999999996</v>
      </c>
      <c r="BV408" s="1141">
        <f>_xlfn.IFERROR(BV399/BV315,0)*1000</f>
        <v>8642.96</v>
      </c>
      <c r="BW408" s="1141">
        <f>_xlfn.IFERROR(BW399/BW315,0)*1000</f>
        <v>8642.96000000001</v>
      </c>
      <c r="BX408" s="1141">
        <f>_xlfn.IFERROR(BX399/BX315,0)*1000</f>
        <v>8642.95999999999</v>
      </c>
      <c r="BY408" s="1141">
        <f>_xlfn.IFERROR(BY399/BY315,0)*1000</f>
        <v>8876.31999999999</v>
      </c>
      <c r="BZ408" s="1141">
        <f>_xlfn.IFERROR(BZ399/BZ315,0)*1000</f>
        <v>8876.31999999999</v>
      </c>
      <c r="CA408" s="1141">
        <f>_xlfn.IFERROR(CA399/CA315,0)*1000</f>
        <v>8876.31999999999</v>
      </c>
      <c r="CB408" s="1141">
        <f>_xlfn.IFERROR(CB399/CB315,0)*1000</f>
        <v>9115.98</v>
      </c>
      <c r="CC408" s="1141">
        <f>_xlfn.IFERROR(CC399/CC315,0)*1000</f>
        <v>9115.98</v>
      </c>
      <c r="CD408" s="1141">
        <f>_xlfn.IFERROR(CD399/CD315,0)*1000</f>
        <v>9115.98</v>
      </c>
      <c r="CE408" s="1141">
        <f>_xlfn.IFERROR(CE399/CE315,0)*1000</f>
        <v>0</v>
      </c>
      <c r="CF408" s="1141">
        <f>_xlfn.IFERROR(CF399/CF315,0)*1000</f>
        <v>0</v>
      </c>
      <c r="CG408" s="1141">
        <f>_xlfn.IFERROR(CG399/CG315,0)*1000</f>
        <v>0</v>
      </c>
      <c r="CH408" s="1141">
        <f>_xlfn.IFERROR(CH399/CH315,0)*1000</f>
        <v>0</v>
      </c>
      <c r="CI408" s="1141">
        <f>_xlfn.IFERROR(CI399/CI315,0)*1000</f>
        <v>0</v>
      </c>
      <c r="CJ408" s="1141">
        <f>_xlfn.IFERROR(CJ399/CJ315,0)*1000</f>
        <v>0</v>
      </c>
      <c r="CK408" s="1141">
        <f>_xlfn.IFERROR(CK399/CK315,0)*1000</f>
        <v>0</v>
      </c>
      <c r="CL408" s="1141">
        <f>_xlfn.IFERROR(CL399/CL315,0)*1000</f>
        <v>0</v>
      </c>
      <c r="CM408" s="1141">
        <f>_xlfn.IFERROR(CM399/CM315,0)*1000</f>
        <v>0</v>
      </c>
      <c r="CN408" s="1141">
        <f>_xlfn.IFERROR(CN399/CN315,0)*1000</f>
        <v>0</v>
      </c>
      <c r="CO408" s="1141">
        <f>_xlfn.IFERROR(CO399/CO315,0)*1000</f>
        <v>0</v>
      </c>
      <c r="CP408" s="1141">
        <f>_xlfn.IFERROR(CP399/CP315,0)*1000</f>
        <v>0</v>
      </c>
      <c r="CQ408" s="1141">
        <f>_xlfn.IFERROR(CQ399/CQ315,0)*1000</f>
        <v>0</v>
      </c>
      <c r="CR408" s="1141">
        <f>_xlfn.IFERROR(CR399/CR315,0)*1000</f>
        <v>0</v>
      </c>
      <c r="CS408" s="1141">
        <f>_xlfn.IFERROR(CS399/CS315,0)*1000</f>
        <v>0</v>
      </c>
      <c r="CT408" s="1730"/>
      <c r="CU408" s="1619"/>
      <c r="CV408" s="1619"/>
      <c r="CW408" s="1170" t="s">
        <v>891</v>
      </c>
      <c r="CX408" s="1175" t="s">
        <v>787</v>
      </c>
      <c r="CY408" s="1179" cm="1" t="str">
        <f t="array" ref="CY408:CY408">AE408</f>
        <v>Уголь бурый</v>
      </c>
      <c r="CZ408" s="1179" cm="1" t="str">
        <f t="array" ref="CZ408:CZ408">AF408</f>
        <v>Б</v>
      </c>
      <c r="DA408" s="1176"/>
      <c r="DB408" s="1176"/>
    </row>
    <row s="1619" customFormat="1" customHeight="1" ht="15" hidden="1">
      <c r="A409" s="1440"/>
      <c r="B409" s="924"/>
      <c r="C409" s="1440"/>
      <c r="D409" s="1440"/>
      <c r="E409" s="794">
        <v>0</v>
      </c>
      <c r="F409" s="919" cm="1" t="str">
        <f t="array" ref="F409:F409">OFFSET(G409,-1,-1)</f>
        <v>2</v>
      </c>
      <c r="G409" s="962"/>
      <c r="H409" s="962"/>
      <c r="I409" s="962"/>
      <c r="J409" s="962"/>
      <c r="K409" s="962"/>
      <c r="L409" s="919" cm="1" t="str">
        <f t="array" ref="L409:L409">OFFSET(M409,-1,-1)</f>
        <v>false</v>
      </c>
      <c r="M409" s="962"/>
      <c r="N409" s="962"/>
      <c r="O409" s="962"/>
      <c r="P409" s="962"/>
      <c r="Q409" s="962"/>
      <c r="R409" s="1440"/>
      <c r="S409" s="156" cm="1" t="str">
        <f t="array" ref="S409:S409">OFFSET(T409,-1,-1)</f>
        <v>true</v>
      </c>
      <c r="T409" s="1440"/>
      <c r="U409" s="816">
        <f>AND(S409,IF(ISBLANK(T409),TRUE,T409))</f>
        <v>1</v>
      </c>
      <c r="V409" s="1440"/>
      <c r="W409" s="1440"/>
      <c r="X409" s="970" t="str">
        <f>"{                  
         funcDyn: 'msg1',
         blok: '',
         wsCross: '',
         linkFormula: '',
         levelDyn: "&amp;Y275&amp;"
}"</f>
        <v>{                  
         funcDyn: 'msg1',
         blok: '',
         wsCross: '',
         linkFormula: '',
         levelDyn: 2
}</v>
      </c>
      <c r="Y409" s="1440"/>
      <c r="Z409" s="1440"/>
      <c r="AA409" s="817"/>
      <c r="AB409" s="1524"/>
      <c r="AC409" s="1619"/>
      <c r="AD409" s="973"/>
      <c r="AE409" s="972" t="s">
        <v>235</v>
      </c>
      <c r="AF409" s="871"/>
      <c r="AG409" s="856"/>
      <c r="AH409" s="876"/>
      <c r="AI409" s="877"/>
      <c r="AJ409" s="877"/>
      <c r="AK409" s="877"/>
      <c r="AL409" s="877"/>
      <c r="AM409" s="877"/>
      <c r="AN409" s="877"/>
      <c r="AO409" s="877"/>
      <c r="AP409" s="877"/>
      <c r="AQ409" s="877"/>
      <c r="AR409" s="877"/>
      <c r="AS409" s="877"/>
      <c r="AT409" s="877"/>
      <c r="AU409" s="877"/>
      <c r="AV409" s="877"/>
      <c r="AW409" s="877"/>
      <c r="AX409" s="877"/>
      <c r="AY409" s="877"/>
      <c r="AZ409" s="877"/>
      <c r="BA409" s="877"/>
      <c r="BB409" s="877"/>
      <c r="BC409" s="877"/>
      <c r="BD409" s="877"/>
      <c r="BE409" s="877"/>
      <c r="BF409" s="877"/>
      <c r="BG409" s="877"/>
      <c r="BH409" s="877"/>
      <c r="BI409" s="877"/>
      <c r="BJ409" s="877"/>
      <c r="BK409" s="877"/>
      <c r="BL409" s="877"/>
      <c r="BM409" s="877"/>
      <c r="BN409" s="877"/>
      <c r="BO409" s="877"/>
      <c r="BP409" s="877"/>
      <c r="BQ409" s="877"/>
      <c r="BR409" s="877"/>
      <c r="BS409" s="877"/>
      <c r="BT409" s="877"/>
      <c r="BU409" s="877"/>
      <c r="BV409" s="877"/>
      <c r="BW409" s="877"/>
      <c r="BX409" s="877"/>
      <c r="BY409" s="877"/>
      <c r="BZ409" s="877"/>
      <c r="CA409" s="877"/>
      <c r="CB409" s="877"/>
      <c r="CC409" s="877"/>
      <c r="CD409" s="877"/>
      <c r="CE409" s="877"/>
      <c r="CF409" s="877"/>
      <c r="CG409" s="877"/>
      <c r="CH409" s="877"/>
      <c r="CI409" s="877"/>
      <c r="CJ409" s="877"/>
      <c r="CK409" s="877"/>
      <c r="CL409" s="877"/>
      <c r="CM409" s="877"/>
      <c r="CN409" s="877"/>
      <c r="CO409" s="877"/>
      <c r="CP409" s="877"/>
      <c r="CQ409" s="877"/>
      <c r="CR409" s="877"/>
      <c r="CS409" s="877"/>
      <c r="CT409" s="91"/>
      <c r="CU409" s="1619"/>
      <c r="CV409" s="1619"/>
      <c r="CW409" s="1170" t="str">
        <f>IF(AND(ISNUMBER(VALUE(TRIM(SUBSTITUTE(AD409,".","")))),TRIM(SUBSTITUTE(AD409,".",""))&lt;&gt;""),"P"&amp;SUBSTITUTE(AD409,".",""),"")</f>
        <v/>
      </c>
      <c r="CX409" s="1175"/>
      <c r="CY409" s="1175"/>
      <c r="CZ409" s="1175"/>
      <c r="DA409" s="1176"/>
      <c r="DB409" s="1176"/>
    </row>
    <row s="1619" customFormat="1" customHeight="1" ht="16.5">
      <c r="A410" s="1440"/>
      <c r="B410" s="924"/>
      <c r="C410" s="1440"/>
      <c r="D410" s="1440"/>
      <c r="E410" s="794">
        <v>17.1</v>
      </c>
      <c r="F410" s="919" cm="1" t="str">
        <f t="array" ref="F410:F410">OFFSET(G410,-1,-1)</f>
        <v>2</v>
      </c>
      <c r="G410" s="962"/>
      <c r="H410" s="962"/>
      <c r="I410" s="962"/>
      <c r="J410" s="962"/>
      <c r="K410" s="962"/>
      <c r="L410" s="919" cm="1" t="str">
        <f t="array" ref="L410:L410">OFFSET(M410,-1,-1)</f>
        <v>false</v>
      </c>
      <c r="M410" s="962"/>
      <c r="N410" s="962"/>
      <c r="O410" s="962"/>
      <c r="P410" s="962"/>
      <c r="Q410" s="962"/>
      <c r="R410" s="1440"/>
      <c r="S410" s="156" cm="1" t="str">
        <f t="array" ref="S410:S410">OFFSET(T410,-1,-1)</f>
        <v>true</v>
      </c>
      <c r="T410" s="1440"/>
      <c r="U410" s="816">
        <f>AND(S410,IF(ISBLANK(T410),TRUE,T410))</f>
        <v>1</v>
      </c>
      <c r="V410" s="1440"/>
      <c r="W410" s="1440"/>
      <c r="X410" s="1440"/>
      <c r="Y410" s="1440"/>
      <c r="Z410" s="1440"/>
      <c r="AA410" s="817"/>
      <c r="AB410" s="1525"/>
      <c r="AC410" s="975"/>
      <c r="AD410" s="170" t="s">
        <v>893</v>
      </c>
      <c r="AE410" s="1494" t="s">
        <v>894</v>
      </c>
      <c r="AF410" s="320"/>
      <c r="AG410" s="856" t="s">
        <v>895</v>
      </c>
      <c r="AH410" s="857">
        <f>_xlfn.IFERROR(AH395/AH291*1000,0)</f>
        <v>0</v>
      </c>
      <c r="AI410" s="857">
        <f>_xlfn.IFERROR(AI395/AI291*1000,0)</f>
        <v>0</v>
      </c>
      <c r="AJ410" s="857">
        <f>_xlfn.IFERROR(AJ395/AJ291*1000,0)</f>
        <v>0</v>
      </c>
      <c r="AK410" s="857">
        <f>_xlfn.IFERROR(AK395/AK291*1000,0)</f>
        <v>0</v>
      </c>
      <c r="AL410" s="857">
        <f>_xlfn.IFERROR(AL395/AL291*1000,0)</f>
        <v>3274.45255</v>
      </c>
      <c r="AM410" s="857">
        <f>_xlfn.IFERROR(AM395/AM291*1000,0)</f>
        <v>3319.84100118812</v>
      </c>
      <c r="AN410" s="857">
        <f>_xlfn.IFERROR(AN395/AN291*1000,0)</f>
        <v>3147.11272861111</v>
      </c>
      <c r="AO410" s="857">
        <f>_xlfn.IFERROR(AO395/AO291*1000,0)</f>
        <v>3456.9332</v>
      </c>
      <c r="AP410" s="857">
        <f>_xlfn.IFERROR(AP395/AP291*1000,0)</f>
        <v>3504.85108594059</v>
      </c>
      <c r="AQ410" s="857">
        <f>_xlfn.IFERROR(AQ395/AQ291*1000,0)</f>
        <v>3322.49690888889</v>
      </c>
      <c r="AR410" s="857">
        <f>_xlfn.IFERROR(AR395/AR291*1000,0)</f>
        <v>3587.59095</v>
      </c>
      <c r="AS410" s="857">
        <f>_xlfn.IFERROR(AS395/AS291*1000,0)</f>
        <v>3637.31993346535</v>
      </c>
      <c r="AT410" s="857">
        <f>_xlfn.IFERROR(AT395/AT291*1000,0)</f>
        <v>3448.07352416667</v>
      </c>
      <c r="AU410" s="857">
        <f>_xlfn.IFERROR(AU395/AU291*1000,0)</f>
        <v>3723.35715</v>
      </c>
      <c r="AV410" s="857">
        <f>_xlfn.IFERROR(AV395/AV291*1000,0)</f>
        <v>3774.96804118812</v>
      </c>
      <c r="AW410" s="857">
        <f>_xlfn.IFERROR(AW395/AW291*1000,0)</f>
        <v>3578.5599275</v>
      </c>
      <c r="AX410" s="857">
        <f>_xlfn.IFERROR(AX395/AX291*1000,0)</f>
        <v>3864.96665</v>
      </c>
      <c r="AY410" s="857">
        <f>_xlfn.IFERROR(AY395/AY291*1000,0)</f>
        <v>3918.54044514851</v>
      </c>
      <c r="AZ410" s="857">
        <f>_xlfn.IFERROR(AZ395/AZ291*1000,0)</f>
        <v>3714.66239138889</v>
      </c>
      <c r="BA410" s="857">
        <f>_xlfn.IFERROR(BA395/BA291*1000,0)</f>
        <v>0</v>
      </c>
      <c r="BB410" s="857">
        <f>_xlfn.IFERROR(BB395/BB291*1000,0)</f>
        <v>0</v>
      </c>
      <c r="BC410" s="857">
        <f>_xlfn.IFERROR(BC395/BC291*1000,0)</f>
        <v>0</v>
      </c>
      <c r="BD410" s="857">
        <f>_xlfn.IFERROR(BD395/BD291*1000,0)</f>
        <v>0</v>
      </c>
      <c r="BE410" s="857">
        <f>_xlfn.IFERROR(BE395/BE291*1000,0)</f>
        <v>0</v>
      </c>
      <c r="BF410" s="857">
        <f>_xlfn.IFERROR(BF395/BF291*1000,0)</f>
        <v>0</v>
      </c>
      <c r="BG410" s="857">
        <f>_xlfn.IFERROR(BG395/BG291*1000,0)</f>
        <v>0</v>
      </c>
      <c r="BH410" s="857">
        <f>_xlfn.IFERROR(BH395/BH291*1000,0)</f>
        <v>0</v>
      </c>
      <c r="BI410" s="857">
        <f>_xlfn.IFERROR(BI395/BI291*1000,0)</f>
        <v>0</v>
      </c>
      <c r="BJ410" s="857">
        <f>_xlfn.IFERROR(BJ395/BJ291*1000,0)</f>
        <v>0</v>
      </c>
      <c r="BK410" s="857">
        <f>_xlfn.IFERROR(BK395/BK291*1000,0)</f>
        <v>0</v>
      </c>
      <c r="BL410" s="857">
        <f>_xlfn.IFERROR(BL395/BL291*1000,0)</f>
        <v>0</v>
      </c>
      <c r="BM410" s="857">
        <f>_xlfn.IFERROR(BM395/BM291*1000,0)</f>
        <v>0</v>
      </c>
      <c r="BN410" s="857">
        <f>_xlfn.IFERROR(BN395/BN291*1000,0)</f>
        <v>0</v>
      </c>
      <c r="BO410" s="857">
        <f>_xlfn.IFERROR(BO395/BO291*1000,0)</f>
        <v>0</v>
      </c>
      <c r="BP410" s="857">
        <f>_xlfn.IFERROR(BP395/BP291*1000,0)</f>
        <v>2831.41903758343</v>
      </c>
      <c r="BQ410" s="857">
        <f>_xlfn.IFERROR(BQ395/BQ291*1000,0)</f>
        <v>2870.66643018359</v>
      </c>
      <c r="BR410" s="857">
        <f>_xlfn.IFERROR(BR395/BR291*1000,0)</f>
        <v>2721.30829723296</v>
      </c>
      <c r="BS410" s="857">
        <f>_xlfn.IFERROR(BS395/BS291*1000,0)</f>
        <v>2956.00280997541</v>
      </c>
      <c r="BT410" s="857">
        <f>_xlfn.IFERROR(BT395/BT291*1000,0)</f>
        <v>2996.97710635131</v>
      </c>
      <c r="BU410" s="857">
        <f>_xlfn.IFERROR(BU395/BU291*1000,0)</f>
        <v>2841.04714514303</v>
      </c>
      <c r="BV410" s="857">
        <f>_xlfn.IFERROR(BV395/BV291*1000,0)</f>
        <v>3035.81313663506</v>
      </c>
      <c r="BW410" s="857">
        <f>_xlfn.IFERROR(BW395/BW291*1000,0)</f>
        <v>3077.89371476663</v>
      </c>
      <c r="BX410" s="857">
        <f>_xlfn.IFERROR(BX395/BX291*1000,0)</f>
        <v>2917.75373687703</v>
      </c>
      <c r="BY410" s="857">
        <f>_xlfn.IFERROR(BY395/BY291*1000,0)</f>
        <v>3117.78011942396</v>
      </c>
      <c r="BZ410" s="857">
        <f>_xlfn.IFERROR(BZ395/BZ291*1000,0)</f>
        <v>3160.99687355458</v>
      </c>
      <c r="CA410" s="857">
        <f>_xlfn.IFERROR(CA395/CA291*1000,0)</f>
        <v>2996.53311477969</v>
      </c>
      <c r="CB410" s="857">
        <f>_xlfn.IFERROR(CB395/CB291*1000,0)</f>
        <v>3201.95995785037</v>
      </c>
      <c r="CC410" s="857">
        <f>_xlfn.IFERROR(CC395/CC291*1000,0)</f>
        <v>3246.34356122651</v>
      </c>
      <c r="CD410" s="857">
        <f>_xlfn.IFERROR(CD395/CD291*1000,0)</f>
        <v>3077.43929282286</v>
      </c>
      <c r="CE410" s="857">
        <f>_xlfn.IFERROR(CE395/CE291*1000,0)</f>
        <v>0</v>
      </c>
      <c r="CF410" s="857">
        <f>_xlfn.IFERROR(CF395/CF291*1000,0)</f>
        <v>0</v>
      </c>
      <c r="CG410" s="857">
        <f>_xlfn.IFERROR(CG395/CG291*1000,0)</f>
        <v>0</v>
      </c>
      <c r="CH410" s="857">
        <f>_xlfn.IFERROR(CH395/CH291*1000,0)</f>
        <v>0</v>
      </c>
      <c r="CI410" s="857">
        <f>_xlfn.IFERROR(CI395/CI291*1000,0)</f>
        <v>0</v>
      </c>
      <c r="CJ410" s="857">
        <f>_xlfn.IFERROR(CJ395/CJ291*1000,0)</f>
        <v>0</v>
      </c>
      <c r="CK410" s="857">
        <f>_xlfn.IFERROR(CK395/CK291*1000,0)</f>
        <v>0</v>
      </c>
      <c r="CL410" s="857">
        <f>_xlfn.IFERROR(CL395/CL291*1000,0)</f>
        <v>0</v>
      </c>
      <c r="CM410" s="857">
        <f>_xlfn.IFERROR(CM395/CM291*1000,0)</f>
        <v>0</v>
      </c>
      <c r="CN410" s="857">
        <f>_xlfn.IFERROR(CN395/CN291*1000,0)</f>
        <v>0</v>
      </c>
      <c r="CO410" s="857">
        <f>_xlfn.IFERROR(CO395/CO291*1000,0)</f>
        <v>0</v>
      </c>
      <c r="CP410" s="857">
        <f>_xlfn.IFERROR(CP395/CP291*1000,0)</f>
        <v>0</v>
      </c>
      <c r="CQ410" s="857">
        <f>_xlfn.IFERROR(CQ395/CQ291*1000,0)</f>
        <v>0</v>
      </c>
      <c r="CR410" s="857">
        <f>_xlfn.IFERROR(CR395/CR291*1000,0)</f>
        <v>0</v>
      </c>
      <c r="CS410" s="857">
        <f>_xlfn.IFERROR(CS395/CS291*1000,0)</f>
        <v>0</v>
      </c>
      <c r="CT410" s="1730"/>
      <c r="CU410" s="1619"/>
      <c r="CV410" s="1619"/>
      <c r="CW410" s="1170" t="s">
        <v>896</v>
      </c>
      <c r="CX410" s="1175"/>
      <c r="CY410" s="1175"/>
      <c r="CZ410" s="1175"/>
      <c r="DA410" s="1176"/>
      <c r="DB410" s="1176"/>
    </row>
    <row customHeight="1" ht="11.115">
      <c r="E411" s="794">
        <v>11.4</v>
      </c>
      <c r="F411" s="919" cm="1" t="str">
        <f t="array" ref="F411:F411">OFFSET(G411,-1,-1)</f>
        <v>2</v>
      </c>
      <c r="G411" s="733"/>
      <c r="H411" s="733"/>
      <c r="I411" s="733"/>
      <c r="J411" s="733"/>
      <c r="K411" s="733"/>
      <c r="L411" s="733"/>
      <c r="M411" s="733"/>
      <c r="N411" s="733"/>
      <c r="O411" s="733"/>
      <c r="P411" s="733"/>
      <c r="Q411" s="733"/>
      <c r="R411" s="156"/>
      <c r="T411" s="156"/>
      <c r="U411" s="156"/>
      <c r="V411" s="156" t="s">
        <v>235</v>
      </c>
      <c r="W411" s="168" t="s">
        <v>923</v>
      </c>
      <c r="X411" s="156"/>
      <c r="Y411" s="156"/>
      <c r="Z411" s="156"/>
      <c r="AA411" s="810"/>
      <c r="AO411" s="1760"/>
      <c r="AP411" s="1760"/>
      <c r="AQ411" s="1760"/>
      <c r="AR411" s="1760"/>
      <c r="AS411" s="1760"/>
      <c r="AT411" s="1760"/>
      <c r="AU411" s="1760"/>
      <c r="AV411" s="1760"/>
      <c r="AW411" s="1760"/>
      <c r="AX411" s="1760"/>
      <c r="AY411" s="1760"/>
      <c r="AZ411" s="1760"/>
      <c r="BA411" s="1760"/>
      <c r="BB411" s="1760"/>
      <c r="BC411" s="1760"/>
      <c r="BD411" s="1760"/>
      <c r="BE411" s="1760"/>
      <c r="BF411" s="1760"/>
      <c r="BG411" s="1760"/>
      <c r="BH411" s="1760"/>
      <c r="BI411" s="1760"/>
      <c r="BJ411" s="1760"/>
      <c r="BK411" s="1760"/>
      <c r="BL411" s="1760"/>
      <c r="BM411" s="1760"/>
      <c r="BN411" s="1760"/>
      <c r="BO411" s="1760"/>
      <c r="BP411" s="1760"/>
      <c r="BQ411" s="1760"/>
      <c r="BR411" s="1760"/>
      <c r="BS411" s="1760"/>
      <c r="BT411" s="1760"/>
      <c r="BU411" s="1760"/>
      <c r="BV411" s="1760"/>
      <c r="BW411" s="1760"/>
      <c r="BX411" s="1760"/>
      <c r="BY411" s="1760"/>
      <c r="BZ411" s="1760"/>
      <c r="CA411" s="1760"/>
      <c r="CB411" s="1760"/>
      <c r="CC411" s="1760"/>
      <c r="CD411" s="1760"/>
      <c r="CE411" s="1760"/>
      <c r="CF411" s="1760"/>
      <c r="CG411" s="1760"/>
      <c r="CH411" s="1760"/>
      <c r="CI411" s="1760"/>
      <c r="CJ411" s="1760"/>
      <c r="CK411" s="1760"/>
      <c r="CL411" s="1760"/>
      <c r="CM411" s="1760"/>
      <c r="CN411" s="1760"/>
      <c r="CO411" s="1760"/>
      <c r="CP411" s="1760"/>
      <c r="CQ411" s="1760"/>
      <c r="CR411" s="1760"/>
      <c r="CS411" s="1760"/>
      <c r="CW411" s="1170"/>
    </row>
  </sheetData>
  <sheetProtection insertRows="0" deleteColumns="0" deleteRows="0" sort="0" autoFilter="0" insertColumns="1"/>
  <mergeCells count="21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 ref="Y275:Y410"/>
    <mergeCell ref="Z275:Z410"/>
    <mergeCell ref="AB276:AB296"/>
    <mergeCell ref="AE385:AF385"/>
    <mergeCell ref="AE386:AF386"/>
    <mergeCell ref="AE390:AF390"/>
    <mergeCell ref="AE342:AF342"/>
    <mergeCell ref="AE343:AF343"/>
    <mergeCell ref="AE338:AF338"/>
    <mergeCell ref="AE347:AF347"/>
    <mergeCell ref="AE296:AF296"/>
    <mergeCell ref="AE297:AF297"/>
    <mergeCell ref="AE301:AF301"/>
    <mergeCell ref="AE305:AF305"/>
    <mergeCell ref="AE317:AF317"/>
    <mergeCell ref="AB394:AB410"/>
    <mergeCell ref="AE294:AF294"/>
    <mergeCell ref="AE295:AF295"/>
    <mergeCell ref="AE289:AF289"/>
    <mergeCell ref="AE290:AF290"/>
    <mergeCell ref="AE291:AF291"/>
    <mergeCell ref="AE292:AF292"/>
    <mergeCell ref="AE293:AF293"/>
    <mergeCell ref="AE276:AF276"/>
    <mergeCell ref="AE277:AF277"/>
    <mergeCell ref="AE278:AF278"/>
    <mergeCell ref="AE279:AF279"/>
    <mergeCell ref="AE280:AF280"/>
    <mergeCell ref="AE286:AF286"/>
    <mergeCell ref="AE368:AF368"/>
    <mergeCell ref="AE372:AF372"/>
    <mergeCell ref="AE376:AF376"/>
    <mergeCell ref="AE377:AF377"/>
    <mergeCell ref="AE334:AF334"/>
    <mergeCell ref="AE355:AF355"/>
    <mergeCell ref="AE359:AF359"/>
    <mergeCell ref="AE360:AF360"/>
    <mergeCell ref="AE364:AF364"/>
    <mergeCell ref="AE330:AF330"/>
    <mergeCell ref="AE299:AF299"/>
    <mergeCell ref="AE288:AF288"/>
    <mergeCell ref="AE281:AF281"/>
    <mergeCell ref="AE282:AF282"/>
    <mergeCell ref="AE283:AF283"/>
    <mergeCell ref="AE284:AF284"/>
    <mergeCell ref="AE285:AF285"/>
    <mergeCell ref="AE287:AF287"/>
    <mergeCell ref="AE298:AF298"/>
    <mergeCell ref="AE410:AF410"/>
    <mergeCell ref="AE300:AF300"/>
    <mergeCell ref="AE406:AF406"/>
    <mergeCell ref="AE401:AF401"/>
    <mergeCell ref="AE402:AF402"/>
    <mergeCell ref="AE394:AF394"/>
    <mergeCell ref="AE395:AF395"/>
    <mergeCell ref="AE396:AF396"/>
    <mergeCell ref="AE397:AF397"/>
    <mergeCell ref="AE313:AF313"/>
    <mergeCell ref="AE309:AF309"/>
    <mergeCell ref="AE325:AF325"/>
    <mergeCell ref="AE326:AF326"/>
    <mergeCell ref="AE321:AF321"/>
    <mergeCell ref="AE381:AF381"/>
    <mergeCell ref="AE351:AF351"/>
    <mergeCell ref="AB385:AB393"/>
    <mergeCell ref="AB368:AB384"/>
    <mergeCell ref="AB297:AB316"/>
    <mergeCell ref="AB317:AB333"/>
    <mergeCell ref="AB334:AB350"/>
    <mergeCell ref="AB351:AB367"/>
  </mergeCells>
  <dataValidations count="1">
    <dataValidation type="list" allowBlank="1" showInputMessage="1" showErrorMessage="1" sqref="AE55 AE166:AE167 AE302:AE303">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A3EE9-7508-FA38-6277-3412F5986CD8}" mc:Ignorable="x14ac xr xr2 xr3">
  <sheetPr>
    <tabColor rgb="FFFFC000"/>
    <outlinePr summaryRight="0" summaryBelow="0"/>
    <pageSetUpPr fitToPage="1"/>
  </sheetPr>
  <dimension ref="A1:BJ162"/>
  <sheetViews>
    <sheetView showGridLines="0" workbookViewId="0">
      <pane xSplit="30" ySplit="26" topLeftCell="AI68" activePane="bottomRight" state="frozen"/>
      <selection pane="bottomLeft" activeCell="A27" sqref="A27"/>
      <selection pane="topRight" activeCell="AE1" sqref="AE1"/>
      <selection pane="bottomRight" activeCell="AS123" sqref="AS123:AW124"/>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9" style="497" width="12.6328125" customWidth="1"/>
    <col min="40" max="44" style="497" width="12.6328125" hidden="1" customWidth="1"/>
    <col min="45" max="49" style="497" width="12.6328125" customWidth="1"/>
    <col min="50" max="54" style="497" width="12.632812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376</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377</v>
      </c>
      <c r="BG1" s="1181" t="s">
        <v>378</v>
      </c>
      <c r="BH1" s="1181" t="s">
        <v>379</v>
      </c>
      <c r="BI1" s="1184" t="s">
        <v>382</v>
      </c>
      <c r="BJ1" s="1184" t="s">
        <v>383</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430</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431</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432</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388</v>
      </c>
      <c r="B12" s="1151"/>
      <c r="E12" s="1151"/>
      <c r="G12" s="1167"/>
      <c r="H12" s="1167"/>
      <c r="I12" s="1167"/>
      <c r="J12" s="1167"/>
      <c r="K12" s="1167"/>
      <c r="L12" s="1167"/>
      <c r="M12" s="1167"/>
      <c r="N12" s="1167"/>
      <c r="O12" s="1167"/>
      <c r="P12" s="1167"/>
      <c r="Q12" s="1182"/>
      <c r="R12" s="1182"/>
      <c r="S12" s="1167"/>
      <c r="AC12" s="1159" t="s">
        <v>379</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487</v>
      </c>
      <c r="B18" s="785"/>
      <c r="E18" s="794"/>
      <c r="G18" s="210"/>
      <c r="H18" s="210"/>
      <c r="I18" s="210"/>
      <c r="J18" s="210"/>
      <c r="K18" s="210"/>
      <c r="L18" s="210"/>
      <c r="M18" s="210"/>
      <c r="N18" s="210"/>
      <c r="O18" s="210"/>
      <c r="P18" s="210"/>
      <c r="Q18" s="736"/>
      <c r="R18" s="736"/>
      <c r="S18" s="210"/>
      <c r="AC18" s="172" t="s">
        <v>433</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924</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390</v>
      </c>
      <c r="AC24" s="1531" t="s">
        <v>433</v>
      </c>
      <c r="AD24" s="1531" t="s">
        <v>434</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587</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407</v>
      </c>
      <c r="AF25" s="1353" t="s">
        <v>588</v>
      </c>
      <c r="AG25" s="167" t="s">
        <v>589</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сведения'!$AL$169:$AL$218,MATCH($F27,'Общие сведения'!$Z$169:$Z$218,0))</f>
        <v>0</v>
      </c>
      <c r="L27" s="210" cm="1" t="str">
        <f t="array" ref="L27:L27">INDEX('Общие сведения'!$AK$169:$AK$218,MATCH($F27,'Общие сведения'!$Z$169:$Z$218,0))</f>
        <v>0</v>
      </c>
      <c r="T27" s="805">
        <f>X27&gt;0</f>
        <v>0</v>
      </c>
      <c r="V27" s="168" t="s">
        <v>309</v>
      </c>
      <c r="X27" s="168">
        <v>0</v>
      </c>
      <c r="AB27" s="260" cm="1" t="str">
        <f t="array" ref="AB27:AB27">INDEX('Общие сведения'!$AG$169:$AG$218,MATCH($F27,'Общие сведения'!$Z$169:$Z$218,0))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925</v>
      </c>
      <c r="I28" s="212" t="s">
        <v>926</v>
      </c>
      <c r="T28" s="920" cm="1" t="str">
        <f t="array" ref="T28:T28">T27</f>
        <v>false</v>
      </c>
      <c r="AB28" s="283">
        <v>1</v>
      </c>
      <c r="AC28" s="278" t="s">
        <v>927</v>
      </c>
      <c r="AD28" s="277" t="s">
        <v>805</v>
      </c>
      <c r="AE28" s="609">
        <f>SUMIF($I33:$I45,$I28,AE33:AE45)</f>
        <v>0</v>
      </c>
      <c r="AF28" s="609">
        <f>SUMIF($I33:$I45,$I28,AF33:AF45)</f>
        <v>0</v>
      </c>
      <c r="AG28" s="609">
        <f>SUMIF($I33:$I45,$I28,AG33:AG45)</f>
        <v>0</v>
      </c>
      <c r="AH28" s="609">
        <f>SUMIF($I33:$I45,$I28,AH33:AH45)</f>
        <v>0</v>
      </c>
      <c r="AI28" s="609">
        <f>SUMIF($I33:$I45,$I28,AI33:AI45)</f>
        <v>0</v>
      </c>
      <c r="AJ28" s="881">
        <f>SUMIF($I33:$I45,$I28,AJ33:AJ45)</f>
        <v>0</v>
      </c>
      <c r="AK28" s="881">
        <f>SUMIF($I33:$I45,$I28,AK33:AK45)</f>
        <v>0</v>
      </c>
      <c r="AL28" s="881">
        <f>SUMIF($I33:$I45,$I28,AL33:AL45)</f>
        <v>0</v>
      </c>
      <c r="AM28" s="881">
        <f>SUMIF($I33:$I45,$I28,AM33:AM45)</f>
        <v>0</v>
      </c>
      <c r="AN28" s="97">
        <f>SUMIF($I33:$I45,$I28,AN33:AN45)</f>
        <v>0</v>
      </c>
      <c r="AO28" s="97">
        <f>SUMIF($I33:$I45,$I28,AO33:AO45)</f>
        <v>0</v>
      </c>
      <c r="AP28" s="97">
        <f>SUMIF($I33:$I45,$I28,AP33:AP45)</f>
        <v>0</v>
      </c>
      <c r="AQ28" s="97">
        <f>SUMIF($I33:$I45,$I28,AQ33:AQ45)</f>
        <v>0</v>
      </c>
      <c r="AR28" s="97">
        <f>SUMIF($I33:$I45,$I28,AR33:AR45)</f>
        <v>0</v>
      </c>
      <c r="AS28" s="609">
        <f>SUMIF($I33:$I45,$I28,AS33:AS45)</f>
        <v>0</v>
      </c>
      <c r="AT28" s="881">
        <f>SUMIF($I33:$I45,$I28,AT33:AT45)</f>
        <v>0</v>
      </c>
      <c r="AU28" s="881">
        <f>SUMIF($I33:$I45,$I28,AU33:AU45)</f>
        <v>0</v>
      </c>
      <c r="AV28" s="881">
        <f>SUMIF($I33:$I45,$I28,AV33:AV45)</f>
        <v>0</v>
      </c>
      <c r="AW28" s="881">
        <f>SUMIF($I33:$I45,$I28,AW33:AW45)</f>
        <v>0</v>
      </c>
      <c r="AX28" s="97">
        <f>SUMIF($I33:$I45,$I28,AX33:AX45)</f>
        <v>0</v>
      </c>
      <c r="AY28" s="97">
        <f>SUMIF($I33:$I45,$I28,AY33:AY45)</f>
        <v>0</v>
      </c>
      <c r="AZ28" s="97">
        <f>SUMIF($I33:$I45,$I28,AZ33:AZ45)</f>
        <v>0</v>
      </c>
      <c r="BA28" s="97">
        <f>SUMIF($I33:$I45,$I28,BA33:BA45)</f>
        <v>0</v>
      </c>
      <c r="BB28" s="97">
        <f>SUMIF($I33:$I45,$I28,BB33:BB45)</f>
        <v>0</v>
      </c>
      <c r="BC28" s="80"/>
      <c r="BF28" s="1170" t="s">
        <v>928</v>
      </c>
      <c r="BG28" s="1187"/>
      <c r="BH28" s="1187"/>
      <c r="BI28" s="1188"/>
      <c r="BJ28" s="1188"/>
    </row>
    <row s="1459" customFormat="1" customHeight="1" ht="16.672500000000003" hidden="1">
      <c r="E29" s="800">
        <v>17.1</v>
      </c>
      <c r="F29" s="919" cm="1" t="str">
        <f t="array" ref="F29:F29">OFFSET(G29,-1,-1)</f>
        <v>0</v>
      </c>
      <c r="T29" s="920" cm="1" t="str">
        <f t="array" ref="T29:T29">T28</f>
        <v>false</v>
      </c>
      <c r="AB29" s="213" t="s">
        <v>442</v>
      </c>
      <c r="AC29" s="273" t="s">
        <v>929</v>
      </c>
      <c r="AD29" s="167" t="s">
        <v>728</v>
      </c>
      <c r="AE29" s="264">
        <f>SUMIF($AD33:$AD45,$AD29,AE33:AE45)</f>
        <v>0</v>
      </c>
      <c r="AF29" s="264">
        <f>SUMIF($AD33:$AD45,$AD29,AF33:AF45)</f>
        <v>0</v>
      </c>
      <c r="AG29" s="264">
        <f>SUMIF($AD33:$AD45,$AD29,AG33:AG45)</f>
        <v>0</v>
      </c>
      <c r="AH29" s="264">
        <f>SUMIF($AD33:$AD45,$AD29,AH33:AH45)</f>
        <v>0</v>
      </c>
      <c r="AI29" s="264">
        <f>SUMIF($AD33:$AD45,$AD29,AI33:AI45)</f>
        <v>0</v>
      </c>
      <c r="AJ29" s="209">
        <f>SUMIF($AD33:$AD45,$AD29,AJ33:AJ45)</f>
        <v>0</v>
      </c>
      <c r="AK29" s="209">
        <f>SUMIF($AD33:$AD45,$AD29,AK33:AK45)</f>
        <v>0</v>
      </c>
      <c r="AL29" s="209">
        <f>SUMIF($AD33:$AD45,$AD29,AL33:AL45)</f>
        <v>0</v>
      </c>
      <c r="AM29" s="209">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209">
        <f>SUMIF($AD33:$AD45,$AD29,AT33:AT45)</f>
        <v>0</v>
      </c>
      <c r="AU29" s="209">
        <f>SUMIF($AD33:$AD45,$AD29,AU33:AU45)</f>
        <v>0</v>
      </c>
      <c r="AV29" s="209">
        <f>SUMIF($AD33:$AD45,$AD29,AV33:AV45)</f>
        <v>0</v>
      </c>
      <c r="AW29" s="209">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1" t="s">
        <v>930</v>
      </c>
      <c r="BG29" s="1187"/>
      <c r="BH29" s="1187"/>
      <c r="BI29" s="1188"/>
      <c r="BJ29" s="1188"/>
    </row>
    <row s="1459" customFormat="1" customHeight="1" ht="16.672500000000003" hidden="1">
      <c r="E30" s="800">
        <v>17.1</v>
      </c>
      <c r="F30" s="919" cm="1" t="str">
        <f t="array" ref="F30:F30">OFFSET(G30,-1,-1)</f>
        <v>0</v>
      </c>
      <c r="T30" s="920" cm="1" t="str">
        <f t="array" ref="T30:T30">T29</f>
        <v>false</v>
      </c>
      <c r="AB30" s="213" t="s">
        <v>931</v>
      </c>
      <c r="AC30" s="273" t="s">
        <v>932</v>
      </c>
      <c r="AD30" s="167" t="s">
        <v>591</v>
      </c>
      <c r="AE30" s="98">
        <f>IF($K27="передача тепловой энергии",_xlfn.SUMIFS('Баланс Тр'!AE$27:AE$50,'Баланс Тр'!$F$27:$F$50,$F30,'Баланс Тр'!$AB$27:$AB$50,"3"),_xlfn.SUMIFS('Баланс Пр'!AE$27:AE$233,'Баланс Пр'!$F$27:$F$233,$F30,'Баланс Пр'!$AB$27:$AB$233,"9.1"))</f>
        <v>0</v>
      </c>
      <c r="AF30" s="98">
        <f>IF($K27="передача тепловой энергии",_xlfn.SUMIFS('Баланс Тр'!AF$27:AF$50,'Баланс Тр'!$F$27:$F$50,$F30,'Баланс Тр'!$AB$27:$AB$50,"3"),_xlfn.SUMIFS('Баланс Пр'!AF$27:AF$233,'Баланс Пр'!$F$27:$F$233,$F30,'Баланс Пр'!$AB$27:$AB$233,"9.1"))</f>
        <v>0</v>
      </c>
      <c r="AG30" s="98">
        <f>IF($K27="передача тепловой энергии",_xlfn.SUMIFS('Баланс Тр'!AG$27:AG$50,'Баланс Тр'!$F$27:$F$50,$F30,'Баланс Тр'!$AB$27:$AB$50,"3"),_xlfn.SUMIFS('Баланс Пр'!AG$27:AG$233,'Баланс Пр'!$F$27:$F$233,$F30,'Баланс Пр'!$AB$27:$AB$233,"9.1"))</f>
        <v>0</v>
      </c>
      <c r="AH30" s="98">
        <f>IF($K27="передача тепловой энергии",_xlfn.SUMIFS('Баланс Тр'!AH$27:AH$50,'Баланс Тр'!$F$27:$F$50,$F30,'Баланс Тр'!$AB$27:$AB$50,"3"),_xlfn.SUMIFS('Баланс Пр'!AH$27:AH$233,'Баланс Пр'!$F$27:$F$233,$F30,'Баланс Пр'!$AB$27:$AB$233,"9.1"))</f>
        <v>0</v>
      </c>
      <c r="AI30" s="308">
        <f>IF($K27="передача тепловой энергии",_xlfn.SUMIFS('Баланс Тр'!AI$27:AI$50,'Баланс Тр'!$F$27:$F$50,$F30,'Баланс Тр'!$AB$27:$AB$50,"3"),_xlfn.SUMIFS('Баланс Пр'!AI$27:AI$233,'Баланс Пр'!$F$27:$F$233,$F30,'Баланс Пр'!$AB$27:$AB$233,"9.1"))</f>
        <v>0</v>
      </c>
      <c r="AJ30" s="308">
        <f>IF($K27="передача тепловой энергии",_xlfn.SUMIFS('Баланс Тр'!AJ$27:AJ$50,'Баланс Тр'!$F$27:$F$50,$F30,'Баланс Тр'!$AB$27:$AB$50,"3"),_xlfn.SUMIFS('Баланс Пр'!AJ$27:AJ$233,'Баланс Пр'!$F$27:$F$233,$F30,'Баланс Пр'!$AB$27:$AB$233,"9.1"))</f>
        <v>0</v>
      </c>
      <c r="AK30" s="308">
        <f>IF($K27="передача тепловой энергии",_xlfn.SUMIFS('Баланс Тр'!AK$27:AK$50,'Баланс Тр'!$F$27:$F$50,$F30,'Баланс Тр'!$AB$27:$AB$50,"3"),_xlfn.SUMIFS('Баланс Пр'!AK$27:AK$233,'Баланс Пр'!$F$27:$F$233,$F30,'Баланс Пр'!$AB$27:$AB$233,"9.1"))</f>
        <v>0</v>
      </c>
      <c r="AL30" s="308">
        <f>IF($K27="передача тепловой энергии",_xlfn.SUMIFS('Баланс Тр'!AL$27:AL$50,'Баланс Тр'!$F$27:$F$50,$F30,'Баланс Тр'!$AB$27:$AB$50,"3"),_xlfn.SUMIFS('Баланс Пр'!AL$27:AL$233,'Баланс Пр'!$F$27:$F$233,$F30,'Баланс Пр'!$AB$27:$AB$233,"9.1"))</f>
        <v>0</v>
      </c>
      <c r="AM30" s="308">
        <f>IF($K27="передача тепловой энергии",_xlfn.SUMIFS('Баланс Тр'!AM$27:AM$50,'Баланс Тр'!$F$27:$F$50,$F30,'Баланс Тр'!$AB$27:$AB$50,"3"),_xlfn.SUMIFS('Баланс Пр'!AM$27:AM$233,'Баланс Пр'!$F$27:$F$233,$F30,'Баланс Пр'!$AB$27:$AB$233,"9.1"))</f>
        <v>0</v>
      </c>
      <c r="AN30" s="98">
        <f>IF($K27="передача тепловой энергии",_xlfn.SUMIFS('Баланс Тр'!AN$27:AN$50,'Баланс Тр'!$F$27:$F$50,$F30,'Баланс Тр'!$AB$27:$AB$50,"3"),_xlfn.SUMIFS('Баланс Пр'!AN$27:AN$233,'Баланс Пр'!$F$27:$F$233,$F30,'Баланс Пр'!$AB$27:$AB$233,"9.1"))</f>
        <v>0</v>
      </c>
      <c r="AO30" s="98">
        <f>IF($K27="передача тепловой энергии",_xlfn.SUMIFS('Баланс Тр'!AO$27:AO$50,'Баланс Тр'!$F$27:$F$50,$F30,'Баланс Тр'!$AB$27:$AB$50,"3"),_xlfn.SUMIFS('Баланс Пр'!AO$27:AO$233,'Баланс Пр'!$F$27:$F$233,$F30,'Баланс Пр'!$AB$27:$AB$233,"9.1"))</f>
        <v>0</v>
      </c>
      <c r="AP30" s="98">
        <f>IF($K27="передача тепловой энергии",_xlfn.SUMIFS('Баланс Тр'!AP$27:AP$50,'Баланс Тр'!$F$27:$F$50,$F30,'Баланс Тр'!$AB$27:$AB$50,"3"),_xlfn.SUMIFS('Баланс Пр'!AP$27:AP$233,'Баланс Пр'!$F$27:$F$233,$F30,'Баланс Пр'!$AB$27:$AB$233,"9.1"))</f>
        <v>0</v>
      </c>
      <c r="AQ30" s="98">
        <f>IF($K27="передача тепловой энергии",_xlfn.SUMIFS('Баланс Тр'!AQ$27:AQ$50,'Баланс Тр'!$F$27:$F$50,$F30,'Баланс Тр'!$AB$27:$AB$50,"3"),_xlfn.SUMIFS('Баланс Пр'!AQ$27:AQ$233,'Баланс Пр'!$F$27:$F$233,$F30,'Баланс Пр'!$AB$27:$AB$233,"9.1"))</f>
        <v>0</v>
      </c>
      <c r="AR30" s="98">
        <f>IF($K27="передача тепловой энергии",_xlfn.SUMIFS('Баланс Тр'!AR$27:AR$50,'Баланс Тр'!$F$27:$F$50,$F30,'Баланс Тр'!$AB$27:$AB$50,"3"),_xlfn.SUMIFS('Баланс Пр'!AR$27:AR$233,'Баланс Пр'!$F$27:$F$233,$F30,'Баланс Пр'!$AB$27:$AB$233,"9.1"))</f>
        <v>0</v>
      </c>
      <c r="AS30" s="308">
        <f>IF($K27="передача тепловой энергии",_xlfn.SUMIFS('Баланс Тр'!AS$27:AS$50,'Баланс Тр'!$F$27:$F$50,$F30,'Баланс Тр'!$AB$27:$AB$50,"3"),_xlfn.SUMIFS('Баланс Пр'!AS$27:AS$233,'Баланс Пр'!$F$27:$F$233,$F30,'Баланс Пр'!$AB$27:$AB$233,"9.1"))</f>
        <v>0</v>
      </c>
      <c r="AT30" s="308">
        <f>IF($K27="передача тепловой энергии",_xlfn.SUMIFS('Баланс Тр'!AT$27:AT$50,'Баланс Тр'!$F$27:$F$50,$F30,'Баланс Тр'!$AB$27:$AB$50,"3"),_xlfn.SUMIFS('Баланс Пр'!AT$27:AT$233,'Баланс Пр'!$F$27:$F$233,$F30,'Баланс Пр'!$AB$27:$AB$233,"9.1"))</f>
        <v>0</v>
      </c>
      <c r="AU30" s="308">
        <f>IF($K27="передача тепловой энергии",_xlfn.SUMIFS('Баланс Тр'!AU$27:AU$50,'Баланс Тр'!$F$27:$F$50,$F30,'Баланс Тр'!$AB$27:$AB$50,"3"),_xlfn.SUMIFS('Баланс Пр'!AU$27:AU$233,'Баланс Пр'!$F$27:$F$233,$F30,'Баланс Пр'!$AB$27:$AB$233,"9.1"))</f>
        <v>0</v>
      </c>
      <c r="AV30" s="308">
        <f>IF($K27="передача тепловой энергии",_xlfn.SUMIFS('Баланс Тр'!AV$27:AV$50,'Баланс Тр'!$F$27:$F$50,$F30,'Баланс Тр'!$AB$27:$AB$50,"3"),_xlfn.SUMIFS('Баланс Пр'!AV$27:AV$233,'Баланс Пр'!$F$27:$F$233,$F30,'Баланс Пр'!$AB$27:$AB$233,"9.1"))</f>
        <v>0</v>
      </c>
      <c r="AW30" s="308">
        <f>IF($K27="передача тепловой энергии",_xlfn.SUMIFS('Баланс Тр'!AW$27:AW$50,'Баланс Тр'!$F$27:$F$50,$F30,'Баланс Тр'!$AB$27:$AB$50,"3"),_xlfn.SUMIFS('Баланс Пр'!AW$27:AW$233,'Баланс Пр'!$F$27:$F$233,$F30,'Баланс Пр'!$AB$27:$AB$233,"9.1"))</f>
        <v>0</v>
      </c>
      <c r="AX30" s="98">
        <f>IF($K27="передача тепловой энергии",_xlfn.SUMIFS('Баланс Тр'!AX$27:AX$50,'Баланс Тр'!$F$27:$F$50,$F30,'Баланс Тр'!$AB$27:$AB$50,"3"),_xlfn.SUMIFS('Баланс Пр'!AX$27:AX$233,'Баланс Пр'!$F$27:$F$233,$F30,'Баланс Пр'!$AB$27:$AB$233,"9.1"))</f>
        <v>0</v>
      </c>
      <c r="AY30" s="98">
        <f>IF($K27="передача тепловой энергии",_xlfn.SUMIFS('Баланс Тр'!AY$27:AY$50,'Баланс Тр'!$F$27:$F$50,$F30,'Баланс Тр'!$AB$27:$AB$50,"3"),_xlfn.SUMIFS('Баланс Пр'!AY$27:AY$233,'Баланс Пр'!$F$27:$F$233,$F30,'Баланс Пр'!$AB$27:$AB$233,"9.1"))</f>
        <v>0</v>
      </c>
      <c r="AZ30" s="98">
        <f>IF($K27="передача тепловой энергии",_xlfn.SUMIFS('Баланс Тр'!AZ$27:AZ$50,'Баланс Тр'!$F$27:$F$50,$F30,'Баланс Тр'!$AB$27:$AB$50,"3"),_xlfn.SUMIFS('Баланс Пр'!AZ$27:AZ$233,'Баланс Пр'!$F$27:$F$233,$F30,'Баланс Пр'!$AB$27:$AB$233,"9.1"))</f>
        <v>0</v>
      </c>
      <c r="BA30" s="98">
        <f>IF($K27="передача тепловой энергии",_xlfn.SUMIFS('Баланс Тр'!BA$27:BA$50,'Баланс Тр'!$F$27:$F$50,$F30,'Баланс Тр'!$AB$27:$AB$50,"3"),_xlfn.SUMIFS('Баланс Пр'!BA$27:BA$233,'Баланс Пр'!$F$27:$F$233,$F30,'Баланс Пр'!$AB$27:$AB$233,"9.1"))</f>
        <v>0</v>
      </c>
      <c r="BB30" s="98">
        <f>IF($K27="передача тепловой энергии",_xlfn.SUMIFS('Баланс Тр'!BB$27:BB$50,'Баланс Тр'!$F$27:$F$50,$F30,'Баланс Тр'!$AB$27:$AB$50,"3"),_xlfn.SUMIFS('Баланс Пр'!BB$27:BB$233,'Баланс Пр'!$F$27:$F$233,$F30,'Баланс Пр'!$AB$27:$AB$233,"9.1"))</f>
        <v>0</v>
      </c>
      <c r="BC30" s="73"/>
      <c r="BF30" s="1181" t="s">
        <v>754</v>
      </c>
      <c r="BG30" s="1187"/>
      <c r="BH30" s="1187"/>
      <c r="BI30" s="1188"/>
      <c r="BJ30" s="1188"/>
    </row>
    <row s="1459" customFormat="1" customHeight="1" ht="16.672500000000003" hidden="1">
      <c r="E31" s="800">
        <v>17.1</v>
      </c>
      <c r="F31" s="919" cm="1" t="str">
        <f t="array" ref="F31:F31">OFFSET(G31,-1,-1)</f>
        <v>0</v>
      </c>
      <c r="T31" s="920" cm="1" t="str">
        <f t="array" ref="T31:T31">T30</f>
        <v>false</v>
      </c>
      <c r="AB31" s="213" t="s">
        <v>933</v>
      </c>
      <c r="AC31" s="273" t="s">
        <v>934</v>
      </c>
      <c r="AD31" s="167" t="s">
        <v>935</v>
      </c>
      <c r="AE31" s="264">
        <f>IF(AE29=0,0,AE28/AE29)</f>
        <v>0</v>
      </c>
      <c r="AF31" s="264">
        <f>IF(AF29=0,0,AF28/AF29)</f>
        <v>0</v>
      </c>
      <c r="AG31" s="264">
        <f>IF(AG29=0,0,AG28/AG29)</f>
        <v>0</v>
      </c>
      <c r="AH31" s="264">
        <f>IF(AH29=0,0,AH28/AH29)</f>
        <v>0</v>
      </c>
      <c r="AI31" s="264">
        <f>IF(AI29=0,0,AI28/AI29)</f>
        <v>0</v>
      </c>
      <c r="AJ31" s="209">
        <f>IF(AJ29=0,0,AJ28/AJ29)</f>
        <v>0</v>
      </c>
      <c r="AK31" s="209">
        <f>IF(AK29=0,0,AK28/AK29)</f>
        <v>0</v>
      </c>
      <c r="AL31" s="209">
        <f>IF(AL29=0,0,AL28/AL29)</f>
        <v>0</v>
      </c>
      <c r="AM31" s="209">
        <f>IF(AM29=0,0,AM28/AM29)</f>
        <v>0</v>
      </c>
      <c r="AN31" s="58">
        <f>IF(AN29=0,0,AN28/AN29)</f>
        <v>0</v>
      </c>
      <c r="AO31" s="58">
        <f>IF(AO29=0,0,AO28/AO29)</f>
        <v>0</v>
      </c>
      <c r="AP31" s="58">
        <f>IF(AP29=0,0,AP28/AP29)</f>
        <v>0</v>
      </c>
      <c r="AQ31" s="58">
        <f>IF(AQ29=0,0,AQ28/AQ29)</f>
        <v>0</v>
      </c>
      <c r="AR31" s="58">
        <f>IF(AR29=0,0,AR28/AR29)</f>
        <v>0</v>
      </c>
      <c r="AS31" s="264">
        <f>IF(AS29=0,0,AS28/AS29)</f>
        <v>0</v>
      </c>
      <c r="AT31" s="209">
        <f>IF(AT29=0,0,AT28/AT29)</f>
        <v>0</v>
      </c>
      <c r="AU31" s="209">
        <f>IF(AU29=0,0,AU28/AU29)</f>
        <v>0</v>
      </c>
      <c r="AV31" s="209">
        <f>IF(AV29=0,0,AV28/AV29)</f>
        <v>0</v>
      </c>
      <c r="AW31" s="209">
        <f>IF(AW29=0,0,AW28/AW29)</f>
        <v>0</v>
      </c>
      <c r="AX31" s="58">
        <f>IF(AX29=0,0,AX28/AX29)</f>
        <v>0</v>
      </c>
      <c r="AY31" s="58">
        <f>IF(AY29=0,0,AY28/AY29)</f>
        <v>0</v>
      </c>
      <c r="AZ31" s="58">
        <f>IF(AZ29=0,0,AZ28/AZ29)</f>
        <v>0</v>
      </c>
      <c r="BA31" s="58">
        <f>IF(BA29=0,0,BA28/BA29)</f>
        <v>0</v>
      </c>
      <c r="BB31" s="58">
        <f>IF(BB29=0,0,BB28/BB29)</f>
        <v>0</v>
      </c>
      <c r="BC31" s="73"/>
      <c r="BF31" s="1181" t="s">
        <v>936</v>
      </c>
      <c r="BG31" s="1187"/>
      <c r="BH31" s="1187"/>
      <c r="BI31" s="1188"/>
      <c r="BJ31" s="1188"/>
    </row>
    <row s="1459" customFormat="1" customHeight="1" ht="16.672500000000003" hidden="1">
      <c r="E32" s="800">
        <v>17.1</v>
      </c>
      <c r="F32" s="919" cm="1" t="str">
        <f t="array" ref="F32:F32">OFFSET(G32,-1,-1)</f>
        <v>0</v>
      </c>
      <c r="T32" s="920" cm="1" t="str">
        <f t="array" ref="T32:T32">T31</f>
        <v>false</v>
      </c>
      <c r="AB32" s="213" t="s">
        <v>937</v>
      </c>
      <c r="AC32" s="273" t="s">
        <v>938</v>
      </c>
      <c r="AD32" s="167" t="s">
        <v>740</v>
      </c>
      <c r="AE32" s="384">
        <f>IF(AE30=0,0,AE29/AE30)*1000</f>
        <v>0</v>
      </c>
      <c r="AF32" s="384">
        <f>IF(AF30=0,0,AF29/AF30)*1000</f>
        <v>0</v>
      </c>
      <c r="AG32" s="384">
        <f>IF(AG30=0,0,AG29/AG30)*1000</f>
        <v>0</v>
      </c>
      <c r="AH32" s="384">
        <f>IF(AH30=0,0,AH29/AH30)*1000</f>
        <v>0</v>
      </c>
      <c r="AI32" s="384">
        <f>IF(AI30=0,0,AI29/AI30)*1000</f>
        <v>0</v>
      </c>
      <c r="AJ32" s="349">
        <f>IF(AJ30=0,0,AJ29/AJ30)*1000</f>
        <v>0</v>
      </c>
      <c r="AK32" s="349">
        <f>IF(AK30=0,0,AK29/AK30)*1000</f>
        <v>0</v>
      </c>
      <c r="AL32" s="349">
        <f>IF(AL30=0,0,AL29/AL30)*1000</f>
        <v>0</v>
      </c>
      <c r="AM32" s="349">
        <f>IF(AM30=0,0,AM29/AM30)*1000</f>
        <v>0</v>
      </c>
      <c r="AN32" s="99">
        <f>IF(AN30=0,0,AN29/AN30)*1000</f>
        <v>0</v>
      </c>
      <c r="AO32" s="99">
        <f>IF(AO30=0,0,AO29/AO30)*1000</f>
        <v>0</v>
      </c>
      <c r="AP32" s="99">
        <f>IF(AP30=0,0,AP29/AP30)*1000</f>
        <v>0</v>
      </c>
      <c r="AQ32" s="99">
        <f>IF(AQ30=0,0,AQ29/AQ30)*1000</f>
        <v>0</v>
      </c>
      <c r="AR32" s="99">
        <f>IF(AR30=0,0,AR29/AR30)*1000</f>
        <v>0</v>
      </c>
      <c r="AS32" s="384">
        <f>IF(AS30=0,0,AS29/AS30)*1000</f>
        <v>0</v>
      </c>
      <c r="AT32" s="349">
        <f>IF(AT30=0,0,AT29/AT30)*1000</f>
        <v>0</v>
      </c>
      <c r="AU32" s="349">
        <f>IF(AU30=0,0,AU29/AU30)*1000</f>
        <v>0</v>
      </c>
      <c r="AV32" s="349">
        <f>IF(AV30=0,0,AV29/AV30)*1000</f>
        <v>0</v>
      </c>
      <c r="AW32" s="349">
        <f>IF(AW30=0,0,AW29/AW30)*1000</f>
        <v>0</v>
      </c>
      <c r="AX32" s="99">
        <f>IF(AX30=0,0,AX29/AX30)*1000</f>
        <v>0</v>
      </c>
      <c r="AY32" s="99">
        <f>IF(AY30=0,0,AY29/AY30)*1000</f>
        <v>0</v>
      </c>
      <c r="AZ32" s="99">
        <f>IF(AZ30=0,0,AZ29/AZ30)*1000</f>
        <v>0</v>
      </c>
      <c r="BA32" s="99">
        <f>IF(BA30=0,0,BA29/BA30)*1000</f>
        <v>0</v>
      </c>
      <c r="BB32" s="99">
        <f>IF(BB30=0,0,BB29/BB30)*1000</f>
        <v>0</v>
      </c>
      <c r="BC32" s="73"/>
      <c r="BF32" s="1181" t="s">
        <v>731</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939</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926</v>
      </c>
      <c r="S34" s="155"/>
      <c r="T34" s="920">
        <f>AND(F34&gt;0,Y34&gt;0)</f>
        <v>0</v>
      </c>
      <c r="W34" s="168" t="s">
        <v>233</v>
      </c>
      <c r="Y34" s="168">
        <v>0</v>
      </c>
      <c r="AA34" s="1412" t="s">
        <v>217</v>
      </c>
      <c r="AB34" s="213" t="str">
        <f>"1.5."&amp;Y34</f>
        <v>1.5.0</v>
      </c>
      <c r="AC34" s="100"/>
      <c r="AD34" s="153" t="s">
        <v>805</v>
      </c>
      <c r="AE34" s="264">
        <f>AE35*AE36</f>
        <v>0</v>
      </c>
      <c r="AF34" s="58"/>
      <c r="AG34" s="58"/>
      <c r="AH34" s="264">
        <f>AH35*AH36</f>
        <v>0</v>
      </c>
      <c r="AI34" s="209"/>
      <c r="AJ34" s="209"/>
      <c r="AK34" s="209"/>
      <c r="AL34" s="209"/>
      <c r="AM34" s="209"/>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3"/>
      <c r="BF34" s="1181" t="s">
        <v>940</v>
      </c>
      <c r="BG34" s="1187" t="s">
        <v>941</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942</v>
      </c>
      <c r="AD35" s="171" t="s">
        <v>943</v>
      </c>
      <c r="AE35" s="101"/>
      <c r="AF35" s="1376">
        <f>IF(AF36=0,0,AF34/AF36)</f>
        <v>0</v>
      </c>
      <c r="AG35" s="1376">
        <f>IF(AG36=0,0,AG34/AG36)</f>
        <v>0</v>
      </c>
      <c r="AH35" s="101"/>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779"/>
      <c r="AU35" s="779"/>
      <c r="AV35" s="779"/>
      <c r="AW35" s="779"/>
      <c r="AX35" s="101"/>
      <c r="AY35" s="101"/>
      <c r="AZ35" s="101"/>
      <c r="BA35" s="101"/>
      <c r="BB35" s="101"/>
      <c r="BC35" s="68"/>
      <c r="BF35" s="1181" t="s">
        <v>944</v>
      </c>
      <c r="BG35" s="1187" t="s">
        <v>941</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945</v>
      </c>
      <c r="AD36" s="171" t="s">
        <v>728</v>
      </c>
      <c r="AE36" s="101"/>
      <c r="AF36" s="101"/>
      <c r="AG36" s="101"/>
      <c r="AH36" s="101"/>
      <c r="AI36" s="779"/>
      <c r="AJ36" s="779"/>
      <c r="AK36" s="779"/>
      <c r="AL36" s="779"/>
      <c r="AM36" s="779"/>
      <c r="AN36" s="101"/>
      <c r="AO36" s="101"/>
      <c r="AP36" s="101"/>
      <c r="AQ36" s="101"/>
      <c r="AR36" s="101"/>
      <c r="AS36" s="779"/>
      <c r="AT36" s="779"/>
      <c r="AU36" s="779"/>
      <c r="AV36" s="779"/>
      <c r="AW36" s="779"/>
      <c r="AX36" s="101"/>
      <c r="AY36" s="101"/>
      <c r="AZ36" s="101"/>
      <c r="BA36" s="101"/>
      <c r="BB36" s="101"/>
      <c r="BC36" s="68"/>
      <c r="BF36" s="1181" t="s">
        <v>946</v>
      </c>
      <c r="BG36" s="1187" t="s">
        <v>941</v>
      </c>
      <c r="BH36" s="1187" cm="1" t="str">
        <f t="array" ref="BH36:BH36">BH34</f>
        <v>0</v>
      </c>
      <c r="BI36" s="1188"/>
      <c r="BJ36" s="1188"/>
    </row>
    <row s="962" customFormat="1" customHeight="1" ht="16.672500000000003" hidden="1">
      <c r="E37" s="794">
        <v>17.1</v>
      </c>
      <c r="F37" s="919" cm="1" t="str">
        <f t="array" ref="F37:F37">OFFSET(G37,-1,-1)</f>
        <v>0</v>
      </c>
      <c r="T37" s="920">
        <f>F37&gt;0</f>
        <v>0</v>
      </c>
      <c r="W37" s="371" t="s">
        <v>947</v>
      </c>
      <c r="AB37" s="813"/>
      <c r="AC37" s="780" t="s">
        <v>235</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941</v>
      </c>
      <c r="BJ37" s="1186"/>
    </row>
    <row s="1459" customFormat="1" customHeight="1" ht="16.672500000000003" hidden="1">
      <c r="E38" s="800">
        <v>17.1</v>
      </c>
      <c r="F38" s="919" cm="1" t="str">
        <f t="array" ref="F38:F38">OFFSET(G38,-1,-1)</f>
        <v>0</v>
      </c>
      <c r="S38" s="155"/>
      <c r="T38" s="920">
        <f>F38&gt;0</f>
        <v>0</v>
      </c>
      <c r="AB38" s="782"/>
      <c r="AC38" s="340" t="s">
        <v>948</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926</v>
      </c>
      <c r="S39" s="155"/>
      <c r="T39" s="920">
        <f>AND(F39&gt;0,Y39&gt;0)</f>
        <v>0</v>
      </c>
      <c r="W39" s="168" t="s">
        <v>233</v>
      </c>
      <c r="Y39" s="168">
        <v>0</v>
      </c>
      <c r="AA39" s="1412" t="s">
        <v>217</v>
      </c>
      <c r="AB39" s="213" t="str">
        <f>"1.6."&amp;Y39</f>
        <v>1.6.0</v>
      </c>
      <c r="AC39" s="100"/>
      <c r="AD39" s="153" t="s">
        <v>805</v>
      </c>
      <c r="AE39" s="264">
        <f>AE41+AE43</f>
        <v>0</v>
      </c>
      <c r="AF39" s="264">
        <f>AF41+AF43</f>
        <v>0</v>
      </c>
      <c r="AG39" s="264">
        <f>AG41+AG43</f>
        <v>0</v>
      </c>
      <c r="AH39" s="264">
        <f>AH41+AH43</f>
        <v>0</v>
      </c>
      <c r="AI39" s="264">
        <f>AI41+AI43</f>
        <v>0</v>
      </c>
      <c r="AJ39" s="209">
        <f>AJ41+AJ43</f>
        <v>0</v>
      </c>
      <c r="AK39" s="209">
        <f>AK41+AK43</f>
        <v>0</v>
      </c>
      <c r="AL39" s="209">
        <f>AL41+AL43</f>
        <v>0</v>
      </c>
      <c r="AM39" s="209">
        <f>AM41+AM43</f>
        <v>0</v>
      </c>
      <c r="AN39" s="58">
        <f>AN41+AN43</f>
        <v>0</v>
      </c>
      <c r="AO39" s="58">
        <f>AO41+AO43</f>
        <v>0</v>
      </c>
      <c r="AP39" s="58">
        <f>AP41+AP43</f>
        <v>0</v>
      </c>
      <c r="AQ39" s="58">
        <f>AQ41+AQ43</f>
        <v>0</v>
      </c>
      <c r="AR39" s="58">
        <f>AR41+AR43</f>
        <v>0</v>
      </c>
      <c r="AS39" s="264">
        <f>AS41+AS43</f>
        <v>0</v>
      </c>
      <c r="AT39" s="209">
        <f>AT41+AT43</f>
        <v>0</v>
      </c>
      <c r="AU39" s="209">
        <f>AU41+AU43</f>
        <v>0</v>
      </c>
      <c r="AV39" s="209">
        <f>AV41+AV43</f>
        <v>0</v>
      </c>
      <c r="AW39" s="209">
        <f>AW41+AW43</f>
        <v>0</v>
      </c>
      <c r="AX39" s="58">
        <f>AX41+AX43</f>
        <v>0</v>
      </c>
      <c r="AY39" s="58">
        <f>AY41+AY43</f>
        <v>0</v>
      </c>
      <c r="AZ39" s="58">
        <f>AZ41+AZ43</f>
        <v>0</v>
      </c>
      <c r="BA39" s="58">
        <f>BA41+BA43</f>
        <v>0</v>
      </c>
      <c r="BB39" s="58">
        <f>BB41+BB43</f>
        <v>0</v>
      </c>
      <c r="BC39" s="73"/>
      <c r="BF39" s="1181" t="s">
        <v>949</v>
      </c>
      <c r="BG39" s="1187" t="s">
        <v>950</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942</v>
      </c>
      <c r="AD40" s="153" t="s">
        <v>943</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209"/>
      <c r="AU40" s="209"/>
      <c r="AV40" s="209"/>
      <c r="AW40" s="209"/>
      <c r="AX40" s="58"/>
      <c r="AY40" s="58"/>
      <c r="AZ40" s="58"/>
      <c r="BA40" s="58"/>
      <c r="BB40" s="58"/>
      <c r="BC40" s="73"/>
      <c r="BF40" s="1181" t="s">
        <v>944</v>
      </c>
      <c r="BG40" s="1187" t="s">
        <v>950</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951</v>
      </c>
      <c r="AD41" s="153" t="s">
        <v>805</v>
      </c>
      <c r="AE41" s="58"/>
      <c r="AF41" s="58"/>
      <c r="AG41" s="58"/>
      <c r="AH41" s="58"/>
      <c r="AI41" s="209"/>
      <c r="AJ41" s="209"/>
      <c r="AK41" s="209"/>
      <c r="AL41" s="209"/>
      <c r="AM41" s="209"/>
      <c r="AN41" s="58"/>
      <c r="AO41" s="58"/>
      <c r="AP41" s="58"/>
      <c r="AQ41" s="58"/>
      <c r="AR41" s="58"/>
      <c r="AS41" s="209"/>
      <c r="AT41" s="209"/>
      <c r="AU41" s="209"/>
      <c r="AV41" s="209"/>
      <c r="AW41" s="209"/>
      <c r="AX41" s="58"/>
      <c r="AY41" s="58"/>
      <c r="AZ41" s="58"/>
      <c r="BA41" s="58"/>
      <c r="BB41" s="58"/>
      <c r="BC41" s="73"/>
      <c r="BF41" s="1181" t="s">
        <v>940</v>
      </c>
      <c r="BG41" s="1187" t="s">
        <v>950</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945</v>
      </c>
      <c r="AD42" s="167" t="s">
        <v>728</v>
      </c>
      <c r="AE42" s="58"/>
      <c r="AF42" s="58"/>
      <c r="AG42" s="58"/>
      <c r="AH42" s="58"/>
      <c r="AI42" s="209"/>
      <c r="AJ42" s="209"/>
      <c r="AK42" s="209"/>
      <c r="AL42" s="209"/>
      <c r="AM42" s="209"/>
      <c r="AN42" s="58"/>
      <c r="AO42" s="58"/>
      <c r="AP42" s="58"/>
      <c r="AQ42" s="58"/>
      <c r="AR42" s="58"/>
      <c r="AS42" s="209"/>
      <c r="AT42" s="209"/>
      <c r="AU42" s="209"/>
      <c r="AV42" s="209"/>
      <c r="AW42" s="209"/>
      <c r="AX42" s="58"/>
      <c r="AY42" s="58"/>
      <c r="AZ42" s="58"/>
      <c r="BA42" s="58"/>
      <c r="BB42" s="58"/>
      <c r="BC42" s="73"/>
      <c r="BF42" s="1181" t="s">
        <v>946</v>
      </c>
      <c r="BG42" s="1187" t="s">
        <v>950</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952</v>
      </c>
      <c r="AD43" s="153" t="s">
        <v>953</v>
      </c>
      <c r="AE43" s="58"/>
      <c r="AF43" s="58"/>
      <c r="AG43" s="58"/>
      <c r="AH43" s="58"/>
      <c r="AI43" s="209"/>
      <c r="AJ43" s="209"/>
      <c r="AK43" s="209"/>
      <c r="AL43" s="209"/>
      <c r="AM43" s="209"/>
      <c r="AN43" s="58"/>
      <c r="AO43" s="58"/>
      <c r="AP43" s="58"/>
      <c r="AQ43" s="58"/>
      <c r="AR43" s="58"/>
      <c r="AS43" s="209"/>
      <c r="AT43" s="209"/>
      <c r="AU43" s="209"/>
      <c r="AV43" s="209"/>
      <c r="AW43" s="209"/>
      <c r="AX43" s="58"/>
      <c r="AY43" s="58"/>
      <c r="AZ43" s="58"/>
      <c r="BA43" s="58"/>
      <c r="BB43" s="58"/>
      <c r="BC43" s="73"/>
      <c r="BF43" s="1181" t="s">
        <v>954</v>
      </c>
      <c r="BG43" s="1187" t="s">
        <v>950</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955</v>
      </c>
      <c r="AD44" s="171" t="s">
        <v>956</v>
      </c>
      <c r="AE44" s="101"/>
      <c r="AF44" s="101"/>
      <c r="AG44" s="101"/>
      <c r="AH44" s="101"/>
      <c r="AI44" s="779"/>
      <c r="AJ44" s="779"/>
      <c r="AK44" s="779"/>
      <c r="AL44" s="779"/>
      <c r="AM44" s="779"/>
      <c r="AN44" s="101"/>
      <c r="AO44" s="101"/>
      <c r="AP44" s="101"/>
      <c r="AQ44" s="101"/>
      <c r="AR44" s="101"/>
      <c r="AS44" s="779"/>
      <c r="AT44" s="779"/>
      <c r="AU44" s="779"/>
      <c r="AV44" s="779"/>
      <c r="AW44" s="779"/>
      <c r="AX44" s="101"/>
      <c r="AY44" s="101"/>
      <c r="AZ44" s="101"/>
      <c r="BA44" s="101"/>
      <c r="BB44" s="101"/>
      <c r="BC44" s="68"/>
      <c r="BF44" s="1181" t="s">
        <v>957</v>
      </c>
      <c r="BG44" s="1187" t="s">
        <v>950</v>
      </c>
      <c r="BH44" s="1187" cm="1" t="str">
        <f t="array" ref="BH44:BH44">BH43</f>
        <v>0</v>
      </c>
      <c r="BI44" s="1188"/>
      <c r="BJ44" s="1188"/>
    </row>
    <row s="962" customFormat="1" customHeight="1" ht="16.672500000000003" hidden="1">
      <c r="E45" s="794">
        <v>17.1</v>
      </c>
      <c r="F45" s="919" cm="1" t="str">
        <f t="array" ref="F45:F45">OFFSET(G45,-1,-1)</f>
        <v>0</v>
      </c>
      <c r="T45" s="920">
        <f>F45&gt;0</f>
        <v>0</v>
      </c>
      <c r="W45" s="371" t="s">
        <v>958</v>
      </c>
      <c r="AB45" s="813"/>
      <c r="AC45" s="780" t="s">
        <v>959</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950</v>
      </c>
      <c r="BJ45" s="1186"/>
    </row>
    <row s="962" customFormat="1" customHeight="1" ht="12" hidden="1">
      <c r="E46" s="794">
        <v>0</v>
      </c>
      <c r="F46" s="919" cm="1" t="str">
        <f t="array" ref="F46:F46">OFFSET(G46,-1,-1)</f>
        <v>0</v>
      </c>
      <c r="T46" s="920">
        <f>F46&gt;0</f>
        <v>0</v>
      </c>
      <c r="BF46" s="1170"/>
      <c r="BG46" s="1170"/>
      <c r="BH46" s="1170"/>
      <c r="BI46" s="1186"/>
      <c r="BJ46" s="1186"/>
    </row>
    <row s="220" customFormat="1" customHeight="1" ht="14.625" hidden="1">
      <c r="E47" s="921">
        <v>15</v>
      </c>
      <c r="F47" s="919" cm="1" t="str">
        <f t="array" ref="F47:F47">OFFSET(G47,-1,-1)</f>
        <v>0</v>
      </c>
      <c r="G47" s="190" t="s">
        <v>960</v>
      </c>
      <c r="I47" s="212" t="s">
        <v>926</v>
      </c>
      <c r="T47" s="920">
        <f>F47&gt;0</f>
        <v>0</v>
      </c>
      <c r="AB47" s="814">
        <v>2</v>
      </c>
      <c r="AC47" s="783" t="s">
        <v>961</v>
      </c>
      <c r="AD47" s="784" t="s">
        <v>805</v>
      </c>
      <c r="AE47" s="279">
        <f>SUMIF($I51:$I67,$I47,AE51:AE67)</f>
        <v>0</v>
      </c>
      <c r="AF47" s="279">
        <f>SUMIF($I51:$I67,$I47,AF51:AF67)</f>
        <v>0</v>
      </c>
      <c r="AG47" s="279">
        <f>SUMIF($I51:$I67,$I47,AG51:AG67)</f>
        <v>0</v>
      </c>
      <c r="AH47" s="279">
        <f>SUMIF($I51:$I67,$I47,AH51:AH67)</f>
        <v>0</v>
      </c>
      <c r="AI47" s="279">
        <f>SUMIF($I51:$I67,$I47,AI51:AI67)</f>
        <v>0</v>
      </c>
      <c r="AJ47" s="292">
        <f>SUMIF($I51:$I67,$I47,AJ51:AJ67)</f>
        <v>0</v>
      </c>
      <c r="AK47" s="292">
        <f>SUMIF($I51:$I67,$I47,AK51:AK67)</f>
        <v>0</v>
      </c>
      <c r="AL47" s="292">
        <f>SUMIF($I51:$I67,$I47,AL51:AL67)</f>
        <v>0</v>
      </c>
      <c r="AM47" s="292">
        <f>SUMIF($I51:$I67,$I47,AM51:AM67)</f>
        <v>0</v>
      </c>
      <c r="AN47" s="102">
        <f>SUMIF($I51:$I67,$I47,AN51:AN67)</f>
        <v>0</v>
      </c>
      <c r="AO47" s="102">
        <f>SUMIF($I51:$I67,$I47,AO51:AO67)</f>
        <v>0</v>
      </c>
      <c r="AP47" s="102">
        <f>SUMIF($I51:$I67,$I47,AP51:AP67)</f>
        <v>0</v>
      </c>
      <c r="AQ47" s="102">
        <f>SUMIF($I51:$I67,$I47,AQ51:AQ67)</f>
        <v>0</v>
      </c>
      <c r="AR47" s="102">
        <f>SUMIF($I51:$I67,$I47,AR51:AR67)</f>
        <v>0</v>
      </c>
      <c r="AS47" s="279">
        <f>SUMIF($I51:$I67,$I47,AS51:AS67)</f>
        <v>0</v>
      </c>
      <c r="AT47" s="292">
        <f>SUMIF($I51:$I67,$I47,AT51:AT67)</f>
        <v>0</v>
      </c>
      <c r="AU47" s="292">
        <f>SUMIF($I51:$I67,$I47,AU51:AU67)</f>
        <v>0</v>
      </c>
      <c r="AV47" s="292">
        <f>SUMIF($I51:$I67,$I47,AV51:AV67)</f>
        <v>0</v>
      </c>
      <c r="AW47" s="292">
        <f>SUMIF($I51:$I67,$I47,AW51:AW67)</f>
        <v>0</v>
      </c>
      <c r="AX47" s="102">
        <f>SUMIF($I51:$I67,$I47,AX51:AX67)</f>
        <v>0</v>
      </c>
      <c r="AY47" s="102">
        <f>SUMIF($I51:$I67,$I47,AY51:AY67)</f>
        <v>0</v>
      </c>
      <c r="AZ47" s="102">
        <f>SUMIF($I51:$I67,$I47,AZ51:AZ67)</f>
        <v>0</v>
      </c>
      <c r="BA47" s="102">
        <f>SUMIF($I51:$I67,$I47,BA51:BA67)</f>
        <v>0</v>
      </c>
      <c r="BB47" s="102">
        <f>SUMIF($I51:$I67,$I47,BB51:BB67)</f>
        <v>0</v>
      </c>
      <c r="BC47" s="79"/>
      <c r="BF47" s="1189" t="s">
        <v>666</v>
      </c>
      <c r="BG47" s="1189"/>
      <c r="BH47" s="1189"/>
      <c r="BI47" s="1190"/>
      <c r="BJ47" s="1190"/>
    </row>
    <row s="220" customFormat="1" customHeight="1" ht="14.625" hidden="1">
      <c r="E48" s="921">
        <v>15</v>
      </c>
      <c r="F48" s="919" cm="1" t="str">
        <f t="array" ref="F48:F48">OFFSET(G48,-1,-1)</f>
        <v>0</v>
      </c>
      <c r="G48" s="190" t="s">
        <v>962</v>
      </c>
      <c r="L48" s="210" cm="1" t="str">
        <f t="array" ref="L48:L48">INDEX('Общие сведения'!$AK$169:$AK$218,MATCH($F48,'Общие сведения'!$Z$169:$Z$218,0))</f>
        <v>0</v>
      </c>
      <c r="R48" s="190" t="s">
        <v>963</v>
      </c>
      <c r="T48" s="920">
        <f>AND(F48&gt;0,L48="двухставочный")</f>
        <v>0</v>
      </c>
      <c r="AA48" s="918" t="s">
        <v>964</v>
      </c>
      <c r="AB48" s="285" t="s">
        <v>964</v>
      </c>
      <c r="AC48" s="587" t="s">
        <v>965</v>
      </c>
      <c r="AD48" s="607" t="s">
        <v>805</v>
      </c>
      <c r="AE48" s="666">
        <f>_xlfn.SUMIFS(AE51:AE67,$AC51:$AC67,$AC48)</f>
        <v>0</v>
      </c>
      <c r="AF48" s="666">
        <f>_xlfn.SUMIFS(AF51:AF67,$AC51:$AC67,$AC48)</f>
        <v>0</v>
      </c>
      <c r="AG48" s="666">
        <f>_xlfn.SUMIFS(AG51:AG67,$AC51:$AC67,$AC48)</f>
        <v>0</v>
      </c>
      <c r="AH48" s="666">
        <f>_xlfn.SUMIFS(AH51:AH67,$AC51:$AC67,$AC48)</f>
        <v>0</v>
      </c>
      <c r="AI48" s="666">
        <f>_xlfn.SUMIFS(AI51:AI67,$AC51:$AC67,$AC48)</f>
        <v>0</v>
      </c>
      <c r="AJ48" s="608">
        <f>_xlfn.SUMIFS(AJ51:AJ67,$AC51:$AC67,$AC48)</f>
        <v>0</v>
      </c>
      <c r="AK48" s="608">
        <f>_xlfn.SUMIFS(AK51:AK67,$AC51:$AC67,$AC48)</f>
        <v>0</v>
      </c>
      <c r="AL48" s="608">
        <f>_xlfn.SUMIFS(AL51:AL67,$AC51:$AC67,$AC48)</f>
        <v>0</v>
      </c>
      <c r="AM48" s="608">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608">
        <f>_xlfn.SUMIFS(AT51:AT67,$AC51:$AC67,$AC48)</f>
        <v>0</v>
      </c>
      <c r="AU48" s="608">
        <f>_xlfn.SUMIFS(AU51:AU67,$AC51:$AC67,$AC48)</f>
        <v>0</v>
      </c>
      <c r="AV48" s="608">
        <f>_xlfn.SUMIFS(AV51:AV67,$AC51:$AC67,$AC48)</f>
        <v>0</v>
      </c>
      <c r="AW48" s="608">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89" t="s">
        <v>966</v>
      </c>
      <c r="BG48" s="1189"/>
      <c r="BH48" s="1189"/>
      <c r="BI48" s="1190"/>
      <c r="BJ48" s="1190"/>
    </row>
    <row s="220" customFormat="1" customHeight="1" ht="14.625" hidden="1">
      <c r="E49" s="921">
        <v>15</v>
      </c>
      <c r="F49" s="919" cm="1" t="str">
        <f t="array" ref="F49:F49">OFFSET(G49,-1,-1)</f>
        <v>0</v>
      </c>
      <c r="T49" s="920" cm="1" t="str">
        <f t="array" ref="T49:T49">T47</f>
        <v>false</v>
      </c>
      <c r="AB49" s="213" t="s">
        <v>448</v>
      </c>
      <c r="AC49" s="273" t="s">
        <v>967</v>
      </c>
      <c r="AD49" s="151" t="s">
        <v>591</v>
      </c>
      <c r="AE49" s="264">
        <f>SUMIF($AD51:$AD67,$AD49,AE51:AE67)</f>
        <v>0</v>
      </c>
      <c r="AF49" s="264">
        <f>SUMIF($AD51:$AD67,$AD49,AF51:AF67)</f>
        <v>0</v>
      </c>
      <c r="AG49" s="264">
        <f>SUMIF($AD51:$AD67,$AD49,AG51:AG67)</f>
        <v>0</v>
      </c>
      <c r="AH49" s="264">
        <f>SUMIF($AD51:$AD67,$AD49,AH51:AH67)</f>
        <v>0</v>
      </c>
      <c r="AI49" s="264">
        <f>SUMIF($AD51:$AD67,$AD49,AI51:AI67)</f>
        <v>0</v>
      </c>
      <c r="AJ49" s="209">
        <f>SUMIF($AD51:$AD67,$AD49,AJ51:AJ67)</f>
        <v>0</v>
      </c>
      <c r="AK49" s="209">
        <f>SUMIF($AD51:$AD67,$AD49,AK51:AK67)</f>
        <v>0</v>
      </c>
      <c r="AL49" s="209">
        <f>SUMIF($AD51:$AD67,$AD49,AL51:AL67)</f>
        <v>0</v>
      </c>
      <c r="AM49" s="209">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209">
        <f>SUMIF($AD51:$AD67,$AD49,AT51:AT67)</f>
        <v>0</v>
      </c>
      <c r="AU49" s="209">
        <f>SUMIF($AD51:$AD67,$AD49,AU51:AU67)</f>
        <v>0</v>
      </c>
      <c r="AV49" s="209">
        <f>SUMIF($AD51:$AD67,$AD49,AV51:AV67)</f>
        <v>0</v>
      </c>
      <c r="AW49" s="209">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89" t="s">
        <v>968</v>
      </c>
      <c r="BG49" s="1189"/>
      <c r="BH49" s="1189"/>
      <c r="BI49" s="1190"/>
      <c r="BJ49" s="1190"/>
    </row>
    <row s="220" customFormat="1" customHeight="1" ht="14.625" hidden="1">
      <c r="E50" s="921">
        <v>15</v>
      </c>
      <c r="F50" s="919" cm="1" t="str">
        <f t="array" ref="F50:F50">OFFSET(G50,-1,-1)</f>
        <v>0</v>
      </c>
      <c r="T50" s="920" cm="1" t="str">
        <f t="array" ref="T50:T50">T49</f>
        <v>false</v>
      </c>
      <c r="AB50" s="213" t="s">
        <v>479</v>
      </c>
      <c r="AC50" s="273" t="s">
        <v>934</v>
      </c>
      <c r="AD50" s="151" t="s">
        <v>969</v>
      </c>
      <c r="AE50" s="264">
        <f>IF(AE49=0,0,AE47/AE49)*1000</f>
        <v>0</v>
      </c>
      <c r="AF50" s="264">
        <f>IF(AF49=0,0,AF47/AF49)*1000</f>
        <v>0</v>
      </c>
      <c r="AG50" s="264">
        <f>IF(AG49=0,0,AG47/AG49)*1000</f>
        <v>0</v>
      </c>
      <c r="AH50" s="264">
        <f>IF(AH49=0,0,AH47/AH49)*1000</f>
        <v>0</v>
      </c>
      <c r="AI50" s="264">
        <f>IF(AI49=0,0,AI47/AI49)*1000</f>
        <v>0</v>
      </c>
      <c r="AJ50" s="209">
        <f>IF(AJ49=0,0,AJ47/AJ49)*1000</f>
        <v>0</v>
      </c>
      <c r="AK50" s="209">
        <f>IF(AK49=0,0,AK47/AK49)*1000</f>
        <v>0</v>
      </c>
      <c r="AL50" s="209">
        <f>IF(AL49=0,0,AL47/AL49)*1000</f>
        <v>0</v>
      </c>
      <c r="AM50" s="209">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209">
        <f>IF(AT49=0,0,AT47/AT49)*1000</f>
        <v>0</v>
      </c>
      <c r="AU50" s="209">
        <f>IF(AU49=0,0,AU47/AU49)*1000</f>
        <v>0</v>
      </c>
      <c r="AV50" s="209">
        <f>IF(AV49=0,0,AV47/AV49)*1000</f>
        <v>0</v>
      </c>
      <c r="AW50" s="209">
        <f>IF(AW49=0,0,AW47/AW49)*1000</f>
        <v>0</v>
      </c>
      <c r="AX50" s="58">
        <f>IF(AX49=0,0,AX47/AX49)*1000</f>
        <v>0</v>
      </c>
      <c r="AY50" s="58">
        <f>IF(AY49=0,0,AY47/AY49)*1000</f>
        <v>0</v>
      </c>
      <c r="AZ50" s="58">
        <f>IF(AZ49=0,0,AZ47/AZ49)*1000</f>
        <v>0</v>
      </c>
      <c r="BA50" s="58">
        <f>IF(BA49=0,0,BA47/BA49)*1000</f>
        <v>0</v>
      </c>
      <c r="BB50" s="58">
        <f>IF(BB49=0,0,BB47/BB49)*1000</f>
        <v>0</v>
      </c>
      <c r="BC50" s="79"/>
      <c r="BF50" s="1189" t="s">
        <v>970</v>
      </c>
      <c r="BG50" s="1189"/>
      <c r="BH50" s="1189"/>
      <c r="BI50" s="1190"/>
      <c r="BJ50" s="1190"/>
    </row>
    <row s="220" customFormat="1" customHeight="1" ht="14.625" hidden="1">
      <c r="E51" s="921">
        <v>15</v>
      </c>
      <c r="F51" s="919" cm="1" t="str">
        <f t="array" ref="F51:F51">OFFSET(G51,-1,-1)</f>
        <v>0</v>
      </c>
      <c r="T51" s="920" cm="1" t="str">
        <f t="array" ref="T51:T51">T49</f>
        <v>false</v>
      </c>
      <c r="AB51" s="213" t="s">
        <v>475</v>
      </c>
      <c r="AC51" s="340" t="s">
        <v>939</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926</v>
      </c>
      <c r="T53" s="920">
        <f>AND(F53&gt;0,Y53&gt;0)</f>
        <v>0</v>
      </c>
      <c r="W53" s="168" t="s">
        <v>233</v>
      </c>
      <c r="Y53" s="180">
        <v>0</v>
      </c>
      <c r="AA53" s="1533" t="s">
        <v>217</v>
      </c>
      <c r="AB53" s="285" t="str">
        <f>"2.1."&amp;Y53</f>
        <v>2.1.0</v>
      </c>
      <c r="AC53" s="601"/>
      <c r="AD53" s="607" t="s">
        <v>805</v>
      </c>
      <c r="AE53" s="332">
        <f>AE55*AE56/1000</f>
        <v>0</v>
      </c>
      <c r="AF53" s="61"/>
      <c r="AG53" s="61"/>
      <c r="AH53" s="332">
        <f>AH55*AH56/1000</f>
        <v>0</v>
      </c>
      <c r="AI53" s="280"/>
      <c r="AJ53" s="280"/>
      <c r="AK53" s="280"/>
      <c r="AL53" s="280"/>
      <c r="AM53" s="280"/>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3"/>
      <c r="BF53" s="1189" t="s">
        <v>971</v>
      </c>
      <c r="BG53" s="1189" t="s">
        <v>972</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сведения'!$AK$169:$AK$218,MATCH($F54,'Общие сведения'!$Z$169:$Z$218,0))</f>
        <v>0</v>
      </c>
      <c r="R54" s="190" t="s">
        <v>963</v>
      </c>
      <c r="T54" s="920">
        <f>AND(T53,L54="двухставочный")</f>
        <v>0</v>
      </c>
      <c r="AA54" s="1533"/>
      <c r="AB54" s="285"/>
      <c r="AC54" s="587" t="s">
        <v>965</v>
      </c>
      <c r="AD54" s="607" t="s">
        <v>805</v>
      </c>
      <c r="AE54" s="65"/>
      <c r="AF54" s="65"/>
      <c r="AG54" s="65"/>
      <c r="AH54" s="65"/>
      <c r="AI54" s="608"/>
      <c r="AJ54" s="608"/>
      <c r="AK54" s="608"/>
      <c r="AL54" s="608"/>
      <c r="AM54" s="608"/>
      <c r="AN54" s="65"/>
      <c r="AO54" s="65"/>
      <c r="AP54" s="65"/>
      <c r="AQ54" s="65"/>
      <c r="AR54" s="65"/>
      <c r="AS54" s="608"/>
      <c r="AT54" s="608"/>
      <c r="AU54" s="608"/>
      <c r="AV54" s="608"/>
      <c r="AW54" s="608"/>
      <c r="AX54" s="65"/>
      <c r="AY54" s="65"/>
      <c r="AZ54" s="65"/>
      <c r="BA54" s="65"/>
      <c r="BB54" s="65"/>
      <c r="BC54" s="104"/>
      <c r="BF54" s="1189" t="s">
        <v>973</v>
      </c>
      <c r="BG54" s="1189" t="s">
        <v>972</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942</v>
      </c>
      <c r="AD55" s="151" t="s">
        <v>969</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608"/>
      <c r="AU55" s="608"/>
      <c r="AV55" s="608"/>
      <c r="AW55" s="608"/>
      <c r="AX55" s="65"/>
      <c r="AY55" s="65"/>
      <c r="AZ55" s="65"/>
      <c r="BA55" s="65"/>
      <c r="BB55" s="65"/>
      <c r="BC55" s="73"/>
      <c r="BF55" s="1189" t="s">
        <v>974</v>
      </c>
      <c r="BG55" s="1189" t="s">
        <v>972</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975</v>
      </c>
      <c r="AD56" s="151" t="s">
        <v>591</v>
      </c>
      <c r="AE56" s="65"/>
      <c r="AF56" s="65"/>
      <c r="AG56" s="65"/>
      <c r="AH56" s="65"/>
      <c r="AI56" s="608"/>
      <c r="AJ56" s="608"/>
      <c r="AK56" s="608"/>
      <c r="AL56" s="608"/>
      <c r="AM56" s="608"/>
      <c r="AN56" s="65"/>
      <c r="AO56" s="65"/>
      <c r="AP56" s="65"/>
      <c r="AQ56" s="65"/>
      <c r="AR56" s="65"/>
      <c r="AS56" s="608"/>
      <c r="AT56" s="608"/>
      <c r="AU56" s="608"/>
      <c r="AV56" s="608"/>
      <c r="AW56" s="608"/>
      <c r="AX56" s="65"/>
      <c r="AY56" s="65"/>
      <c r="AZ56" s="65"/>
      <c r="BA56" s="65"/>
      <c r="BB56" s="65"/>
      <c r="BC56" s="73"/>
      <c r="BF56" s="1189" t="s">
        <v>976</v>
      </c>
      <c r="BG56" s="1189" t="s">
        <v>972</v>
      </c>
      <c r="BH56" s="1189" cm="1" t="str">
        <f t="array" ref="BH56:BH56">BH54</f>
        <v>0</v>
      </c>
      <c r="BI56" s="1190"/>
      <c r="BJ56" s="1190"/>
    </row>
    <row s="220" customFormat="1" customHeight="1" ht="14.625" hidden="1">
      <c r="E57" s="921">
        <v>15</v>
      </c>
      <c r="F57" s="919" cm="1" t="str">
        <f t="array" ref="F57:F57">OFFSET(G57,-1,-1)</f>
        <v>0</v>
      </c>
      <c r="T57" s="920">
        <f>F57&gt;0</f>
        <v>0</v>
      </c>
      <c r="W57" s="371" t="s">
        <v>977</v>
      </c>
      <c r="AB57" s="815"/>
      <c r="AC57" s="585" t="s">
        <v>978</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972</v>
      </c>
      <c r="BJ57" s="1190"/>
    </row>
    <row s="220" customFormat="1" customHeight="1" ht="14.625" hidden="1">
      <c r="E58" s="921">
        <v>15</v>
      </c>
      <c r="F58" s="919" cm="1" t="str">
        <f t="array" ref="F58:F58">OFFSET(G58,-1,-1)</f>
        <v>0</v>
      </c>
      <c r="T58" s="920">
        <f>F58&gt;0</f>
        <v>0</v>
      </c>
      <c r="AB58" s="213" t="s">
        <v>479</v>
      </c>
      <c r="AC58" s="340" t="s">
        <v>948</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9"/>
      <c r="BF59" s="1189"/>
      <c r="BG59" s="1189"/>
      <c r="BH59" s="1189"/>
      <c r="BI59" s="1190"/>
      <c r="BJ59" s="1190"/>
    </row>
    <row s="220" customFormat="1" customHeight="1" ht="14.625" hidden="1">
      <c r="E60" s="921">
        <v>15</v>
      </c>
      <c r="F60" s="919" cm="1" t="str">
        <f t="array" ref="F60:F60">OFFSET(G60,-1,-1)</f>
        <v>0</v>
      </c>
      <c r="H60" s="152" cm="1" t="str">
        <f t="array" ref="H60:H60">AC60</f>
        <v>0</v>
      </c>
      <c r="I60" s="152" t="s">
        <v>926</v>
      </c>
      <c r="T60" s="920">
        <f>AND(F60&gt;0,Y60&gt;0)</f>
        <v>0</v>
      </c>
      <c r="W60" s="168" t="s">
        <v>233</v>
      </c>
      <c r="Y60" s="180">
        <v>0</v>
      </c>
      <c r="AA60" s="1533" t="s">
        <v>217</v>
      </c>
      <c r="AB60" s="151" t="str">
        <f>"2.3."&amp;Y60</f>
        <v>2.3.0</v>
      </c>
      <c r="AC60" s="601"/>
      <c r="AD60" s="151" t="s">
        <v>805</v>
      </c>
      <c r="AE60" s="588">
        <f>AE63+AE65</f>
        <v>0</v>
      </c>
      <c r="AF60" s="588">
        <f>AF63+AF65</f>
        <v>0</v>
      </c>
      <c r="AG60" s="588">
        <f>AG63+AG65</f>
        <v>0</v>
      </c>
      <c r="AH60" s="588">
        <f>AH63+AH65</f>
        <v>0</v>
      </c>
      <c r="AI60" s="588">
        <f>AI63+AI65</f>
        <v>0</v>
      </c>
      <c r="AJ60" s="583">
        <f>AJ63+AJ65</f>
        <v>0</v>
      </c>
      <c r="AK60" s="583">
        <f>AK63+AK65</f>
        <v>0</v>
      </c>
      <c r="AL60" s="583">
        <f>AL63+AL65</f>
        <v>0</v>
      </c>
      <c r="AM60" s="583">
        <f>AM63+AM65</f>
        <v>0</v>
      </c>
      <c r="AN60" s="64">
        <f>AN63+AN65</f>
        <v>0</v>
      </c>
      <c r="AO60" s="64">
        <f>AO63+AO65</f>
        <v>0</v>
      </c>
      <c r="AP60" s="64">
        <f>AP63+AP65</f>
        <v>0</v>
      </c>
      <c r="AQ60" s="64">
        <f>AQ63+AQ65</f>
        <v>0</v>
      </c>
      <c r="AR60" s="64">
        <f>AR63+AR65</f>
        <v>0</v>
      </c>
      <c r="AS60" s="588">
        <f>AS63+AS65</f>
        <v>0</v>
      </c>
      <c r="AT60" s="583">
        <f>AT63+AT65</f>
        <v>0</v>
      </c>
      <c r="AU60" s="583">
        <f>AU63+AU65</f>
        <v>0</v>
      </c>
      <c r="AV60" s="583">
        <f>AV63+AV65</f>
        <v>0</v>
      </c>
      <c r="AW60" s="583">
        <f>AW63+AW65</f>
        <v>0</v>
      </c>
      <c r="AX60" s="64">
        <f>AX63+AX65</f>
        <v>0</v>
      </c>
      <c r="AY60" s="64">
        <f>AY63+AY65</f>
        <v>0</v>
      </c>
      <c r="AZ60" s="64">
        <f>AZ63+AZ65</f>
        <v>0</v>
      </c>
      <c r="BA60" s="64">
        <f>BA63+BA65</f>
        <v>0</v>
      </c>
      <c r="BB60" s="64">
        <f>BB63+BB65</f>
        <v>0</v>
      </c>
      <c r="BC60" s="80"/>
      <c r="BF60" s="1189" t="s">
        <v>971</v>
      </c>
      <c r="BG60" s="1189" t="s">
        <v>979</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сведения'!$AK$169:$AK$218,MATCH($F61,'Общие сведения'!$Z$169:$Z$218,0))</f>
        <v>0</v>
      </c>
      <c r="R61" s="190" t="s">
        <v>963</v>
      </c>
      <c r="T61" s="920">
        <f>AND(T60,L61="двухставочный")</f>
        <v>0</v>
      </c>
      <c r="AA61" s="1533"/>
      <c r="AB61" s="285"/>
      <c r="AC61" s="587" t="s">
        <v>965</v>
      </c>
      <c r="AD61" s="607" t="s">
        <v>805</v>
      </c>
      <c r="AE61" s="65"/>
      <c r="AF61" s="65"/>
      <c r="AG61" s="65"/>
      <c r="AH61" s="65"/>
      <c r="AI61" s="608"/>
      <c r="AJ61" s="608"/>
      <c r="AK61" s="608"/>
      <c r="AL61" s="608"/>
      <c r="AM61" s="608"/>
      <c r="AN61" s="65"/>
      <c r="AO61" s="65"/>
      <c r="AP61" s="65"/>
      <c r="AQ61" s="65"/>
      <c r="AR61" s="65"/>
      <c r="AS61" s="608"/>
      <c r="AT61" s="608"/>
      <c r="AU61" s="608"/>
      <c r="AV61" s="608"/>
      <c r="AW61" s="608"/>
      <c r="AX61" s="65"/>
      <c r="AY61" s="65"/>
      <c r="AZ61" s="65"/>
      <c r="BA61" s="65"/>
      <c r="BB61" s="65"/>
      <c r="BC61" s="104"/>
      <c r="BF61" s="1189" t="s">
        <v>973</v>
      </c>
      <c r="BG61" s="1189" t="s">
        <v>979</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942</v>
      </c>
      <c r="AD62" s="151" t="s">
        <v>969</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583"/>
      <c r="AU62" s="583"/>
      <c r="AV62" s="583"/>
      <c r="AW62" s="583"/>
      <c r="AX62" s="64"/>
      <c r="AY62" s="64"/>
      <c r="AZ62" s="64"/>
      <c r="BA62" s="64"/>
      <c r="BB62" s="64"/>
      <c r="BC62" s="73"/>
      <c r="BF62" s="1189" t="s">
        <v>974</v>
      </c>
      <c r="BG62" s="1189" t="s">
        <v>979</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980</v>
      </c>
      <c r="AD63" s="151" t="s">
        <v>805</v>
      </c>
      <c r="AE63" s="64"/>
      <c r="AF63" s="64"/>
      <c r="AG63" s="64"/>
      <c r="AH63" s="64"/>
      <c r="AI63" s="583"/>
      <c r="AJ63" s="583"/>
      <c r="AK63" s="583"/>
      <c r="AL63" s="583"/>
      <c r="AM63" s="583"/>
      <c r="AN63" s="64"/>
      <c r="AO63" s="64"/>
      <c r="AP63" s="64"/>
      <c r="AQ63" s="64"/>
      <c r="AR63" s="64"/>
      <c r="AS63" s="583"/>
      <c r="AT63" s="583"/>
      <c r="AU63" s="583"/>
      <c r="AV63" s="583"/>
      <c r="AW63" s="583"/>
      <c r="AX63" s="64"/>
      <c r="AY63" s="64"/>
      <c r="AZ63" s="64"/>
      <c r="BA63" s="64"/>
      <c r="BB63" s="64"/>
      <c r="BC63" s="73"/>
      <c r="BF63" s="1189" t="s">
        <v>981</v>
      </c>
      <c r="BG63" s="1189" t="s">
        <v>979</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975</v>
      </c>
      <c r="AD64" s="151" t="s">
        <v>591</v>
      </c>
      <c r="AE64" s="64"/>
      <c r="AF64" s="64"/>
      <c r="AG64" s="64"/>
      <c r="AH64" s="64"/>
      <c r="AI64" s="583"/>
      <c r="AJ64" s="583"/>
      <c r="AK64" s="583"/>
      <c r="AL64" s="583"/>
      <c r="AM64" s="583"/>
      <c r="AN64" s="64"/>
      <c r="AO64" s="64"/>
      <c r="AP64" s="64"/>
      <c r="AQ64" s="64"/>
      <c r="AR64" s="64"/>
      <c r="AS64" s="583"/>
      <c r="AT64" s="583"/>
      <c r="AU64" s="583"/>
      <c r="AV64" s="583"/>
      <c r="AW64" s="583"/>
      <c r="AX64" s="64"/>
      <c r="AY64" s="64"/>
      <c r="AZ64" s="64"/>
      <c r="BA64" s="64"/>
      <c r="BB64" s="64"/>
      <c r="BC64" s="73"/>
      <c r="BF64" s="1189" t="s">
        <v>982</v>
      </c>
      <c r="BG64" s="1189" t="s">
        <v>979</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983</v>
      </c>
      <c r="AD65" s="151" t="s">
        <v>953</v>
      </c>
      <c r="AE65" s="64"/>
      <c r="AF65" s="64"/>
      <c r="AG65" s="64"/>
      <c r="AH65" s="64"/>
      <c r="AI65" s="583"/>
      <c r="AJ65" s="583"/>
      <c r="AK65" s="583"/>
      <c r="AL65" s="583"/>
      <c r="AM65" s="583"/>
      <c r="AN65" s="64"/>
      <c r="AO65" s="64"/>
      <c r="AP65" s="64"/>
      <c r="AQ65" s="64"/>
      <c r="AR65" s="64"/>
      <c r="AS65" s="583"/>
      <c r="AT65" s="583"/>
      <c r="AU65" s="583"/>
      <c r="AV65" s="583"/>
      <c r="AW65" s="583"/>
      <c r="AX65" s="64"/>
      <c r="AY65" s="64"/>
      <c r="AZ65" s="64"/>
      <c r="BA65" s="64"/>
      <c r="BB65" s="64"/>
      <c r="BC65" s="73"/>
      <c r="BF65" s="1189" t="s">
        <v>984</v>
      </c>
      <c r="BG65" s="1189" t="s">
        <v>979</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985</v>
      </c>
      <c r="AD66" s="151" t="s">
        <v>690</v>
      </c>
      <c r="AE66" s="64"/>
      <c r="AF66" s="64"/>
      <c r="AG66" s="64"/>
      <c r="AH66" s="64"/>
      <c r="AI66" s="583"/>
      <c r="AJ66" s="583"/>
      <c r="AK66" s="583"/>
      <c r="AL66" s="583"/>
      <c r="AM66" s="583"/>
      <c r="AN66" s="64"/>
      <c r="AO66" s="64"/>
      <c r="AP66" s="64"/>
      <c r="AQ66" s="64"/>
      <c r="AR66" s="64"/>
      <c r="AS66" s="583"/>
      <c r="AT66" s="583"/>
      <c r="AU66" s="583"/>
      <c r="AV66" s="583"/>
      <c r="AW66" s="583"/>
      <c r="AX66" s="64"/>
      <c r="AY66" s="64"/>
      <c r="AZ66" s="64"/>
      <c r="BA66" s="64"/>
      <c r="BB66" s="64"/>
      <c r="BC66" s="73"/>
      <c r="BF66" s="1189" t="s">
        <v>986</v>
      </c>
      <c r="BG66" s="1189" t="s">
        <v>979</v>
      </c>
      <c r="BH66" s="1189" cm="1" t="str">
        <f t="array" ref="BH66:BH66">BH65</f>
        <v>0</v>
      </c>
      <c r="BI66" s="1190"/>
      <c r="BJ66" s="1190"/>
    </row>
    <row s="220" customFormat="1" customHeight="1" ht="11.115" hidden="1">
      <c r="E67" s="921">
        <v>11.4</v>
      </c>
      <c r="F67" s="919" cm="1" t="str">
        <f t="array" ref="F67:F67">OFFSET(G67,-1,-1)</f>
        <v>0</v>
      </c>
      <c r="T67" s="920">
        <f>F67&gt;0</f>
        <v>0</v>
      </c>
      <c r="W67" s="371" t="s">
        <v>987</v>
      </c>
      <c r="AB67" s="586"/>
      <c r="AC67" s="573" t="s">
        <v>978</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979</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сведения'!$AL$169:$AL$218,MATCH($F68,'Общие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68" s="210" cm="1" t="str">
        <f t="array" ref="L68:L68">INDEX('Общие сведения'!$AK$169:$AK$218,MATCH($F68,'Общие сведения'!$Z$169:$Z$218,0))</f>
        <v>одноставочный</v>
      </c>
      <c r="M68" s="212"/>
      <c r="N68" s="212"/>
      <c r="O68" s="212"/>
      <c r="P68" s="212"/>
      <c r="Q68" s="212"/>
      <c r="R68" s="212"/>
      <c r="S68" s="212"/>
      <c r="T68" s="805">
        <f>X68&gt;0</f>
        <v>1</v>
      </c>
      <c r="U68" s="212"/>
      <c r="V68" s="168" cm="1" t="str">
        <f t="array" ref="V68:V68">'Топливо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W68" s="212"/>
      <c r="X68" s="168" t="s">
        <v>335</v>
      </c>
      <c r="Y68" s="212"/>
      <c r="Z68" s="212"/>
      <c r="AA68" s="212"/>
      <c r="AB68" s="260" cm="1" t="str">
        <f t="array" ref="AB68:AB68">IF(ISBLANK('Топливо 4.4'!$AB$139),"",'Топливо 4.4'!$AB$139)</f>
        <v>Тариф 1 (Теплоснабжение) - Тариф на тепловую энергию (мощность), поставляемую потребителям (Тариф: Носитель - горячая вода (Т); Носитель - горячая вода (Т))</v>
      </c>
      <c r="AC68" s="257"/>
      <c r="AD68" s="251"/>
      <c r="AE68" s="377">
        <f>AE69+AE91</f>
        <v>0</v>
      </c>
      <c r="AF68" s="377">
        <f>AF69+AF91</f>
        <v>0</v>
      </c>
      <c r="AG68" s="377">
        <f>AG69+AG91</f>
        <v>0</v>
      </c>
      <c r="AH68" s="377">
        <f>AH69+AH91</f>
        <v>0</v>
      </c>
      <c r="AI68" s="377">
        <f>AI69+AI91</f>
        <v>297</v>
      </c>
      <c r="AJ68" s="377">
        <f>AJ69+AJ91</f>
        <v>309</v>
      </c>
      <c r="AK68" s="377">
        <f>AK69+AK91</f>
        <v>321</v>
      </c>
      <c r="AL68" s="377">
        <f>AL69+AL91</f>
        <v>334</v>
      </c>
      <c r="AM68" s="377">
        <f>AM69+AM91</f>
        <v>347</v>
      </c>
      <c r="AN68" s="377">
        <f>AN69+AN91</f>
        <v>0</v>
      </c>
      <c r="AO68" s="377">
        <f>AO69+AO91</f>
        <v>0</v>
      </c>
      <c r="AP68" s="377">
        <f>AP69+AP91</f>
        <v>0</v>
      </c>
      <c r="AQ68" s="377">
        <f>AQ69+AQ91</f>
        <v>0</v>
      </c>
      <c r="AR68" s="377">
        <f>AR69+AR91</f>
        <v>0</v>
      </c>
      <c r="AS68" s="377">
        <f>AS69+AS91</f>
        <v>267</v>
      </c>
      <c r="AT68" s="377">
        <f>AT69+AT91</f>
        <v>291</v>
      </c>
      <c r="AU68" s="377">
        <f>AU69+AU91</f>
        <v>305</v>
      </c>
      <c r="AV68" s="377">
        <f>AV69+AV91</f>
        <v>320</v>
      </c>
      <c r="AW68" s="377">
        <f>AW69+AW91</f>
        <v>336</v>
      </c>
      <c r="AX68" s="377">
        <f>AX69+AX91</f>
        <v>0</v>
      </c>
      <c r="AY68" s="377">
        <f>AY69+AY91</f>
        <v>0</v>
      </c>
      <c r="AZ68" s="377">
        <f>AZ69+AZ91</f>
        <v>0</v>
      </c>
      <c r="BA68" s="377">
        <f>BA69+BA91</f>
        <v>0</v>
      </c>
      <c r="BB68" s="377">
        <f>BB69+BB91</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925</v>
      </c>
      <c r="H69" s="1459"/>
      <c r="I69" s="212" t="s">
        <v>926</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927</v>
      </c>
      <c r="AD69" s="277" t="s">
        <v>805</v>
      </c>
      <c r="AE69" s="609">
        <f>SUMIF($I74:$I89,$I69,AE74:AE89)</f>
        <v>0</v>
      </c>
      <c r="AF69" s="609">
        <f>SUMIF($I74:$I89,$I69,AF74:AF89)</f>
        <v>0</v>
      </c>
      <c r="AG69" s="609">
        <f>SUMIF($I74:$I89,$I69,AG74:AG89)</f>
        <v>0</v>
      </c>
      <c r="AH69" s="609">
        <f>SUMIF($I74:$I89,$I69,AH74:AH89)</f>
        <v>0</v>
      </c>
      <c r="AI69" s="609">
        <f>SUMIF($I74:$I89,$I69,AI74:AI89)</f>
        <v>297</v>
      </c>
      <c r="AJ69" s="881">
        <f>SUMIF($I74:$I89,$I69,AJ74:AJ89)</f>
        <v>309</v>
      </c>
      <c r="AK69" s="881">
        <f>SUMIF($I74:$I89,$I69,AK74:AK89)</f>
        <v>321</v>
      </c>
      <c r="AL69" s="881">
        <f>SUMIF($I74:$I89,$I69,AL74:AL89)</f>
        <v>334</v>
      </c>
      <c r="AM69" s="881">
        <f>SUMIF($I74:$I89,$I69,AM74:AM89)</f>
        <v>347</v>
      </c>
      <c r="AN69" s="1784">
        <f>SUMIF($I74:$I89,$I69,AN74:AN89)</f>
        <v>0</v>
      </c>
      <c r="AO69" s="1784">
        <f>SUMIF($I74:$I89,$I69,AO74:AO89)</f>
        <v>0</v>
      </c>
      <c r="AP69" s="1784">
        <f>SUMIF($I74:$I89,$I69,AP74:AP89)</f>
        <v>0</v>
      </c>
      <c r="AQ69" s="1784">
        <f>SUMIF($I74:$I89,$I69,AQ74:AQ89)</f>
        <v>0</v>
      </c>
      <c r="AR69" s="1784">
        <f>SUMIF($I74:$I89,$I69,AR74:AR89)</f>
        <v>0</v>
      </c>
      <c r="AS69" s="609">
        <f>SUMIF($I74:$I89,$I69,AS74:AS89)</f>
        <v>267</v>
      </c>
      <c r="AT69" s="881">
        <f>SUMIF($I74:$I89,$I69,AT74:AT89)</f>
        <v>291</v>
      </c>
      <c r="AU69" s="881">
        <f>SUMIF($I74:$I89,$I69,AU74:AU89)</f>
        <v>305</v>
      </c>
      <c r="AV69" s="881">
        <f>SUMIF($I74:$I89,$I69,AV74:AV89)</f>
        <v>320</v>
      </c>
      <c r="AW69" s="881">
        <f>SUMIF($I74:$I89,$I69,AW74:AW89)</f>
        <v>336</v>
      </c>
      <c r="AX69" s="1784">
        <f>SUMIF($I74:$I89,$I69,AX74:AX89)</f>
        <v>0</v>
      </c>
      <c r="AY69" s="1784">
        <f>SUMIF($I74:$I89,$I69,AY74:AY89)</f>
        <v>0</v>
      </c>
      <c r="AZ69" s="1784">
        <f>SUMIF($I74:$I89,$I69,AZ74:AZ89)</f>
        <v>0</v>
      </c>
      <c r="BA69" s="1784">
        <f>SUMIF($I74:$I89,$I69,BA74:BA89)</f>
        <v>0</v>
      </c>
      <c r="BB69" s="1784">
        <f>SUMIF($I74:$I89,$I69,BB74:BB89)</f>
        <v>0</v>
      </c>
      <c r="BC69" s="1743"/>
      <c r="BD69" s="1459"/>
      <c r="BE69" s="1459"/>
      <c r="BF69" s="1170" t="s">
        <v>928</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442</v>
      </c>
      <c r="AC70" s="273" t="s">
        <v>929</v>
      </c>
      <c r="AD70" s="167" t="s">
        <v>728</v>
      </c>
      <c r="AE70" s="264">
        <f>SUMIF($AD74:$AD89,$AD70,AE74:AE89)</f>
        <v>0</v>
      </c>
      <c r="AF70" s="264">
        <f>SUMIF($AD74:$AD89,$AD70,AF74:AF89)</f>
        <v>0</v>
      </c>
      <c r="AG70" s="264">
        <f>SUMIF($AD74:$AD89,$AD70,AG74:AG89)</f>
        <v>0</v>
      </c>
      <c r="AH70" s="264">
        <f>SUMIF($AD74:$AD89,$AD70,AH74:AH89)</f>
        <v>0</v>
      </c>
      <c r="AI70" s="264">
        <f>SUMIF($AD74:$AD89,$AD70,AI74:AI89)</f>
        <v>58.14</v>
      </c>
      <c r="AJ70" s="209">
        <f>SUMIF($AD74:$AD89,$AD70,AJ74:AJ89)</f>
        <v>58.14</v>
      </c>
      <c r="AK70" s="209">
        <f>SUMIF($AD74:$AD89,$AD70,AK74:AK89)</f>
        <v>58.14</v>
      </c>
      <c r="AL70" s="209">
        <f>SUMIF($AD74:$AD89,$AD70,AL74:AL89)</f>
        <v>58.14</v>
      </c>
      <c r="AM70" s="209">
        <f>SUMIF($AD74:$AD89,$AD70,AM74:AM89)</f>
        <v>58.14</v>
      </c>
      <c r="AN70" s="1655">
        <f>SUMIF($AD74:$AD89,$AD70,AN74:AN89)</f>
        <v>0</v>
      </c>
      <c r="AO70" s="1655">
        <f>SUMIF($AD74:$AD89,$AD70,AO74:AO89)</f>
        <v>0</v>
      </c>
      <c r="AP70" s="1655">
        <f>SUMIF($AD74:$AD89,$AD70,AP74:AP89)</f>
        <v>0</v>
      </c>
      <c r="AQ70" s="1655">
        <f>SUMIF($AD74:$AD89,$AD70,AQ74:AQ89)</f>
        <v>0</v>
      </c>
      <c r="AR70" s="1655">
        <f>SUMIF($AD74:$AD89,$AD70,AR74:AR89)</f>
        <v>0</v>
      </c>
      <c r="AS70" s="264">
        <f>SUMIF($AD74:$AD89,$AD70,AS74:AS89)</f>
        <v>58.14</v>
      </c>
      <c r="AT70" s="209">
        <f>SUMIF($AD74:$AD89,$AD70,AT74:AT89)</f>
        <v>58.14</v>
      </c>
      <c r="AU70" s="209">
        <f>SUMIF($AD74:$AD89,$AD70,AU74:AU89)</f>
        <v>58.14</v>
      </c>
      <c r="AV70" s="209">
        <f>SUMIF($AD74:$AD89,$AD70,AV74:AV89)</f>
        <v>58.14</v>
      </c>
      <c r="AW70" s="209">
        <f>SUMIF($AD74:$AD89,$AD70,AW74:AW89)</f>
        <v>58.14</v>
      </c>
      <c r="AX70" s="1655">
        <f>SUMIF($AD74:$AD89,$AD70,AX74:AX89)</f>
        <v>0</v>
      </c>
      <c r="AY70" s="1655">
        <f>SUMIF($AD74:$AD89,$AD70,AY74:AY89)</f>
        <v>0</v>
      </c>
      <c r="AZ70" s="1655">
        <f>SUMIF($AD74:$AD89,$AD70,AZ74:AZ89)</f>
        <v>0</v>
      </c>
      <c r="BA70" s="1655">
        <f>SUMIF($AD74:$AD89,$AD70,BA74:BA89)</f>
        <v>0</v>
      </c>
      <c r="BB70" s="1655">
        <f>SUMIF($AD74:$AD89,$AD70,BB74:BB89)</f>
        <v>0</v>
      </c>
      <c r="BC70" s="1730"/>
      <c r="BD70" s="1459"/>
      <c r="BE70" s="1459"/>
      <c r="BF70" s="1181" t="s">
        <v>930</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931</v>
      </c>
      <c r="AC71" s="273" t="s">
        <v>932</v>
      </c>
      <c r="AD71" s="167" t="s">
        <v>591</v>
      </c>
      <c r="AE71" s="1785">
        <f>IF($K68="передача тепловой энергии",_xlfn.SUMIFS('Баланс Тр'!AE$27:AE$50,'Баланс Тр'!$F$27:$F$50,$F71,'Баланс Тр'!$AB$27:$AB$50,"3"),_xlfn.SUMIFS('Баланс Пр'!AE$27:AE$233,'Баланс Пр'!$F$27:$F$233,$F71,'Баланс Пр'!$AB$27:$AB$233,"9.1"))</f>
        <v>0</v>
      </c>
      <c r="AF71" s="1785">
        <f>IF($K68="передача тепловой энергии",_xlfn.SUMIFS('Баланс Тр'!AF$27:AF$50,'Баланс Тр'!$F$27:$F$50,$F71,'Баланс Тр'!$AB$27:$AB$50,"3"),_xlfn.SUMIFS('Баланс Пр'!AF$27:AF$233,'Баланс Пр'!$F$27:$F$233,$F71,'Баланс Пр'!$AB$27:$AB$233,"9.1"))</f>
        <v>0</v>
      </c>
      <c r="AG71" s="1785">
        <f>IF($K68="передача тепловой энергии",_xlfn.SUMIFS('Баланс Тр'!AG$27:AG$50,'Баланс Тр'!$F$27:$F$50,$F71,'Баланс Тр'!$AB$27:$AB$50,"3"),_xlfn.SUMIFS('Баланс Пр'!AG$27:AG$233,'Баланс Пр'!$F$27:$F$233,$F71,'Баланс Пр'!$AB$27:$AB$233,"9.1"))</f>
        <v>0</v>
      </c>
      <c r="AH71" s="1785">
        <f>IF($K68="передача тепловой энергии",_xlfn.SUMIFS('Баланс Тр'!AH$27:AH$50,'Баланс Тр'!$F$27:$F$50,$F71,'Баланс Тр'!$AB$27:$AB$50,"3"),_xlfn.SUMIFS('Баланс Пр'!AH$27:AH$233,'Баланс Пр'!$F$27:$F$233,$F71,'Баланс Пр'!$AB$27:$AB$233,"9.1"))</f>
        <v>0</v>
      </c>
      <c r="AI71" s="308">
        <f>IF($K68="передача тепловой энергии",_xlfn.SUMIFS('Баланс Тр'!AI$27:AI$50,'Баланс Тр'!$F$27:$F$50,$F71,'Баланс Тр'!$AB$27:$AB$50,"3"),_xlfn.SUMIFS('Баланс Пр'!AI$27:AI$233,'Баланс Пр'!$F$27:$F$233,$F71,'Баланс Пр'!$AB$27:$AB$233,"9.1"))</f>
        <v>1370</v>
      </c>
      <c r="AJ71" s="308">
        <f>IF($K68="передача тепловой энергии",_xlfn.SUMIFS('Баланс Тр'!AJ$27:AJ$50,'Баланс Тр'!$F$27:$F$50,$F71,'Баланс Тр'!$AB$27:$AB$50,"3"),_xlfn.SUMIFS('Баланс Пр'!AJ$27:AJ$233,'Баланс Пр'!$F$27:$F$233,$F71,'Баланс Пр'!$AB$27:$AB$233,"9.1"))</f>
        <v>1370</v>
      </c>
      <c r="AK71" s="308">
        <f>IF($K68="передача тепловой энергии",_xlfn.SUMIFS('Баланс Тр'!AK$27:AK$50,'Баланс Тр'!$F$27:$F$50,$F71,'Баланс Тр'!$AB$27:$AB$50,"3"),_xlfn.SUMIFS('Баланс Пр'!AK$27:AK$233,'Баланс Пр'!$F$27:$F$233,$F71,'Баланс Пр'!$AB$27:$AB$233,"9.1"))</f>
        <v>1370</v>
      </c>
      <c r="AL71" s="308">
        <f>IF($K68="передача тепловой энергии",_xlfn.SUMIFS('Баланс Тр'!AL$27:AL$50,'Баланс Тр'!$F$27:$F$50,$F71,'Баланс Тр'!$AB$27:$AB$50,"3"),_xlfn.SUMIFS('Баланс Пр'!AL$27:AL$233,'Баланс Пр'!$F$27:$F$233,$F71,'Баланс Пр'!$AB$27:$AB$233,"9.1"))</f>
        <v>1370</v>
      </c>
      <c r="AM71" s="308">
        <f>IF($K68="передача тепловой энергии",_xlfn.SUMIFS('Баланс Тр'!AM$27:AM$50,'Баланс Тр'!$F$27:$F$50,$F71,'Баланс Тр'!$AB$27:$AB$50,"3"),_xlfn.SUMIFS('Баланс Пр'!AM$27:AM$233,'Баланс Пр'!$F$27:$F$233,$F71,'Баланс Пр'!$AB$27:$AB$233,"9.1"))</f>
        <v>1370</v>
      </c>
      <c r="AN71" s="1785">
        <f>IF($K68="передача тепловой энергии",_xlfn.SUMIFS('Баланс Тр'!AN$27:AN$50,'Баланс Тр'!$F$27:$F$50,$F71,'Баланс Тр'!$AB$27:$AB$50,"3"),_xlfn.SUMIFS('Баланс Пр'!AN$27:AN$233,'Баланс Пр'!$F$27:$F$233,$F71,'Баланс Пр'!$AB$27:$AB$233,"9.1"))</f>
        <v>1370</v>
      </c>
      <c r="AO71" s="1785">
        <f>IF($K68="передача тепловой энергии",_xlfn.SUMIFS('Баланс Тр'!AO$27:AO$50,'Баланс Тр'!$F$27:$F$50,$F71,'Баланс Тр'!$AB$27:$AB$50,"3"),_xlfn.SUMIFS('Баланс Пр'!AO$27:AO$233,'Баланс Пр'!$F$27:$F$233,$F71,'Баланс Пр'!$AB$27:$AB$233,"9.1"))</f>
        <v>1370</v>
      </c>
      <c r="AP71" s="1785">
        <f>IF($K68="передача тепловой энергии",_xlfn.SUMIFS('Баланс Тр'!AP$27:AP$50,'Баланс Тр'!$F$27:$F$50,$F71,'Баланс Тр'!$AB$27:$AB$50,"3"),_xlfn.SUMIFS('Баланс Пр'!AP$27:AP$233,'Баланс Пр'!$F$27:$F$233,$F71,'Баланс Пр'!$AB$27:$AB$233,"9.1"))</f>
        <v>1370</v>
      </c>
      <c r="AQ71" s="1785">
        <f>IF($K68="передача тепловой энергии",_xlfn.SUMIFS('Баланс Тр'!AQ$27:AQ$50,'Баланс Тр'!$F$27:$F$50,$F71,'Баланс Тр'!$AB$27:$AB$50,"3"),_xlfn.SUMIFS('Баланс Пр'!AQ$27:AQ$233,'Баланс Пр'!$F$27:$F$233,$F71,'Баланс Пр'!$AB$27:$AB$233,"9.1"))</f>
        <v>1370</v>
      </c>
      <c r="AR71" s="1785">
        <f>IF($K68="передача тепловой энергии",_xlfn.SUMIFS('Баланс Тр'!AR$27:AR$50,'Баланс Тр'!$F$27:$F$50,$F71,'Баланс Тр'!$AB$27:$AB$50,"3"),_xlfn.SUMIFS('Баланс Пр'!AR$27:AR$233,'Баланс Пр'!$F$27:$F$233,$F71,'Баланс Пр'!$AB$27:$AB$233,"9.1"))</f>
        <v>1370</v>
      </c>
      <c r="AS71" s="308">
        <f>IF($K68="передача тепловой энергии",_xlfn.SUMIFS('Баланс Тр'!AS$27:AS$50,'Баланс Тр'!$F$27:$F$50,$F71,'Баланс Тр'!$AB$27:$AB$50,"3"),_xlfn.SUMIFS('Баланс Пр'!AS$27:AS$233,'Баланс Пр'!$F$27:$F$233,$F71,'Баланс Пр'!$AB$27:$AB$233,"9.1"))</f>
        <v>1370</v>
      </c>
      <c r="AT71" s="308">
        <f>IF($K68="передача тепловой энергии",_xlfn.SUMIFS('Баланс Тр'!AT$27:AT$50,'Баланс Тр'!$F$27:$F$50,$F71,'Баланс Тр'!$AB$27:$AB$50,"3"),_xlfn.SUMIFS('Баланс Пр'!AT$27:AT$233,'Баланс Пр'!$F$27:$F$233,$F71,'Баланс Пр'!$AB$27:$AB$233,"9.1"))</f>
        <v>1370</v>
      </c>
      <c r="AU71" s="308">
        <f>IF($K68="передача тепловой энергии",_xlfn.SUMIFS('Баланс Тр'!AU$27:AU$50,'Баланс Тр'!$F$27:$F$50,$F71,'Баланс Тр'!$AB$27:$AB$50,"3"),_xlfn.SUMIFS('Баланс Пр'!AU$27:AU$233,'Баланс Пр'!$F$27:$F$233,$F71,'Баланс Пр'!$AB$27:$AB$233,"9.1"))</f>
        <v>1370</v>
      </c>
      <c r="AV71" s="308">
        <f>IF($K68="передача тепловой энергии",_xlfn.SUMIFS('Баланс Тр'!AV$27:AV$50,'Баланс Тр'!$F$27:$F$50,$F71,'Баланс Тр'!$AB$27:$AB$50,"3"),_xlfn.SUMIFS('Баланс Пр'!AV$27:AV$233,'Баланс Пр'!$F$27:$F$233,$F71,'Баланс Пр'!$AB$27:$AB$233,"9.1"))</f>
        <v>1370</v>
      </c>
      <c r="AW71" s="308">
        <f>IF($K68="передача тепловой энергии",_xlfn.SUMIFS('Баланс Тр'!AW$27:AW$50,'Баланс Тр'!$F$27:$F$50,$F71,'Баланс Тр'!$AB$27:$AB$50,"3"),_xlfn.SUMIFS('Баланс Пр'!AW$27:AW$233,'Баланс Пр'!$F$27:$F$233,$F71,'Баланс Пр'!$AB$27:$AB$233,"9.1"))</f>
        <v>1370</v>
      </c>
      <c r="AX71" s="1785">
        <f>IF($K68="передача тепловой энергии",_xlfn.SUMIFS('Баланс Тр'!AX$27:AX$50,'Баланс Тр'!$F$27:$F$50,$F71,'Баланс Тр'!$AB$27:$AB$50,"3"),_xlfn.SUMIFS('Баланс Пр'!AX$27:AX$233,'Баланс Пр'!$F$27:$F$233,$F71,'Баланс Пр'!$AB$27:$AB$233,"9.1"))</f>
        <v>0</v>
      </c>
      <c r="AY71" s="1785">
        <f>IF($K68="передача тепловой энергии",_xlfn.SUMIFS('Баланс Тр'!AY$27:AY$50,'Баланс Тр'!$F$27:$F$50,$F71,'Баланс Тр'!$AB$27:$AB$50,"3"),_xlfn.SUMIFS('Баланс Пр'!AY$27:AY$233,'Баланс Пр'!$F$27:$F$233,$F71,'Баланс Пр'!$AB$27:$AB$233,"9.1"))</f>
        <v>0</v>
      </c>
      <c r="AZ71" s="1785">
        <f>IF($K68="передача тепловой энергии",_xlfn.SUMIFS('Баланс Тр'!AZ$27:AZ$50,'Баланс Тр'!$F$27:$F$50,$F71,'Баланс Тр'!$AB$27:$AB$50,"3"),_xlfn.SUMIFS('Баланс Пр'!AZ$27:AZ$233,'Баланс Пр'!$F$27:$F$233,$F71,'Баланс Пр'!$AB$27:$AB$233,"9.1"))</f>
        <v>0</v>
      </c>
      <c r="BA71" s="1785">
        <f>IF($K68="передача тепловой энергии",_xlfn.SUMIFS('Баланс Тр'!BA$27:BA$50,'Баланс Тр'!$F$27:$F$50,$F71,'Баланс Тр'!$AB$27:$AB$50,"3"),_xlfn.SUMIFS('Баланс Пр'!BA$27:BA$233,'Баланс Пр'!$F$27:$F$233,$F71,'Баланс Пр'!$AB$27:$AB$233,"9.1"))</f>
        <v>0</v>
      </c>
      <c r="BB71" s="1785">
        <f>IF($K68="передача тепловой энергии",_xlfn.SUMIFS('Баланс Тр'!BB$27:BB$50,'Баланс Тр'!$F$27:$F$50,$F71,'Баланс Тр'!$AB$27:$AB$50,"3"),_xlfn.SUMIFS('Баланс Пр'!BB$27:BB$233,'Баланс Пр'!$F$27:$F$233,$F71,'Баланс Пр'!$AB$27:$AB$233,"9.1"))</f>
        <v>0</v>
      </c>
      <c r="BC71" s="1730"/>
      <c r="BD71" s="1459"/>
      <c r="BE71" s="1459"/>
      <c r="BF71" s="1181" t="s">
        <v>754</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933</v>
      </c>
      <c r="AC72" s="273" t="s">
        <v>934</v>
      </c>
      <c r="AD72" s="167" t="s">
        <v>935</v>
      </c>
      <c r="AE72" s="264">
        <f>IF(AE70=0,0,AE69/AE70)</f>
        <v>0</v>
      </c>
      <c r="AF72" s="264">
        <f>IF(AF70=0,0,AF69/AF70)</f>
        <v>0</v>
      </c>
      <c r="AG72" s="264">
        <f>IF(AG70=0,0,AG69/AG70)</f>
        <v>0</v>
      </c>
      <c r="AH72" s="264">
        <f>IF(AH70=0,0,AH69/AH70)</f>
        <v>0</v>
      </c>
      <c r="AI72" s="264">
        <f>IF(AI70=0,0,AI69/AI70)</f>
        <v>5.10835913312694</v>
      </c>
      <c r="AJ72" s="209">
        <f>IF(AJ70=0,0,AJ69/AJ70)</f>
        <v>5.31475748194014</v>
      </c>
      <c r="AK72" s="209">
        <f>IF(AK70=0,0,AK69/AK70)</f>
        <v>5.52115583075335</v>
      </c>
      <c r="AL72" s="209">
        <f>IF(AL70=0,0,AL69/AL70)</f>
        <v>5.74475404196766</v>
      </c>
      <c r="AM72" s="209">
        <f>IF(AM70=0,0,AM69/AM70)</f>
        <v>5.96835225318197</v>
      </c>
      <c r="AN72" s="1655">
        <f>IF(AN70=0,0,AN69/AN70)</f>
        <v>0</v>
      </c>
      <c r="AO72" s="1655">
        <f>IF(AO70=0,0,AO69/AO70)</f>
        <v>0</v>
      </c>
      <c r="AP72" s="1655">
        <f>IF(AP70=0,0,AP69/AP70)</f>
        <v>0</v>
      </c>
      <c r="AQ72" s="1655">
        <f>IF(AQ70=0,0,AQ69/AQ70)</f>
        <v>0</v>
      </c>
      <c r="AR72" s="1655">
        <f>IF(AR70=0,0,AR69/AR70)</f>
        <v>0</v>
      </c>
      <c r="AS72" s="264">
        <f>IF(AS70=0,0,AS69/AS70)</f>
        <v>4.59236326109391</v>
      </c>
      <c r="AT72" s="209">
        <f>IF(AT70=0,0,AT69/AT70)</f>
        <v>5.00515995872033</v>
      </c>
      <c r="AU72" s="209">
        <f>IF(AU70=0,0,AU69/AU70)</f>
        <v>5.24595803233574</v>
      </c>
      <c r="AV72" s="209">
        <f>IF(AV70=0,0,AV69/AV70)</f>
        <v>5.50395596835225</v>
      </c>
      <c r="AW72" s="209">
        <f>IF(AW70=0,0,AW69/AW70)</f>
        <v>5.77915376676987</v>
      </c>
      <c r="AX72" s="1655">
        <f>IF(AX70=0,0,AX69/AX70)</f>
        <v>0</v>
      </c>
      <c r="AY72" s="1655">
        <f>IF(AY70=0,0,AY69/AY70)</f>
        <v>0</v>
      </c>
      <c r="AZ72" s="1655">
        <f>IF(AZ70=0,0,AZ69/AZ70)</f>
        <v>0</v>
      </c>
      <c r="BA72" s="1655">
        <f>IF(BA70=0,0,BA69/BA70)</f>
        <v>0</v>
      </c>
      <c r="BB72" s="1655">
        <f>IF(BB70=0,0,BB69/BB70)</f>
        <v>0</v>
      </c>
      <c r="BC72" s="1730"/>
      <c r="BD72" s="1459"/>
      <c r="BE72" s="1459"/>
      <c r="BF72" s="1181" t="s">
        <v>936</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937</v>
      </c>
      <c r="AC73" s="273" t="s">
        <v>938</v>
      </c>
      <c r="AD73" s="167" t="s">
        <v>740</v>
      </c>
      <c r="AE73" s="384">
        <f>IF(AE71=0,0,AE70/AE71)*1000</f>
        <v>0</v>
      </c>
      <c r="AF73" s="384">
        <f>IF(AF71=0,0,AF70/AF71)*1000</f>
        <v>0</v>
      </c>
      <c r="AG73" s="384">
        <f>IF(AG71=0,0,AG70/AG71)*1000</f>
        <v>0</v>
      </c>
      <c r="AH73" s="384">
        <f>IF(AH71=0,0,AH70/AH71)*1000</f>
        <v>0</v>
      </c>
      <c r="AI73" s="384">
        <f>IF(AI71=0,0,AI70/AI71)*1000</f>
        <v>42.4379562043796</v>
      </c>
      <c r="AJ73" s="349">
        <f>IF(AJ71=0,0,AJ70/AJ71)*1000</f>
        <v>42.4379562043796</v>
      </c>
      <c r="AK73" s="349">
        <f>IF(AK71=0,0,AK70/AK71)*1000</f>
        <v>42.4379562043796</v>
      </c>
      <c r="AL73" s="349">
        <f>IF(AL71=0,0,AL70/AL71)*1000</f>
        <v>42.4379562043796</v>
      </c>
      <c r="AM73" s="349">
        <f>IF(AM71=0,0,AM70/AM71)*1000</f>
        <v>42.4379562043796</v>
      </c>
      <c r="AN73" s="1788">
        <f>IF(AN71=0,0,AN70/AN71)*1000</f>
        <v>0</v>
      </c>
      <c r="AO73" s="1788">
        <f>IF(AO71=0,0,AO70/AO71)*1000</f>
        <v>0</v>
      </c>
      <c r="AP73" s="1788">
        <f>IF(AP71=0,0,AP70/AP71)*1000</f>
        <v>0</v>
      </c>
      <c r="AQ73" s="1788">
        <f>IF(AQ71=0,0,AQ70/AQ71)*1000</f>
        <v>0</v>
      </c>
      <c r="AR73" s="1788">
        <f>IF(AR71=0,0,AR70/AR71)*1000</f>
        <v>0</v>
      </c>
      <c r="AS73" s="384">
        <f>IF(AS71=0,0,AS70/AS71)*1000</f>
        <v>42.4379562043796</v>
      </c>
      <c r="AT73" s="349">
        <f>IF(AT71=0,0,AT70/AT71)*1000</f>
        <v>42.4379562043796</v>
      </c>
      <c r="AU73" s="349">
        <f>IF(AU71=0,0,AU70/AU71)*1000</f>
        <v>42.4379562043796</v>
      </c>
      <c r="AV73" s="349">
        <f>IF(AV71=0,0,AV70/AV71)*1000</f>
        <v>42.4379562043796</v>
      </c>
      <c r="AW73" s="349">
        <f>IF(AW71=0,0,AW70/AW71)*1000</f>
        <v>42.4379562043796</v>
      </c>
      <c r="AX73" s="1788">
        <f>IF(AX71=0,0,AX70/AX71)*1000</f>
        <v>0</v>
      </c>
      <c r="AY73" s="1788">
        <f>IF(AY71=0,0,AY70/AY71)*1000</f>
        <v>0</v>
      </c>
      <c r="AZ73" s="1788">
        <f>IF(AZ71=0,0,AZ70/AZ71)*1000</f>
        <v>0</v>
      </c>
      <c r="BA73" s="1788">
        <f>IF(BA71=0,0,BA70/BA71)*1000</f>
        <v>0</v>
      </c>
      <c r="BB73" s="1788">
        <f>IF(BB71=0,0,BB70/BB71)*1000</f>
        <v>0</v>
      </c>
      <c r="BC73" s="1730"/>
      <c r="BD73" s="1459"/>
      <c r="BE73" s="1459"/>
      <c r="BF73" s="1181" t="s">
        <v>731</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939</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E75" s="800">
        <v>17.1</v>
      </c>
      <c r="F75" s="919" cm="1" t="str">
        <f t="array" ref="F75:F75">OFFSET(G75,-1,-1)</f>
        <v>1</v>
      </c>
      <c r="H75" s="210" cm="1" t="str">
        <f t="array" ref="H75:H75">AC75</f>
        <v>0</v>
      </c>
      <c r="I75" s="212" t="s">
        <v>926</v>
      </c>
      <c r="S75" s="155"/>
      <c r="T75" s="920">
        <f>AND(F75&gt;0,Y75&gt;0)</f>
        <v>0</v>
      </c>
      <c r="W75" s="168" t="s">
        <v>233</v>
      </c>
      <c r="Y75" s="168">
        <v>0</v>
      </c>
      <c r="AA75" s="1412" t="s">
        <v>217</v>
      </c>
      <c r="AB75" s="213" t="str">
        <f>"1.5."&amp;Y75</f>
        <v>1.5.0</v>
      </c>
      <c r="AC75" s="100"/>
      <c r="AD75" s="153" t="s">
        <v>805</v>
      </c>
      <c r="AE75" s="264">
        <f>AE76*AE77</f>
        <v>0</v>
      </c>
      <c r="AF75" s="58"/>
      <c r="AG75" s="58"/>
      <c r="AH75" s="264">
        <f>AH76*AH77</f>
        <v>0</v>
      </c>
      <c r="AI75" s="209"/>
      <c r="AJ75" s="209"/>
      <c r="AK75" s="209"/>
      <c r="AL75" s="209"/>
      <c r="AM75" s="209"/>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3"/>
      <c r="BF75" s="1181" t="s">
        <v>940</v>
      </c>
      <c r="BG75" s="1187" t="s">
        <v>941</v>
      </c>
      <c r="BH75" s="1187" cm="1" t="str">
        <f t="array" ref="BH75:BH75">AC75</f>
        <v>0</v>
      </c>
      <c r="BI75" s="1188"/>
      <c r="BJ75" s="1188" t="b">
        <v>1</v>
      </c>
    </row>
    <row s="789" customFormat="1" customHeight="1" ht="16.5" hidden="1">
      <c r="E76" s="800">
        <v>17.1</v>
      </c>
      <c r="F76" s="919" cm="1" t="str">
        <f t="array" ref="F76:F76">OFFSET(G76,-1,-1)</f>
        <v>1</v>
      </c>
      <c r="H76" s="210" cm="1" t="str">
        <f t="array" ref="H76:H76">H75</f>
        <v>0</v>
      </c>
      <c r="S76" s="155"/>
      <c r="T76" s="920" cm="1" t="str">
        <f t="array" ref="T76:T76">T75</f>
        <v>false</v>
      </c>
      <c r="AA76" s="1412"/>
      <c r="AB76" s="812" t="str">
        <f>AB75&amp;".1"</f>
        <v>1.5.0.1</v>
      </c>
      <c r="AC76" s="781" t="s">
        <v>942</v>
      </c>
      <c r="AD76" s="171" t="s">
        <v>943</v>
      </c>
      <c r="AE76" s="101"/>
      <c r="AF76" s="1376">
        <f>IF(AF77=0,0,AF75/AF77)</f>
        <v>0</v>
      </c>
      <c r="AG76" s="1376">
        <f>IF(AG77=0,0,AG75/AG77)</f>
        <v>0</v>
      </c>
      <c r="AH76" s="101"/>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779"/>
      <c r="AU76" s="779"/>
      <c r="AV76" s="779"/>
      <c r="AW76" s="779"/>
      <c r="AX76" s="101"/>
      <c r="AY76" s="101"/>
      <c r="AZ76" s="101"/>
      <c r="BA76" s="101"/>
      <c r="BB76" s="101"/>
      <c r="BC76" s="68"/>
      <c r="BF76" s="1181" t="s">
        <v>944</v>
      </c>
      <c r="BG76" s="1187" t="s">
        <v>941</v>
      </c>
      <c r="BH76" s="1187" cm="1" t="str">
        <f t="array" ref="BH76:BH76">BH75</f>
        <v>0</v>
      </c>
      <c r="BI76" s="1188"/>
      <c r="BJ76" s="1188"/>
    </row>
    <row s="789" customFormat="1" customHeight="1" ht="16.5" hidden="1">
      <c r="A77" s="1122" t="str">
        <f>"checkVolume_1."&amp;F77&amp;"."&amp;Y75</f>
        <v>checkVolume_1.1.0</v>
      </c>
      <c r="E77" s="800">
        <v>17.1</v>
      </c>
      <c r="F77" s="919" cm="1" t="str">
        <f t="array" ref="F77:F77">OFFSET(G77,-1,-1)</f>
        <v>1</v>
      </c>
      <c r="H77" s="210" cm="1" t="str">
        <f t="array" ref="H77:H77">H75</f>
        <v>0</v>
      </c>
      <c r="S77" s="155"/>
      <c r="T77" s="920" cm="1" t="str">
        <f t="array" ref="T77:T77">T75</f>
        <v>false</v>
      </c>
      <c r="AA77" s="1412"/>
      <c r="AB77" s="812" t="str">
        <f>AB75&amp;".2"</f>
        <v>1.5.0.2</v>
      </c>
      <c r="AC77" s="781" t="s">
        <v>945</v>
      </c>
      <c r="AD77" s="171" t="s">
        <v>728</v>
      </c>
      <c r="AE77" s="101"/>
      <c r="AF77" s="101"/>
      <c r="AG77" s="101"/>
      <c r="AH77" s="101"/>
      <c r="AI77" s="779"/>
      <c r="AJ77" s="779"/>
      <c r="AK77" s="779"/>
      <c r="AL77" s="779"/>
      <c r="AM77" s="779"/>
      <c r="AN77" s="101"/>
      <c r="AO77" s="101"/>
      <c r="AP77" s="101"/>
      <c r="AQ77" s="101"/>
      <c r="AR77" s="101"/>
      <c r="AS77" s="779"/>
      <c r="AT77" s="779"/>
      <c r="AU77" s="779"/>
      <c r="AV77" s="779"/>
      <c r="AW77" s="779"/>
      <c r="AX77" s="101"/>
      <c r="AY77" s="101"/>
      <c r="AZ77" s="101"/>
      <c r="BA77" s="101"/>
      <c r="BB77" s="101"/>
      <c r="BC77" s="68"/>
      <c r="BF77" s="1181" t="s">
        <v>946</v>
      </c>
      <c r="BG77" s="1187" t="s">
        <v>941</v>
      </c>
      <c r="BH77" s="1187" cm="1" t="str">
        <f t="array" ref="BH77:BH77">BH75</f>
        <v>0</v>
      </c>
      <c r="BI77" s="1188"/>
      <c r="BJ77" s="1188"/>
    </row>
    <row s="789" customFormat="1" customHeight="1" ht="16.5">
      <c r="A78" s="1122" t="str">
        <f>"checkCosts_1."&amp;F78&amp;"."&amp;Y78</f>
        <v>checkCosts_1.1.1</v>
      </c>
      <c r="B78" s="789"/>
      <c r="C78" s="789"/>
      <c r="D78" s="789"/>
      <c r="E78" s="800">
        <v>17.1</v>
      </c>
      <c r="F78" s="919" cm="1" t="str">
        <f t="array" ref="F78:F78">OFFSET(G78,-1,-1)</f>
        <v>1</v>
      </c>
      <c r="G78" s="789"/>
      <c r="H78" s="210" cm="1" t="str">
        <f t="array" ref="H78:H78">AC78</f>
        <v>СН2</v>
      </c>
      <c r="I78" s="212" t="s">
        <v>926</v>
      </c>
      <c r="J78" s="789"/>
      <c r="K78" s="789"/>
      <c r="L78" s="789"/>
      <c r="M78" s="789"/>
      <c r="N78" s="789"/>
      <c r="O78" s="789"/>
      <c r="P78" s="789"/>
      <c r="Q78" s="789"/>
      <c r="R78" s="789"/>
      <c r="S78" s="155"/>
      <c r="T78" s="920">
        <f>AND(F78&gt;0,Y78&gt;0)</f>
        <v>1</v>
      </c>
      <c r="U78" s="789"/>
      <c r="V78" s="789"/>
      <c r="W78" s="168"/>
      <c r="X78" s="789"/>
      <c r="Y78" s="168" t="s">
        <v>335</v>
      </c>
      <c r="Z78" s="789"/>
      <c r="AA78" s="1412" t="s">
        <v>217</v>
      </c>
      <c r="AB78" s="213" t="str">
        <f>"1.5."&amp;Y78</f>
        <v>1.5.1</v>
      </c>
      <c r="AC78" s="1789" t="s">
        <v>988</v>
      </c>
      <c r="AD78" s="153" t="s">
        <v>805</v>
      </c>
      <c r="AE78" s="264">
        <f>AE79*AE80</f>
        <v>0</v>
      </c>
      <c r="AF78" s="1655"/>
      <c r="AG78" s="1655"/>
      <c r="AH78" s="264">
        <f>AH79*AH80</f>
        <v>0</v>
      </c>
      <c r="AI78" s="209">
        <v>297</v>
      </c>
      <c r="AJ78" s="209">
        <v>309</v>
      </c>
      <c r="AK78" s="209">
        <v>321</v>
      </c>
      <c r="AL78" s="209">
        <v>334</v>
      </c>
      <c r="AM78" s="209">
        <v>347</v>
      </c>
      <c r="AN78" s="1655"/>
      <c r="AO78" s="1655"/>
      <c r="AP78" s="1655"/>
      <c r="AQ78" s="1655"/>
      <c r="AR78" s="1655"/>
      <c r="AS78" s="264">
        <f>AS79*AS80</f>
        <v>267</v>
      </c>
      <c r="AT78" s="264">
        <f>AT79*AT80</f>
        <v>291</v>
      </c>
      <c r="AU78" s="264">
        <f>AU79*AU80</f>
        <v>305</v>
      </c>
      <c r="AV78" s="264">
        <f>AV79*AV80</f>
        <v>320</v>
      </c>
      <c r="AW78" s="264">
        <f>AW79*AW80</f>
        <v>336</v>
      </c>
      <c r="AX78" s="264">
        <f>AX79*AX80</f>
        <v>0</v>
      </c>
      <c r="AY78" s="264">
        <f>AY79*AY80</f>
        <v>0</v>
      </c>
      <c r="AZ78" s="264">
        <f>AZ79*AZ80</f>
        <v>0</v>
      </c>
      <c r="BA78" s="264">
        <f>BA79*BA80</f>
        <v>0</v>
      </c>
      <c r="BB78" s="264">
        <f>BB79*BB80</f>
        <v>0</v>
      </c>
      <c r="BC78" s="1730"/>
      <c r="BD78" s="789"/>
      <c r="BE78" s="789"/>
      <c r="BF78" s="1181" t="s">
        <v>940</v>
      </c>
      <c r="BG78" s="1187" t="s">
        <v>941</v>
      </c>
      <c r="BH78" s="1187" cm="1" t="str">
        <f t="array" ref="BH78:BH78">AC78</f>
        <v>СН2</v>
      </c>
      <c r="BI78" s="1188"/>
      <c r="BJ78" s="1188" t="b">
        <v>1</v>
      </c>
    </row>
    <row s="789" customFormat="1" customHeight="1" ht="16.5">
      <c r="A79" s="789"/>
      <c r="B79" s="789"/>
      <c r="C79" s="789"/>
      <c r="D79" s="789"/>
      <c r="E79" s="800">
        <v>17.1</v>
      </c>
      <c r="F79" s="919" cm="1" t="str">
        <f t="array" ref="F79:F79">OFFSET(G79,-1,-1)</f>
        <v>1</v>
      </c>
      <c r="G79" s="789"/>
      <c r="H79" s="210" cm="1" t="str">
        <f t="array" ref="H79:H79">H78</f>
        <v>СН2</v>
      </c>
      <c r="I79" s="789"/>
      <c r="J79" s="789"/>
      <c r="K79" s="789"/>
      <c r="L79" s="789"/>
      <c r="M79" s="789"/>
      <c r="N79" s="789"/>
      <c r="O79" s="789"/>
      <c r="P79" s="789"/>
      <c r="Q79" s="789"/>
      <c r="R79" s="789"/>
      <c r="S79" s="155"/>
      <c r="T79" s="920" cm="1" t="str">
        <f t="array" ref="T79:T79">T78</f>
        <v>true</v>
      </c>
      <c r="U79" s="789"/>
      <c r="V79" s="789"/>
      <c r="W79" s="789"/>
      <c r="X79" s="789"/>
      <c r="Y79" s="789"/>
      <c r="Z79" s="789"/>
      <c r="AA79" s="1412"/>
      <c r="AB79" s="812" t="str">
        <f>AB78&amp;".1"</f>
        <v>1.5.1.1</v>
      </c>
      <c r="AC79" s="781" t="s">
        <v>942</v>
      </c>
      <c r="AD79" s="171" t="s">
        <v>943</v>
      </c>
      <c r="AE79" s="1790"/>
      <c r="AF79" s="1376">
        <f>IF(AF80=0,0,AF78/AF80)</f>
        <v>0</v>
      </c>
      <c r="AG79" s="1376">
        <f>IF(AG80=0,0,AG78/AG80)</f>
        <v>0</v>
      </c>
      <c r="AH79" s="1790"/>
      <c r="AI79" s="1376">
        <f>IF(AI80=0,0,AI78/AI80)</f>
        <v>5.10835913312694</v>
      </c>
      <c r="AJ79" s="1376">
        <f>IF(AJ80=0,0,AJ78/AJ80)</f>
        <v>5.31475748194014</v>
      </c>
      <c r="AK79" s="1376">
        <f>IF(AK80=0,0,AK78/AK80)</f>
        <v>5.52115583075335</v>
      </c>
      <c r="AL79" s="1376">
        <f>IF(AL80=0,0,AL78/AL80)</f>
        <v>5.74475404196766</v>
      </c>
      <c r="AM79" s="1376">
        <f>IF(AM80=0,0,AM78/AM80)</f>
        <v>5.96835225318197</v>
      </c>
      <c r="AN79" s="1376">
        <f>IF(AN80=0,0,AN78/AN80)</f>
        <v>0</v>
      </c>
      <c r="AO79" s="1376">
        <f>IF(AO80=0,0,AO78/AO80)</f>
        <v>0</v>
      </c>
      <c r="AP79" s="1376">
        <f>IF(AP80=0,0,AP78/AP80)</f>
        <v>0</v>
      </c>
      <c r="AQ79" s="1376">
        <f>IF(AQ80=0,0,AQ78/AQ80)</f>
        <v>0</v>
      </c>
      <c r="AR79" s="1376">
        <f>IF(AR80=0,0,AR78/AR80)</f>
        <v>0</v>
      </c>
      <c r="AS79" s="779">
        <f>267/AS80</f>
        <v>4.59236326109391</v>
      </c>
      <c r="AT79" s="779">
        <f>291/AT80</f>
        <v>5.00515995872033</v>
      </c>
      <c r="AU79" s="779">
        <f>305/AU80</f>
        <v>5.24595803233574</v>
      </c>
      <c r="AV79" s="779">
        <f>320/AV80</f>
        <v>5.50395596835225</v>
      </c>
      <c r="AW79" s="779">
        <f>336/AW80</f>
        <v>5.77915376676987</v>
      </c>
      <c r="AX79" s="1790"/>
      <c r="AY79" s="1790"/>
      <c r="AZ79" s="1790"/>
      <c r="BA79" s="1790"/>
      <c r="BB79" s="1790"/>
      <c r="BC79" s="1741"/>
      <c r="BD79" s="789"/>
      <c r="BE79" s="789"/>
      <c r="BF79" s="1181" t="s">
        <v>944</v>
      </c>
      <c r="BG79" s="1187" t="s">
        <v>941</v>
      </c>
      <c r="BH79" s="1187" cm="1" t="str">
        <f t="array" ref="BH79:BH79">BH78</f>
        <v>СН2</v>
      </c>
      <c r="BI79" s="1188"/>
      <c r="BJ79" s="1188"/>
    </row>
    <row s="789" customFormat="1" customHeight="1" ht="16.5">
      <c r="A80" s="1122" t="str">
        <f>"checkVolume_1."&amp;F80&amp;"."&amp;Y78</f>
        <v>checkVolume_1.1.1</v>
      </c>
      <c r="B80" s="789"/>
      <c r="C80" s="789"/>
      <c r="D80" s="789"/>
      <c r="E80" s="800">
        <v>17.1</v>
      </c>
      <c r="F80" s="919" cm="1" t="str">
        <f t="array" ref="F80:F80">OFFSET(G80,-1,-1)</f>
        <v>1</v>
      </c>
      <c r="G80" s="789"/>
      <c r="H80" s="210" cm="1" t="str">
        <f t="array" ref="H80:H80">H78</f>
        <v>СН2</v>
      </c>
      <c r="I80" s="789"/>
      <c r="J80" s="789"/>
      <c r="K80" s="789"/>
      <c r="L80" s="789"/>
      <c r="M80" s="789"/>
      <c r="N80" s="789"/>
      <c r="O80" s="789"/>
      <c r="P80" s="789"/>
      <c r="Q80" s="789"/>
      <c r="R80" s="789"/>
      <c r="S80" s="155"/>
      <c r="T80" s="920" cm="1" t="str">
        <f t="array" ref="T80:T80">T78</f>
        <v>true</v>
      </c>
      <c r="U80" s="789"/>
      <c r="V80" s="789"/>
      <c r="W80" s="789"/>
      <c r="X80" s="789"/>
      <c r="Y80" s="789"/>
      <c r="Z80" s="789"/>
      <c r="AA80" s="1412"/>
      <c r="AB80" s="812" t="str">
        <f>AB78&amp;".2"</f>
        <v>1.5.1.2</v>
      </c>
      <c r="AC80" s="781" t="s">
        <v>945</v>
      </c>
      <c r="AD80" s="171" t="s">
        <v>728</v>
      </c>
      <c r="AE80" s="1790"/>
      <c r="AF80" s="1790"/>
      <c r="AG80" s="1790"/>
      <c r="AH80" s="1790"/>
      <c r="AI80" s="779">
        <v>58.14</v>
      </c>
      <c r="AJ80" s="779">
        <v>58.14</v>
      </c>
      <c r="AK80" s="779">
        <v>58.14</v>
      </c>
      <c r="AL80" s="779">
        <v>58.14</v>
      </c>
      <c r="AM80" s="779">
        <v>58.14</v>
      </c>
      <c r="AN80" s="1790"/>
      <c r="AO80" s="1790"/>
      <c r="AP80" s="1790"/>
      <c r="AQ80" s="1790"/>
      <c r="AR80" s="1790"/>
      <c r="AS80" s="779">
        <v>58.14</v>
      </c>
      <c r="AT80" s="779">
        <v>58.14</v>
      </c>
      <c r="AU80" s="779">
        <v>58.14</v>
      </c>
      <c r="AV80" s="779">
        <v>58.14</v>
      </c>
      <c r="AW80" s="779">
        <v>58.14</v>
      </c>
      <c r="AX80" s="1790"/>
      <c r="AY80" s="1790"/>
      <c r="AZ80" s="1790"/>
      <c r="BA80" s="1790"/>
      <c r="BB80" s="1790"/>
      <c r="BC80" s="1741"/>
      <c r="BD80" s="789"/>
      <c r="BE80" s="789"/>
      <c r="BF80" s="1181" t="s">
        <v>946</v>
      </c>
      <c r="BG80" s="1187" t="s">
        <v>941</v>
      </c>
      <c r="BH80" s="1187" cm="1" t="str">
        <f t="array" ref="BH80:BH80">BH78</f>
        <v>СН2</v>
      </c>
      <c r="BI80" s="1188"/>
      <c r="BJ80" s="1188"/>
    </row>
    <row s="962" customFormat="1" customHeight="1" ht="16.5">
      <c r="A81" s="962"/>
      <c r="B81" s="962"/>
      <c r="C81" s="962"/>
      <c r="D81" s="962"/>
      <c r="E81" s="794">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1" t="s">
        <v>947</v>
      </c>
      <c r="X81" s="962"/>
      <c r="Y81" s="962"/>
      <c r="Z81" s="962"/>
      <c r="AA81" s="962"/>
      <c r="AB81" s="813"/>
      <c r="AC81" s="780" t="s">
        <v>235</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2"/>
      <c r="BD81" s="962"/>
      <c r="BE81" s="962"/>
      <c r="BF81" s="1170"/>
      <c r="BG81" s="1170"/>
      <c r="BH81" s="1170"/>
      <c r="BI81" s="1186" t="s">
        <v>941</v>
      </c>
      <c r="BJ81" s="1186"/>
    </row>
    <row s="789" customFormat="1" customHeight="1" ht="16.5">
      <c r="A82" s="1459"/>
      <c r="B82" s="1459"/>
      <c r="C82" s="1459"/>
      <c r="D82" s="1459"/>
      <c r="E82" s="800">
        <v>17.1</v>
      </c>
      <c r="F82" s="919" cm="1" t="str">
        <f t="array" ref="F82:F82">OFFSET(G82,-1,-1)</f>
        <v>1</v>
      </c>
      <c r="G82" s="1459"/>
      <c r="H82" s="1459"/>
      <c r="I82" s="1459"/>
      <c r="J82" s="1459"/>
      <c r="K82" s="1459"/>
      <c r="L82" s="1459"/>
      <c r="M82" s="1459"/>
      <c r="N82" s="1459"/>
      <c r="O82" s="1459"/>
      <c r="P82" s="1459"/>
      <c r="Q82" s="1459"/>
      <c r="R82" s="1459"/>
      <c r="S82" s="155"/>
      <c r="T82" s="920">
        <f>F82&gt;0</f>
        <v>1</v>
      </c>
      <c r="U82" s="1459"/>
      <c r="V82" s="1459"/>
      <c r="W82" s="1459"/>
      <c r="X82" s="1459"/>
      <c r="Y82" s="1459"/>
      <c r="Z82" s="1459"/>
      <c r="AA82" s="1459"/>
      <c r="AB82" s="782"/>
      <c r="AC82" s="340" t="s">
        <v>948</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3"/>
      <c r="BD82" s="1459"/>
      <c r="BE82" s="1459"/>
      <c r="BF82" s="1181"/>
      <c r="BG82" s="1187"/>
      <c r="BH82" s="1187"/>
      <c r="BI82" s="1188"/>
      <c r="BJ82" s="1188"/>
    </row>
    <row s="789" customFormat="1" customHeight="1" ht="16.5" hidden="1">
      <c r="A83" s="1459"/>
      <c r="B83" s="1459"/>
      <c r="C83" s="1459"/>
      <c r="D83" s="1459"/>
      <c r="E83" s="800">
        <v>17.1</v>
      </c>
      <c r="F83" s="919" cm="1" t="str">
        <f t="array" ref="F83:F83">OFFSET(G83,-1,-1)</f>
        <v>1</v>
      </c>
      <c r="G83" s="1459"/>
      <c r="H83" s="210" cm="1" t="str">
        <f t="array" ref="H83:H83">AC83</f>
        <v>0</v>
      </c>
      <c r="I83" s="212" t="s">
        <v>926</v>
      </c>
      <c r="J83" s="1459"/>
      <c r="K83" s="1459"/>
      <c r="L83" s="1459"/>
      <c r="M83" s="1459"/>
      <c r="N83" s="1459"/>
      <c r="O83" s="1459"/>
      <c r="P83" s="1459"/>
      <c r="Q83" s="1459"/>
      <c r="R83" s="1459"/>
      <c r="S83" s="155"/>
      <c r="T83" s="920">
        <f>AND(F83&gt;0,Y83&gt;0)</f>
        <v>0</v>
      </c>
      <c r="U83" s="1459"/>
      <c r="V83" s="1459"/>
      <c r="W83" s="168" t="s">
        <v>233</v>
      </c>
      <c r="X83" s="1459"/>
      <c r="Y83" s="168">
        <v>0</v>
      </c>
      <c r="Z83" s="1459"/>
      <c r="AA83" s="1412" t="s">
        <v>217</v>
      </c>
      <c r="AB83" s="213" t="str">
        <f>"1.6."&amp;Y83</f>
        <v>1.6.0</v>
      </c>
      <c r="AC83" s="100"/>
      <c r="AD83" s="153" t="s">
        <v>805</v>
      </c>
      <c r="AE83" s="264">
        <f>AE85+AE87</f>
        <v>0</v>
      </c>
      <c r="AF83" s="264">
        <f>AF85+AF87</f>
        <v>0</v>
      </c>
      <c r="AG83" s="264">
        <f>AG85+AG87</f>
        <v>0</v>
      </c>
      <c r="AH83" s="264">
        <f>AH85+AH87</f>
        <v>0</v>
      </c>
      <c r="AI83" s="264">
        <f>AI85+AI87</f>
        <v>0</v>
      </c>
      <c r="AJ83" s="209">
        <f>AJ85+AJ87</f>
        <v>0</v>
      </c>
      <c r="AK83" s="209">
        <f>AK85+AK87</f>
        <v>0</v>
      </c>
      <c r="AL83" s="209">
        <f>AL85+AL87</f>
        <v>0</v>
      </c>
      <c r="AM83" s="209">
        <f>AM85+AM87</f>
        <v>0</v>
      </c>
      <c r="AN83" s="58">
        <f>AN85+AN87</f>
        <v>0</v>
      </c>
      <c r="AO83" s="58">
        <f>AO85+AO87</f>
        <v>0</v>
      </c>
      <c r="AP83" s="58">
        <f>AP85+AP87</f>
        <v>0</v>
      </c>
      <c r="AQ83" s="58">
        <f>AQ85+AQ87</f>
        <v>0</v>
      </c>
      <c r="AR83" s="58">
        <f>AR85+AR87</f>
        <v>0</v>
      </c>
      <c r="AS83" s="264">
        <f>AS85+AS87</f>
        <v>0</v>
      </c>
      <c r="AT83" s="209">
        <f>AT85+AT87</f>
        <v>0</v>
      </c>
      <c r="AU83" s="209">
        <f>AU85+AU87</f>
        <v>0</v>
      </c>
      <c r="AV83" s="209">
        <f>AV85+AV87</f>
        <v>0</v>
      </c>
      <c r="AW83" s="209">
        <f>AW85+AW87</f>
        <v>0</v>
      </c>
      <c r="AX83" s="58">
        <f>AX85+AX87</f>
        <v>0</v>
      </c>
      <c r="AY83" s="58">
        <f>AY85+AY87</f>
        <v>0</v>
      </c>
      <c r="AZ83" s="58">
        <f>AZ85+AZ87</f>
        <v>0</v>
      </c>
      <c r="BA83" s="58">
        <f>BA85+BA87</f>
        <v>0</v>
      </c>
      <c r="BB83" s="58">
        <f>BB85+BB87</f>
        <v>0</v>
      </c>
      <c r="BC83" s="73"/>
      <c r="BD83" s="1459"/>
      <c r="BE83" s="1459"/>
      <c r="BF83" s="1181" t="s">
        <v>949</v>
      </c>
      <c r="BG83" s="1187" t="s">
        <v>950</v>
      </c>
      <c r="BH83" s="1187" cm="1" t="str">
        <f t="array" ref="BH83:BH83">AC83</f>
        <v>0</v>
      </c>
      <c r="BI83" s="1188"/>
      <c r="BJ83" s="1188" t="b">
        <v>1</v>
      </c>
    </row>
    <row s="789" customFormat="1" customHeight="1" ht="16.5" hidden="1">
      <c r="A84" s="789"/>
      <c r="B84" s="789"/>
      <c r="C84" s="789"/>
      <c r="D84" s="789"/>
      <c r="E84" s="800">
        <v>17.1</v>
      </c>
      <c r="F84" s="919" cm="1" t="str">
        <f t="array" ref="F84:F84">OFFSET(G84,-1,-1)</f>
        <v>1</v>
      </c>
      <c r="G84" s="789"/>
      <c r="H84" s="210" cm="1" t="str">
        <f t="array" ref="H84:H84">H83</f>
        <v>0</v>
      </c>
      <c r="I84" s="789"/>
      <c r="J84" s="789"/>
      <c r="K84" s="789"/>
      <c r="L84" s="789"/>
      <c r="M84" s="789"/>
      <c r="N84" s="789"/>
      <c r="O84" s="789"/>
      <c r="P84" s="789"/>
      <c r="Q84" s="789"/>
      <c r="R84" s="789"/>
      <c r="S84" s="155"/>
      <c r="T84" s="920" cm="1" t="str">
        <f t="array" ref="T84:T84">T83</f>
        <v>false</v>
      </c>
      <c r="U84" s="789"/>
      <c r="V84" s="789"/>
      <c r="W84" s="789"/>
      <c r="X84" s="789"/>
      <c r="Y84" s="789"/>
      <c r="Z84" s="789"/>
      <c r="AA84" s="1412"/>
      <c r="AB84" s="213" t="str">
        <f>AB83&amp;".1"</f>
        <v>1.6.0.1</v>
      </c>
      <c r="AC84" s="273" t="s">
        <v>942</v>
      </c>
      <c r="AD84" s="153" t="s">
        <v>943</v>
      </c>
      <c r="AE84" s="58"/>
      <c r="AF84" s="264">
        <f>IF(AF86=0,0,AF85/AF86)</f>
        <v>0</v>
      </c>
      <c r="AG84" s="264">
        <f>IF(AG86=0,0,AG85/AG86)</f>
        <v>0</v>
      </c>
      <c r="AH84" s="58"/>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209"/>
      <c r="AU84" s="209"/>
      <c r="AV84" s="209"/>
      <c r="AW84" s="209"/>
      <c r="AX84" s="58"/>
      <c r="AY84" s="58"/>
      <c r="AZ84" s="58"/>
      <c r="BA84" s="58"/>
      <c r="BB84" s="58"/>
      <c r="BC84" s="73"/>
      <c r="BD84" s="789"/>
      <c r="BE84" s="789"/>
      <c r="BF84" s="1181" t="s">
        <v>944</v>
      </c>
      <c r="BG84" s="1187" t="s">
        <v>950</v>
      </c>
      <c r="BH84" s="1187" cm="1" t="str">
        <f t="array" ref="BH84:BH84">BH83</f>
        <v>0</v>
      </c>
      <c r="BI84" s="1188"/>
      <c r="BJ84" s="1188"/>
    </row>
    <row s="789" customFormat="1" customHeight="1" ht="16.5" hidden="1">
      <c r="A85" s="1122" t="str">
        <f>"checkCosts_2."&amp;F85&amp;"."&amp;Y83</f>
        <v>checkCosts_2.1.0</v>
      </c>
      <c r="B85" s="1459"/>
      <c r="C85" s="1459"/>
      <c r="D85" s="1459"/>
      <c r="E85" s="800">
        <v>17.1</v>
      </c>
      <c r="F85" s="919" cm="1" t="str">
        <f t="array" ref="F85:F85">OFFSET(G85,-1,-1)</f>
        <v>1</v>
      </c>
      <c r="G85" s="1459"/>
      <c r="H85" s="210" cm="1" t="str">
        <f t="array" ref="H85:H85">H83</f>
        <v>0</v>
      </c>
      <c r="I85" s="1459"/>
      <c r="J85" s="1459"/>
      <c r="K85" s="1459"/>
      <c r="L85" s="1459"/>
      <c r="M85" s="1459"/>
      <c r="N85" s="1459"/>
      <c r="O85" s="1459"/>
      <c r="P85" s="1459"/>
      <c r="Q85" s="1459"/>
      <c r="R85" s="1459"/>
      <c r="S85" s="155"/>
      <c r="T85" s="920" cm="1" t="str">
        <f t="array" ref="T85:T85">T83</f>
        <v>false</v>
      </c>
      <c r="U85" s="1459"/>
      <c r="V85" s="1459"/>
      <c r="W85" s="1459"/>
      <c r="X85" s="1459"/>
      <c r="Y85" s="1459"/>
      <c r="Z85" s="1459"/>
      <c r="AA85" s="1412"/>
      <c r="AB85" s="213" t="str">
        <f>AB83&amp;".2"</f>
        <v>1.6.0.2</v>
      </c>
      <c r="AC85" s="273" t="s">
        <v>951</v>
      </c>
      <c r="AD85" s="153" t="s">
        <v>805</v>
      </c>
      <c r="AE85" s="58"/>
      <c r="AF85" s="58"/>
      <c r="AG85" s="58"/>
      <c r="AH85" s="58"/>
      <c r="AI85" s="209"/>
      <c r="AJ85" s="209"/>
      <c r="AK85" s="209"/>
      <c r="AL85" s="209"/>
      <c r="AM85" s="209"/>
      <c r="AN85" s="58"/>
      <c r="AO85" s="58"/>
      <c r="AP85" s="58"/>
      <c r="AQ85" s="58"/>
      <c r="AR85" s="58"/>
      <c r="AS85" s="209"/>
      <c r="AT85" s="209"/>
      <c r="AU85" s="209"/>
      <c r="AV85" s="209"/>
      <c r="AW85" s="209"/>
      <c r="AX85" s="58"/>
      <c r="AY85" s="58"/>
      <c r="AZ85" s="58"/>
      <c r="BA85" s="58"/>
      <c r="BB85" s="58"/>
      <c r="BC85" s="73"/>
      <c r="BD85" s="1459"/>
      <c r="BE85" s="1459"/>
      <c r="BF85" s="1181" t="s">
        <v>940</v>
      </c>
      <c r="BG85" s="1187" t="s">
        <v>950</v>
      </c>
      <c r="BH85" s="1187" cm="1" t="str">
        <f t="array" ref="BH85:BH85">BH83</f>
        <v>0</v>
      </c>
      <c r="BI85" s="1188"/>
      <c r="BJ85" s="1188"/>
    </row>
    <row s="789" customFormat="1" customHeight="1" ht="16.5" hidden="1">
      <c r="A86" s="1122" t="str">
        <f>"checkVolume_2."&amp;F86&amp;"."&amp;Y83</f>
        <v>checkVolume_2.1.0</v>
      </c>
      <c r="B86" s="1459"/>
      <c r="C86" s="1459"/>
      <c r="D86" s="1459"/>
      <c r="E86" s="800">
        <v>17.1</v>
      </c>
      <c r="F86" s="919" cm="1" t="str">
        <f t="array" ref="F86:F86">OFFSET(G86,-1,-1)</f>
        <v>1</v>
      </c>
      <c r="G86" s="1459"/>
      <c r="H86" s="210" cm="1" t="str">
        <f t="array" ref="H86:H86">H85</f>
        <v>0</v>
      </c>
      <c r="I86" s="1459"/>
      <c r="J86" s="1459"/>
      <c r="K86" s="1459"/>
      <c r="L86" s="1459"/>
      <c r="M86" s="1459"/>
      <c r="N86" s="1459"/>
      <c r="O86" s="1459"/>
      <c r="P86" s="1459"/>
      <c r="Q86" s="1459"/>
      <c r="R86" s="1459"/>
      <c r="S86" s="155"/>
      <c r="T86" s="920" cm="1" t="str">
        <f t="array" ref="T86:T86">T85</f>
        <v>false</v>
      </c>
      <c r="U86" s="1459"/>
      <c r="V86" s="1459"/>
      <c r="W86" s="1459"/>
      <c r="X86" s="1459"/>
      <c r="Y86" s="1459"/>
      <c r="Z86" s="1459"/>
      <c r="AA86" s="1412"/>
      <c r="AB86" s="213" t="str">
        <f>AB83&amp;".2.1"</f>
        <v>1.6.0.2.1</v>
      </c>
      <c r="AC86" s="415" t="s">
        <v>945</v>
      </c>
      <c r="AD86" s="167" t="s">
        <v>728</v>
      </c>
      <c r="AE86" s="58"/>
      <c r="AF86" s="58"/>
      <c r="AG86" s="58"/>
      <c r="AH86" s="58"/>
      <c r="AI86" s="209"/>
      <c r="AJ86" s="209"/>
      <c r="AK86" s="209"/>
      <c r="AL86" s="209"/>
      <c r="AM86" s="209"/>
      <c r="AN86" s="58"/>
      <c r="AO86" s="58"/>
      <c r="AP86" s="58"/>
      <c r="AQ86" s="58"/>
      <c r="AR86" s="58"/>
      <c r="AS86" s="209"/>
      <c r="AT86" s="209"/>
      <c r="AU86" s="209"/>
      <c r="AV86" s="209"/>
      <c r="AW86" s="209"/>
      <c r="AX86" s="58"/>
      <c r="AY86" s="58"/>
      <c r="AZ86" s="58"/>
      <c r="BA86" s="58"/>
      <c r="BB86" s="58"/>
      <c r="BC86" s="73"/>
      <c r="BD86" s="1459"/>
      <c r="BE86" s="1459"/>
      <c r="BF86" s="1181" t="s">
        <v>946</v>
      </c>
      <c r="BG86" s="1187" t="s">
        <v>950</v>
      </c>
      <c r="BH86" s="1187" cm="1" t="str">
        <f t="array" ref="BH86:BH86">BH85</f>
        <v>0</v>
      </c>
      <c r="BI86" s="1188"/>
      <c r="BJ86" s="1188"/>
    </row>
    <row s="789" customFormat="1" customHeight="1" ht="16.5" hidden="1">
      <c r="A87" s="1122" t="str">
        <f>"checkCosts_3."&amp;F87&amp;"."&amp;Y83</f>
        <v>checkCosts_3.1.0</v>
      </c>
      <c r="B87" s="1459"/>
      <c r="C87" s="1459"/>
      <c r="D87" s="1459"/>
      <c r="E87" s="800">
        <v>17.1</v>
      </c>
      <c r="F87" s="919" cm="1" t="str">
        <f t="array" ref="F87:F87">OFFSET(G87,-1,-1)</f>
        <v>1</v>
      </c>
      <c r="G87" s="1459"/>
      <c r="H87" s="210" cm="1" t="str">
        <f t="array" ref="H87:H87">H86</f>
        <v>0</v>
      </c>
      <c r="I87" s="1459"/>
      <c r="J87" s="1459"/>
      <c r="K87" s="1459"/>
      <c r="L87" s="1459"/>
      <c r="M87" s="1459"/>
      <c r="N87" s="1459"/>
      <c r="O87" s="1459"/>
      <c r="P87" s="1459"/>
      <c r="Q87" s="1459"/>
      <c r="R87" s="1459"/>
      <c r="S87" s="155"/>
      <c r="T87" s="920" cm="1" t="str">
        <f t="array" ref="T87:T87">T86</f>
        <v>false</v>
      </c>
      <c r="U87" s="1459"/>
      <c r="V87" s="1459"/>
      <c r="W87" s="1459"/>
      <c r="X87" s="1459"/>
      <c r="Y87" s="1459"/>
      <c r="Z87" s="1459"/>
      <c r="AA87" s="1412"/>
      <c r="AB87" s="213" t="str">
        <f>AB83&amp;".3"</f>
        <v>1.6.0.3</v>
      </c>
      <c r="AC87" s="273" t="s">
        <v>952</v>
      </c>
      <c r="AD87" s="153" t="s">
        <v>953</v>
      </c>
      <c r="AE87" s="58"/>
      <c r="AF87" s="58"/>
      <c r="AG87" s="58"/>
      <c r="AH87" s="58"/>
      <c r="AI87" s="209"/>
      <c r="AJ87" s="209"/>
      <c r="AK87" s="209"/>
      <c r="AL87" s="209"/>
      <c r="AM87" s="209"/>
      <c r="AN87" s="58"/>
      <c r="AO87" s="58"/>
      <c r="AP87" s="58"/>
      <c r="AQ87" s="58"/>
      <c r="AR87" s="58"/>
      <c r="AS87" s="209"/>
      <c r="AT87" s="209"/>
      <c r="AU87" s="209"/>
      <c r="AV87" s="209"/>
      <c r="AW87" s="209"/>
      <c r="AX87" s="58"/>
      <c r="AY87" s="58"/>
      <c r="AZ87" s="58"/>
      <c r="BA87" s="58"/>
      <c r="BB87" s="58"/>
      <c r="BC87" s="73"/>
      <c r="BD87" s="1459"/>
      <c r="BE87" s="1459"/>
      <c r="BF87" s="1181" t="s">
        <v>954</v>
      </c>
      <c r="BG87" s="1187" t="s">
        <v>950</v>
      </c>
      <c r="BH87" s="1187" cm="1" t="str">
        <f t="array" ref="BH87:BH87">BH86</f>
        <v>0</v>
      </c>
      <c r="BI87" s="1188"/>
      <c r="BJ87" s="1188"/>
    </row>
    <row s="789" customFormat="1" customHeight="1" ht="16.5" hidden="1">
      <c r="A88" s="1122" t="str">
        <f>"checkVolume_3."&amp;F88&amp;"."&amp;Y83</f>
        <v>checkVolume_3.1.0</v>
      </c>
      <c r="B88" s="1459"/>
      <c r="C88" s="1459"/>
      <c r="D88" s="1459"/>
      <c r="E88" s="800">
        <v>17.1</v>
      </c>
      <c r="F88" s="919" cm="1" t="str">
        <f t="array" ref="F88:F88">OFFSET(G88,-1,-1)</f>
        <v>1</v>
      </c>
      <c r="G88" s="1459"/>
      <c r="H88" s="210" cm="1" t="str">
        <f t="array" ref="H88:H88">H87</f>
        <v>0</v>
      </c>
      <c r="I88" s="1459"/>
      <c r="J88" s="1459"/>
      <c r="K88" s="1459"/>
      <c r="L88" s="1459"/>
      <c r="M88" s="1459"/>
      <c r="N88" s="1459"/>
      <c r="O88" s="1459"/>
      <c r="P88" s="1459"/>
      <c r="Q88" s="1459"/>
      <c r="R88" s="1459"/>
      <c r="S88" s="155"/>
      <c r="T88" s="920" cm="1" t="str">
        <f t="array" ref="T88:T88">T87</f>
        <v>false</v>
      </c>
      <c r="U88" s="1459"/>
      <c r="V88" s="1459"/>
      <c r="W88" s="1459"/>
      <c r="X88" s="1459"/>
      <c r="Y88" s="1459"/>
      <c r="Z88" s="1459"/>
      <c r="AA88" s="1412"/>
      <c r="AB88" s="812" t="str">
        <f>AB83&amp;".3.1"</f>
        <v>1.6.0.3.1</v>
      </c>
      <c r="AC88" s="778" t="s">
        <v>955</v>
      </c>
      <c r="AD88" s="171" t="s">
        <v>956</v>
      </c>
      <c r="AE88" s="101"/>
      <c r="AF88" s="101"/>
      <c r="AG88" s="101"/>
      <c r="AH88" s="101"/>
      <c r="AI88" s="779"/>
      <c r="AJ88" s="779"/>
      <c r="AK88" s="779"/>
      <c r="AL88" s="779"/>
      <c r="AM88" s="779"/>
      <c r="AN88" s="101"/>
      <c r="AO88" s="101"/>
      <c r="AP88" s="101"/>
      <c r="AQ88" s="101"/>
      <c r="AR88" s="101"/>
      <c r="AS88" s="779"/>
      <c r="AT88" s="779"/>
      <c r="AU88" s="779"/>
      <c r="AV88" s="779"/>
      <c r="AW88" s="779"/>
      <c r="AX88" s="101"/>
      <c r="AY88" s="101"/>
      <c r="AZ88" s="101"/>
      <c r="BA88" s="101"/>
      <c r="BB88" s="101"/>
      <c r="BC88" s="68"/>
      <c r="BD88" s="1459"/>
      <c r="BE88" s="1459"/>
      <c r="BF88" s="1181" t="s">
        <v>957</v>
      </c>
      <c r="BG88" s="1187" t="s">
        <v>950</v>
      </c>
      <c r="BH88" s="1187" cm="1" t="str">
        <f t="array" ref="BH88:BH88">BH87</f>
        <v>0</v>
      </c>
      <c r="BI88" s="1188"/>
      <c r="BJ88" s="1188"/>
    </row>
    <row s="962" customFormat="1" customHeight="1" ht="16.5">
      <c r="A89" s="962"/>
      <c r="B89" s="962"/>
      <c r="C89" s="962"/>
      <c r="D89" s="962"/>
      <c r="E89" s="794">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1" t="s">
        <v>958</v>
      </c>
      <c r="X89" s="962"/>
      <c r="Y89" s="962"/>
      <c r="Z89" s="962"/>
      <c r="AA89" s="962"/>
      <c r="AB89" s="813"/>
      <c r="AC89" s="780" t="s">
        <v>959</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2"/>
      <c r="BD89" s="962"/>
      <c r="BE89" s="962"/>
      <c r="BF89" s="1170"/>
      <c r="BG89" s="1170"/>
      <c r="BH89" s="1170"/>
      <c r="BI89" s="1186" t="s">
        <v>950</v>
      </c>
      <c r="BJ89" s="1186"/>
    </row>
    <row s="962" customFormat="1" customHeight="1" ht="12" hidden="1">
      <c r="A90" s="962"/>
      <c r="B90" s="962"/>
      <c r="C90" s="962"/>
      <c r="D90" s="962"/>
      <c r="E90" s="794">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20" customFormat="1" customHeight="1" ht="14.25">
      <c r="A91" s="220"/>
      <c r="B91" s="220"/>
      <c r="C91" s="220"/>
      <c r="D91" s="220"/>
      <c r="E91" s="921">
        <v>15</v>
      </c>
      <c r="F91" s="919" cm="1" t="str">
        <f t="array" ref="F91:F91">OFFSET(G91,-1,-1)</f>
        <v>1</v>
      </c>
      <c r="G91" s="190" t="s">
        <v>960</v>
      </c>
      <c r="H91" s="220"/>
      <c r="I91" s="212" t="s">
        <v>926</v>
      </c>
      <c r="J91" s="220"/>
      <c r="K91" s="220"/>
      <c r="L91" s="220"/>
      <c r="M91" s="220"/>
      <c r="N91" s="220"/>
      <c r="O91" s="220"/>
      <c r="P91" s="220"/>
      <c r="Q91" s="220"/>
      <c r="R91" s="220"/>
      <c r="S91" s="220"/>
      <c r="T91" s="920">
        <f>F91&gt;0</f>
        <v>1</v>
      </c>
      <c r="U91" s="220"/>
      <c r="V91" s="220"/>
      <c r="W91" s="220"/>
      <c r="X91" s="220"/>
      <c r="Y91" s="220"/>
      <c r="Z91" s="220"/>
      <c r="AA91" s="220"/>
      <c r="AB91" s="814">
        <v>2</v>
      </c>
      <c r="AC91" s="783" t="s">
        <v>961</v>
      </c>
      <c r="AD91" s="784" t="s">
        <v>805</v>
      </c>
      <c r="AE91" s="279">
        <f>SUMIF($I95:$I111,$I91,AE95:AE111)</f>
        <v>0</v>
      </c>
      <c r="AF91" s="279">
        <f>SUMIF($I95:$I111,$I91,AF95:AF111)</f>
        <v>0</v>
      </c>
      <c r="AG91" s="279">
        <f>SUMIF($I95:$I111,$I91,AG95:AG111)</f>
        <v>0</v>
      </c>
      <c r="AH91" s="279">
        <f>SUMIF($I95:$I111,$I91,AH95:AH111)</f>
        <v>0</v>
      </c>
      <c r="AI91" s="279">
        <f>SUMIF($I95:$I111,$I91,AI95:AI111)</f>
        <v>0</v>
      </c>
      <c r="AJ91" s="292">
        <f>SUMIF($I95:$I111,$I91,AJ95:AJ111)</f>
        <v>0</v>
      </c>
      <c r="AK91" s="292">
        <f>SUMIF($I95:$I111,$I91,AK95:AK111)</f>
        <v>0</v>
      </c>
      <c r="AL91" s="292">
        <f>SUMIF($I95:$I111,$I91,AL95:AL111)</f>
        <v>0</v>
      </c>
      <c r="AM91" s="292">
        <f>SUMIF($I95:$I111,$I91,AM95:AM111)</f>
        <v>0</v>
      </c>
      <c r="AN91" s="1793">
        <f>SUMIF($I95:$I111,$I91,AN95:AN111)</f>
        <v>0</v>
      </c>
      <c r="AO91" s="1793">
        <f>SUMIF($I95:$I111,$I91,AO95:AO111)</f>
        <v>0</v>
      </c>
      <c r="AP91" s="1793">
        <f>SUMIF($I95:$I111,$I91,AP95:AP111)</f>
        <v>0</v>
      </c>
      <c r="AQ91" s="1793">
        <f>SUMIF($I95:$I111,$I91,AQ95:AQ111)</f>
        <v>0</v>
      </c>
      <c r="AR91" s="1793">
        <f>SUMIF($I95:$I111,$I91,AR95:AR111)</f>
        <v>0</v>
      </c>
      <c r="AS91" s="279">
        <f>SUMIF($I95:$I111,$I91,AS95:AS111)</f>
        <v>0</v>
      </c>
      <c r="AT91" s="292">
        <f>SUMIF($I95:$I111,$I91,AT95:AT111)</f>
        <v>0</v>
      </c>
      <c r="AU91" s="292">
        <f>SUMIF($I95:$I111,$I91,AU95:AU111)</f>
        <v>0</v>
      </c>
      <c r="AV91" s="292">
        <f>SUMIF($I95:$I111,$I91,AV95:AV111)</f>
        <v>0</v>
      </c>
      <c r="AW91" s="292">
        <f>SUMIF($I95:$I111,$I91,AW95:AW111)</f>
        <v>0</v>
      </c>
      <c r="AX91" s="1793">
        <f>SUMIF($I95:$I111,$I91,AX95:AX111)</f>
        <v>0</v>
      </c>
      <c r="AY91" s="1793">
        <f>SUMIF($I95:$I111,$I91,AY95:AY111)</f>
        <v>0</v>
      </c>
      <c r="AZ91" s="1793">
        <f>SUMIF($I95:$I111,$I91,AZ95:AZ111)</f>
        <v>0</v>
      </c>
      <c r="BA91" s="1793">
        <f>SUMIF($I95:$I111,$I91,BA95:BA111)</f>
        <v>0</v>
      </c>
      <c r="BB91" s="1793">
        <f>SUMIF($I95:$I111,$I91,BB95:BB111)</f>
        <v>0</v>
      </c>
      <c r="BC91" s="1742"/>
      <c r="BD91" s="220"/>
      <c r="BE91" s="220"/>
      <c r="BF91" s="1189" t="s">
        <v>666</v>
      </c>
      <c r="BG91" s="1189"/>
      <c r="BH91" s="1189"/>
      <c r="BI91" s="1190"/>
      <c r="BJ91" s="1190"/>
    </row>
    <row s="220" customFormat="1" customHeight="1" ht="14.25" hidden="1">
      <c r="A92" s="220"/>
      <c r="B92" s="220"/>
      <c r="C92" s="220"/>
      <c r="D92" s="220"/>
      <c r="E92" s="921">
        <v>15</v>
      </c>
      <c r="F92" s="919" cm="1" t="str">
        <f t="array" ref="F92:F92">OFFSET(G92,-1,-1)</f>
        <v>1</v>
      </c>
      <c r="G92" s="190" t="s">
        <v>962</v>
      </c>
      <c r="H92" s="220"/>
      <c r="I92" s="220"/>
      <c r="J92" s="220"/>
      <c r="K92" s="220"/>
      <c r="L92" s="210" cm="1" t="str">
        <f t="array" ref="L92:L92">INDEX('Общие сведения'!$AK$169:$AK$218,MATCH($F92,'Общие сведения'!$Z$169:$Z$218,0))</f>
        <v>одноставочный</v>
      </c>
      <c r="M92" s="220"/>
      <c r="N92" s="220"/>
      <c r="O92" s="220"/>
      <c r="P92" s="220"/>
      <c r="Q92" s="220"/>
      <c r="R92" s="190" t="s">
        <v>963</v>
      </c>
      <c r="S92" s="220"/>
      <c r="T92" s="920">
        <f>AND(F92&gt;0,L92="двухставочный")</f>
        <v>0</v>
      </c>
      <c r="U92" s="220"/>
      <c r="V92" s="220"/>
      <c r="W92" s="220"/>
      <c r="X92" s="220"/>
      <c r="Y92" s="220"/>
      <c r="Z92" s="220"/>
      <c r="AA92" s="918" t="s">
        <v>964</v>
      </c>
      <c r="AB92" s="285" t="s">
        <v>964</v>
      </c>
      <c r="AC92" s="587" t="s">
        <v>965</v>
      </c>
      <c r="AD92" s="607" t="s">
        <v>805</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608">
        <f>_xlfn.SUMIFS(AJ95:AJ111,$AC95:$AC111,$AC92)</f>
        <v>0</v>
      </c>
      <c r="AK92" s="608">
        <f>_xlfn.SUMIFS(AK95:AK111,$AC95:$AC111,$AC92)</f>
        <v>0</v>
      </c>
      <c r="AL92" s="608">
        <f>_xlfn.SUMIFS(AL95:AL111,$AC95:$AC111,$AC92)</f>
        <v>0</v>
      </c>
      <c r="AM92" s="608">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6">
        <f>_xlfn.SUMIFS(AS95:AS111,$AC95:$AC111,$AC92)</f>
        <v>0</v>
      </c>
      <c r="AT92" s="608">
        <f>_xlfn.SUMIFS(AT95:AT111,$AC95:$AC111,$AC92)</f>
        <v>0</v>
      </c>
      <c r="AU92" s="608">
        <f>_xlfn.SUMIFS(AU95:AU111,$AC95:$AC111,$AC92)</f>
        <v>0</v>
      </c>
      <c r="AV92" s="608">
        <f>_xlfn.SUMIFS(AV95:AV111,$AC95:$AC111,$AC92)</f>
        <v>0</v>
      </c>
      <c r="AW92" s="608">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0"/>
      <c r="BE92" s="220"/>
      <c r="BF92" s="1189" t="s">
        <v>966</v>
      </c>
      <c r="BG92" s="1189"/>
      <c r="BH92" s="1189"/>
      <c r="BI92" s="1190"/>
      <c r="BJ92" s="1190"/>
    </row>
    <row s="220" customFormat="1" customHeight="1" ht="14.25">
      <c r="A93" s="220"/>
      <c r="B93" s="220"/>
      <c r="C93" s="220"/>
      <c r="D93" s="220"/>
      <c r="E93" s="921">
        <v>15</v>
      </c>
      <c r="F93" s="919" cm="1" t="str">
        <f t="array" ref="F93:F93">OFFSET(G93,-1,-1)</f>
        <v>1</v>
      </c>
      <c r="G93" s="220"/>
      <c r="H93" s="220"/>
      <c r="I93" s="220"/>
      <c r="J93" s="220"/>
      <c r="K93" s="220"/>
      <c r="L93" s="220"/>
      <c r="M93" s="220"/>
      <c r="N93" s="220"/>
      <c r="O93" s="220"/>
      <c r="P93" s="220"/>
      <c r="Q93" s="220"/>
      <c r="R93" s="220"/>
      <c r="S93" s="220"/>
      <c r="T93" s="920" cm="1" t="str">
        <f t="array" ref="T93:T93">T91</f>
        <v>true</v>
      </c>
      <c r="U93" s="220"/>
      <c r="V93" s="220"/>
      <c r="W93" s="220"/>
      <c r="X93" s="220"/>
      <c r="Y93" s="220"/>
      <c r="Z93" s="220"/>
      <c r="AA93" s="220"/>
      <c r="AB93" s="213" t="s">
        <v>448</v>
      </c>
      <c r="AC93" s="273" t="s">
        <v>967</v>
      </c>
      <c r="AD93" s="151" t="s">
        <v>591</v>
      </c>
      <c r="AE93" s="264">
        <f>SUMIF($AD95:$AD111,$AD93,AE95:AE111)</f>
        <v>0</v>
      </c>
      <c r="AF93" s="264">
        <f>SUMIF($AD95:$AD111,$AD93,AF95:AF111)</f>
        <v>0</v>
      </c>
      <c r="AG93" s="264">
        <f>SUMIF($AD95:$AD111,$AD93,AG95:AG111)</f>
        <v>0</v>
      </c>
      <c r="AH93" s="264">
        <f>SUMIF($AD95:$AD111,$AD93,AH95:AH111)</f>
        <v>0</v>
      </c>
      <c r="AI93" s="264">
        <f>SUMIF($AD95:$AD111,$AD93,AI95:AI111)</f>
        <v>0</v>
      </c>
      <c r="AJ93" s="209">
        <f>SUMIF($AD95:$AD111,$AD93,AJ95:AJ111)</f>
        <v>0</v>
      </c>
      <c r="AK93" s="209">
        <f>SUMIF($AD95:$AD111,$AD93,AK95:AK111)</f>
        <v>0</v>
      </c>
      <c r="AL93" s="209">
        <f>SUMIF($AD95:$AD111,$AD93,AL95:AL111)</f>
        <v>0</v>
      </c>
      <c r="AM93" s="209">
        <f>SUMIF($AD95:$AD111,$AD93,AM95:AM111)</f>
        <v>0</v>
      </c>
      <c r="AN93" s="1655">
        <f>SUMIF($AD95:$AD111,$AD93,AN95:AN111)</f>
        <v>0</v>
      </c>
      <c r="AO93" s="1655">
        <f>SUMIF($AD95:$AD111,$AD93,AO95:AO111)</f>
        <v>0</v>
      </c>
      <c r="AP93" s="1655">
        <f>SUMIF($AD95:$AD111,$AD93,AP95:AP111)</f>
        <v>0</v>
      </c>
      <c r="AQ93" s="1655">
        <f>SUMIF($AD95:$AD111,$AD93,AQ95:AQ111)</f>
        <v>0</v>
      </c>
      <c r="AR93" s="1655">
        <f>SUMIF($AD95:$AD111,$AD93,AR95:AR111)</f>
        <v>0</v>
      </c>
      <c r="AS93" s="264">
        <f>SUMIF($AD95:$AD111,$AD93,AS95:AS111)</f>
        <v>0</v>
      </c>
      <c r="AT93" s="209">
        <f>SUMIF($AD95:$AD111,$AD93,AT95:AT111)</f>
        <v>0</v>
      </c>
      <c r="AU93" s="209">
        <f>SUMIF($AD95:$AD111,$AD93,AU95:AU111)</f>
        <v>0</v>
      </c>
      <c r="AV93" s="209">
        <f>SUMIF($AD95:$AD111,$AD93,AV95:AV111)</f>
        <v>0</v>
      </c>
      <c r="AW93" s="209">
        <f>SUMIF($AD95:$AD111,$AD93,AW95:AW111)</f>
        <v>0</v>
      </c>
      <c r="AX93" s="1655">
        <f>SUMIF($AD95:$AD111,$AD93,AX95:AX111)</f>
        <v>0</v>
      </c>
      <c r="AY93" s="1655">
        <f>SUMIF($AD95:$AD111,$AD93,AY95:AY111)</f>
        <v>0</v>
      </c>
      <c r="AZ93" s="1655">
        <f>SUMIF($AD95:$AD111,$AD93,AZ95:AZ111)</f>
        <v>0</v>
      </c>
      <c r="BA93" s="1655">
        <f>SUMIF($AD95:$AD111,$AD93,BA95:BA111)</f>
        <v>0</v>
      </c>
      <c r="BB93" s="1655">
        <f>SUMIF($AD95:$AD111,$AD93,BB95:BB111)</f>
        <v>0</v>
      </c>
      <c r="BC93" s="1742"/>
      <c r="BD93" s="220"/>
      <c r="BE93" s="220"/>
      <c r="BF93" s="1189" t="s">
        <v>968</v>
      </c>
      <c r="BG93" s="1189"/>
      <c r="BH93" s="1189"/>
      <c r="BI93" s="1190"/>
      <c r="BJ93" s="1190"/>
    </row>
    <row s="220" customFormat="1" customHeight="1" ht="14.25">
      <c r="A94" s="220"/>
      <c r="B94" s="220"/>
      <c r="C94" s="220"/>
      <c r="D94" s="220"/>
      <c r="E94" s="921">
        <v>15</v>
      </c>
      <c r="F94" s="919" cm="1" t="str">
        <f t="array" ref="F94:F94">OFFSET(G94,-1,-1)</f>
        <v>1</v>
      </c>
      <c r="G94" s="220"/>
      <c r="H94" s="220"/>
      <c r="I94" s="220"/>
      <c r="J94" s="220"/>
      <c r="K94" s="220"/>
      <c r="L94" s="220"/>
      <c r="M94" s="220"/>
      <c r="N94" s="220"/>
      <c r="O94" s="220"/>
      <c r="P94" s="220"/>
      <c r="Q94" s="220"/>
      <c r="R94" s="220"/>
      <c r="S94" s="220"/>
      <c r="T94" s="920" cm="1" t="str">
        <f t="array" ref="T94:T94">T93</f>
        <v>true</v>
      </c>
      <c r="U94" s="220"/>
      <c r="V94" s="220"/>
      <c r="W94" s="220"/>
      <c r="X94" s="220"/>
      <c r="Y94" s="220"/>
      <c r="Z94" s="220"/>
      <c r="AA94" s="220"/>
      <c r="AB94" s="213" t="s">
        <v>479</v>
      </c>
      <c r="AC94" s="273" t="s">
        <v>934</v>
      </c>
      <c r="AD94" s="151" t="s">
        <v>969</v>
      </c>
      <c r="AE94" s="264">
        <f>IF(AE93=0,0,AE91/AE93)*1000</f>
        <v>0</v>
      </c>
      <c r="AF94" s="264">
        <f>IF(AF93=0,0,AF91/AF93)*1000</f>
        <v>0</v>
      </c>
      <c r="AG94" s="264">
        <f>IF(AG93=0,0,AG91/AG93)*1000</f>
        <v>0</v>
      </c>
      <c r="AH94" s="264">
        <f>IF(AH93=0,0,AH91/AH93)*1000</f>
        <v>0</v>
      </c>
      <c r="AI94" s="264">
        <f>IF(AI93=0,0,AI91/AI93)*1000</f>
        <v>0</v>
      </c>
      <c r="AJ94" s="209">
        <f>IF(AJ93=0,0,AJ91/AJ93)*1000</f>
        <v>0</v>
      </c>
      <c r="AK94" s="209">
        <f>IF(AK93=0,0,AK91/AK93)*1000</f>
        <v>0</v>
      </c>
      <c r="AL94" s="209">
        <f>IF(AL93=0,0,AL91/AL93)*1000</f>
        <v>0</v>
      </c>
      <c r="AM94" s="209">
        <f>IF(AM93=0,0,AM91/AM93)*1000</f>
        <v>0</v>
      </c>
      <c r="AN94" s="1655">
        <f>IF(AN93=0,0,AN91/AN93)*1000</f>
        <v>0</v>
      </c>
      <c r="AO94" s="1655">
        <f>IF(AO93=0,0,AO91/AO93)*1000</f>
        <v>0</v>
      </c>
      <c r="AP94" s="1655">
        <f>IF(AP93=0,0,AP91/AP93)*1000</f>
        <v>0</v>
      </c>
      <c r="AQ94" s="1655">
        <f>IF(AQ93=0,0,AQ91/AQ93)*1000</f>
        <v>0</v>
      </c>
      <c r="AR94" s="1655">
        <f>IF(AR93=0,0,AR91/AR93)*1000</f>
        <v>0</v>
      </c>
      <c r="AS94" s="264">
        <f>IF(AS93=0,0,AS91/AS93)*1000</f>
        <v>0</v>
      </c>
      <c r="AT94" s="209">
        <f>IF(AT93=0,0,AT91/AT93)*1000</f>
        <v>0</v>
      </c>
      <c r="AU94" s="209">
        <f>IF(AU93=0,0,AU91/AU93)*1000</f>
        <v>0</v>
      </c>
      <c r="AV94" s="209">
        <f>IF(AV93=0,0,AV91/AV93)*1000</f>
        <v>0</v>
      </c>
      <c r="AW94" s="209">
        <f>IF(AW93=0,0,AW91/AW93)*1000</f>
        <v>0</v>
      </c>
      <c r="AX94" s="1655">
        <f>IF(AX93=0,0,AX91/AX93)*1000</f>
        <v>0</v>
      </c>
      <c r="AY94" s="1655">
        <f>IF(AY93=0,0,AY91/AY93)*1000</f>
        <v>0</v>
      </c>
      <c r="AZ94" s="1655">
        <f>IF(AZ93=0,0,AZ91/AZ93)*1000</f>
        <v>0</v>
      </c>
      <c r="BA94" s="1655">
        <f>IF(BA93=0,0,BA91/BA93)*1000</f>
        <v>0</v>
      </c>
      <c r="BB94" s="1655">
        <f>IF(BB93=0,0,BB91/BB93)*1000</f>
        <v>0</v>
      </c>
      <c r="BC94" s="1742"/>
      <c r="BD94" s="220"/>
      <c r="BE94" s="220"/>
      <c r="BF94" s="1189" t="s">
        <v>970</v>
      </c>
      <c r="BG94" s="1189"/>
      <c r="BH94" s="1189"/>
      <c r="BI94" s="1190"/>
      <c r="BJ94" s="1190"/>
    </row>
    <row s="220" customFormat="1" customHeight="1" ht="14.25">
      <c r="A95" s="220"/>
      <c r="B95" s="220"/>
      <c r="C95" s="220"/>
      <c r="D95" s="220"/>
      <c r="E95" s="921">
        <v>15</v>
      </c>
      <c r="F95" s="919" cm="1" t="str">
        <f t="array" ref="F95:F95">OFFSET(G95,-1,-1)</f>
        <v>1</v>
      </c>
      <c r="G95" s="220"/>
      <c r="H95" s="220"/>
      <c r="I95" s="220"/>
      <c r="J95" s="220"/>
      <c r="K95" s="220"/>
      <c r="L95" s="220"/>
      <c r="M95" s="220"/>
      <c r="N95" s="220"/>
      <c r="O95" s="220"/>
      <c r="P95" s="220"/>
      <c r="Q95" s="220"/>
      <c r="R95" s="220"/>
      <c r="S95" s="220"/>
      <c r="T95" s="920" cm="1" t="str">
        <f t="array" ref="T95:T95">T93</f>
        <v>true</v>
      </c>
      <c r="U95" s="220"/>
      <c r="V95" s="220"/>
      <c r="W95" s="220"/>
      <c r="X95" s="220"/>
      <c r="Y95" s="220"/>
      <c r="Z95" s="220"/>
      <c r="AA95" s="220"/>
      <c r="AB95" s="213" t="s">
        <v>475</v>
      </c>
      <c r="AC95" s="340" t="s">
        <v>939</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1"/>
      <c r="BD95" s="220"/>
      <c r="BE95" s="220"/>
      <c r="BF95" s="1189"/>
      <c r="BG95" s="1189"/>
      <c r="BH95" s="1189"/>
      <c r="BI95" s="1190"/>
      <c r="BJ95" s="1190"/>
    </row>
    <row s="220" customFormat="1" customHeight="1" ht="17.25" hidden="1">
      <c r="A96" s="220"/>
      <c r="B96" s="220"/>
      <c r="C96" s="220"/>
      <c r="D96" s="220"/>
      <c r="E96" s="921">
        <v>0</v>
      </c>
      <c r="F96" s="919" cm="1" t="str">
        <f t="array" ref="F96:F96">OFFSET(G96,-1,-1)</f>
        <v>1</v>
      </c>
      <c r="G96" s="220"/>
      <c r="H96" s="220"/>
      <c r="I96" s="220"/>
      <c r="J96" s="220"/>
      <c r="K96" s="220"/>
      <c r="L96" s="220"/>
      <c r="M96" s="220"/>
      <c r="N96" s="220"/>
      <c r="O96" s="220"/>
      <c r="P96" s="220"/>
      <c r="Q96" s="220"/>
      <c r="R96" s="220"/>
      <c r="S96" s="220"/>
      <c r="T96" s="920"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89"/>
      <c r="BG96" s="1189"/>
      <c r="BH96" s="1189"/>
      <c r="BI96" s="1190"/>
      <c r="BJ96" s="1190"/>
    </row>
    <row s="220" customFormat="1" customHeight="1" ht="14.25" hidden="1">
      <c r="A97" s="1122" t="str">
        <f>"checkCosts_4."&amp;F97&amp;"."&amp;Y97</f>
        <v>checkCosts_4.1.0</v>
      </c>
      <c r="B97" s="220"/>
      <c r="C97" s="220"/>
      <c r="D97" s="220"/>
      <c r="E97" s="921">
        <v>15</v>
      </c>
      <c r="F97" s="919" cm="1" t="str">
        <f t="array" ref="F97:F97">OFFSET(G97,-1,-1)</f>
        <v>1</v>
      </c>
      <c r="G97" s="220"/>
      <c r="H97" s="152" cm="1" t="str">
        <f t="array" ref="H97:H97">AC97</f>
        <v>0</v>
      </c>
      <c r="I97" s="212" t="s">
        <v>926</v>
      </c>
      <c r="J97" s="220"/>
      <c r="K97" s="220"/>
      <c r="L97" s="220"/>
      <c r="M97" s="220"/>
      <c r="N97" s="220"/>
      <c r="O97" s="220"/>
      <c r="P97" s="220"/>
      <c r="Q97" s="220"/>
      <c r="R97" s="220"/>
      <c r="S97" s="220"/>
      <c r="T97" s="920">
        <f>AND(F97&gt;0,Y97&gt;0)</f>
        <v>0</v>
      </c>
      <c r="U97" s="220"/>
      <c r="V97" s="220"/>
      <c r="W97" s="168" t="s">
        <v>233</v>
      </c>
      <c r="X97" s="220"/>
      <c r="Y97" s="180">
        <v>0</v>
      </c>
      <c r="Z97" s="220"/>
      <c r="AA97" s="1533" t="s">
        <v>217</v>
      </c>
      <c r="AB97" s="285" t="str">
        <f>"2.1."&amp;Y97</f>
        <v>2.1.0</v>
      </c>
      <c r="AC97" s="601"/>
      <c r="AD97" s="607" t="s">
        <v>805</v>
      </c>
      <c r="AE97" s="332">
        <f>AE99*AE100/1000</f>
        <v>0</v>
      </c>
      <c r="AF97" s="61"/>
      <c r="AG97" s="61"/>
      <c r="AH97" s="332">
        <f>AH99*AH100/1000</f>
        <v>0</v>
      </c>
      <c r="AI97" s="280"/>
      <c r="AJ97" s="280"/>
      <c r="AK97" s="280"/>
      <c r="AL97" s="280"/>
      <c r="AM97" s="280"/>
      <c r="AN97" s="61"/>
      <c r="AO97" s="61"/>
      <c r="AP97" s="61"/>
      <c r="AQ97" s="61"/>
      <c r="AR97" s="61"/>
      <c r="AS97" s="332">
        <f>AS99*AS100/1000</f>
        <v>0</v>
      </c>
      <c r="AT97" s="332">
        <f>AT99*AT100/1000</f>
        <v>0</v>
      </c>
      <c r="AU97" s="332">
        <f>AU99*AU100/1000</f>
        <v>0</v>
      </c>
      <c r="AV97" s="332">
        <f>AV99*AV100/1000</f>
        <v>0</v>
      </c>
      <c r="AW97" s="332">
        <f>AW99*AW100/1000</f>
        <v>0</v>
      </c>
      <c r="AX97" s="332">
        <f>AX99*AX100/1000</f>
        <v>0</v>
      </c>
      <c r="AY97" s="332">
        <f>AY99*AY100/1000</f>
        <v>0</v>
      </c>
      <c r="AZ97" s="332">
        <f>AZ99*AZ100/1000</f>
        <v>0</v>
      </c>
      <c r="BA97" s="332">
        <f>BA99*BA100/1000</f>
        <v>0</v>
      </c>
      <c r="BB97" s="332">
        <f>BB99*BB100/1000</f>
        <v>0</v>
      </c>
      <c r="BC97" s="103"/>
      <c r="BD97" s="220"/>
      <c r="BE97" s="220"/>
      <c r="BF97" s="1189" t="s">
        <v>971</v>
      </c>
      <c r="BG97" s="1189" t="s">
        <v>972</v>
      </c>
      <c r="BH97" s="1189" cm="1" t="str">
        <f t="array" ref="BH97:BH97">AC97</f>
        <v>0</v>
      </c>
      <c r="BI97" s="1190"/>
      <c r="BJ97" s="1190" t="b">
        <v>1</v>
      </c>
    </row>
    <row s="220" customFormat="1" customHeight="1" ht="14.25" hidden="1">
      <c r="A98" s="220"/>
      <c r="B98" s="220"/>
      <c r="C98" s="220"/>
      <c r="D98" s="220"/>
      <c r="E98" s="921">
        <v>15</v>
      </c>
      <c r="F98" s="919" cm="1" t="str">
        <f t="array" ref="F98:F98">OFFSET(G98,-1,-1)</f>
        <v>1</v>
      </c>
      <c r="G98" s="220"/>
      <c r="H98" s="220"/>
      <c r="I98" s="220"/>
      <c r="J98" s="220"/>
      <c r="K98" s="220"/>
      <c r="L98" s="210" cm="1" t="str">
        <f t="array" ref="L98:L98">INDEX('Общие сведения'!$AK$169:$AK$218,MATCH($F98,'Общие сведения'!$Z$169:$Z$218,0))</f>
        <v>одноставочный</v>
      </c>
      <c r="M98" s="220"/>
      <c r="N98" s="220"/>
      <c r="O98" s="220"/>
      <c r="P98" s="220"/>
      <c r="Q98" s="220"/>
      <c r="R98" s="190" t="s">
        <v>963</v>
      </c>
      <c r="S98" s="220"/>
      <c r="T98" s="920">
        <f>AND(T97,L98="двухставочный")</f>
        <v>0</v>
      </c>
      <c r="U98" s="220"/>
      <c r="V98" s="220"/>
      <c r="W98" s="220"/>
      <c r="X98" s="220"/>
      <c r="Y98" s="220"/>
      <c r="Z98" s="220"/>
      <c r="AA98" s="1533"/>
      <c r="AB98" s="285"/>
      <c r="AC98" s="587" t="s">
        <v>965</v>
      </c>
      <c r="AD98" s="607" t="s">
        <v>805</v>
      </c>
      <c r="AE98" s="65"/>
      <c r="AF98" s="65"/>
      <c r="AG98" s="65"/>
      <c r="AH98" s="65"/>
      <c r="AI98" s="608"/>
      <c r="AJ98" s="608"/>
      <c r="AK98" s="608"/>
      <c r="AL98" s="608"/>
      <c r="AM98" s="608"/>
      <c r="AN98" s="65"/>
      <c r="AO98" s="65"/>
      <c r="AP98" s="65"/>
      <c r="AQ98" s="65"/>
      <c r="AR98" s="65"/>
      <c r="AS98" s="608"/>
      <c r="AT98" s="608"/>
      <c r="AU98" s="608"/>
      <c r="AV98" s="608"/>
      <c r="AW98" s="608"/>
      <c r="AX98" s="65"/>
      <c r="AY98" s="65"/>
      <c r="AZ98" s="65"/>
      <c r="BA98" s="65"/>
      <c r="BB98" s="65"/>
      <c r="BC98" s="104"/>
      <c r="BD98" s="220"/>
      <c r="BE98" s="220"/>
      <c r="BF98" s="1189" t="s">
        <v>973</v>
      </c>
      <c r="BG98" s="1189" t="s">
        <v>972</v>
      </c>
      <c r="BH98" s="1189" cm="1" t="str">
        <f t="array" ref="BH98:BH98">BH97</f>
        <v>0</v>
      </c>
      <c r="BI98" s="1190"/>
      <c r="BJ98" s="1190"/>
    </row>
    <row s="220" customFormat="1" customHeight="1" ht="14.25" hidden="1">
      <c r="A99" s="220"/>
      <c r="B99" s="220"/>
      <c r="C99" s="220"/>
      <c r="D99" s="220"/>
      <c r="E99" s="921">
        <v>15</v>
      </c>
      <c r="F99" s="919" cm="1" t="str">
        <f t="array" ref="F99:F99">OFFSET(G99,-1,-1)</f>
        <v>1</v>
      </c>
      <c r="G99" s="220"/>
      <c r="H99" s="152" cm="1" t="str">
        <f t="array" ref="H99:H99">H97</f>
        <v>0</v>
      </c>
      <c r="I99" s="220"/>
      <c r="J99" s="220"/>
      <c r="K99" s="220"/>
      <c r="L99" s="220"/>
      <c r="M99" s="220"/>
      <c r="N99" s="220"/>
      <c r="O99" s="220"/>
      <c r="P99" s="220"/>
      <c r="Q99" s="220"/>
      <c r="R99" s="220"/>
      <c r="S99" s="220"/>
      <c r="T99" s="920" cm="1" t="str">
        <f t="array" ref="T99:T99">T97</f>
        <v>false</v>
      </c>
      <c r="U99" s="220"/>
      <c r="V99" s="220"/>
      <c r="W99" s="220"/>
      <c r="X99" s="220"/>
      <c r="Y99" s="220"/>
      <c r="Z99" s="220"/>
      <c r="AA99" s="1533"/>
      <c r="AB99" s="285" t="str">
        <f>AB97&amp;".1"</f>
        <v>2.1.0.1</v>
      </c>
      <c r="AC99" s="587" t="s">
        <v>942</v>
      </c>
      <c r="AD99" s="151" t="s">
        <v>969</v>
      </c>
      <c r="AE99" s="65"/>
      <c r="AF99" s="666">
        <f>IF(AF100=0,0,AF97/AF100*1000)</f>
        <v>0</v>
      </c>
      <c r="AG99" s="666">
        <f>IF(AG100=0,0,AG97/AG100*1000)</f>
        <v>0</v>
      </c>
      <c r="AH99" s="6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08"/>
      <c r="AU99" s="608"/>
      <c r="AV99" s="608"/>
      <c r="AW99" s="608"/>
      <c r="AX99" s="65"/>
      <c r="AY99" s="65"/>
      <c r="AZ99" s="65"/>
      <c r="BA99" s="65"/>
      <c r="BB99" s="65"/>
      <c r="BC99" s="73"/>
      <c r="BD99" s="220"/>
      <c r="BE99" s="220"/>
      <c r="BF99" s="1189" t="s">
        <v>974</v>
      </c>
      <c r="BG99" s="1189" t="s">
        <v>972</v>
      </c>
      <c r="BH99" s="1189" cm="1" t="str">
        <f t="array" ref="BH99:BH99">BH98</f>
        <v>0</v>
      </c>
      <c r="BI99" s="1190"/>
      <c r="BJ99" s="1190"/>
    </row>
    <row s="220" customFormat="1" customHeight="1" ht="14.25" hidden="1">
      <c r="A100" s="1122" t="str">
        <f>"checkVolume_4."&amp;F100&amp;"."&amp;Y97</f>
        <v>checkVolume_4.1.0</v>
      </c>
      <c r="B100" s="220"/>
      <c r="C100" s="220"/>
      <c r="D100" s="220"/>
      <c r="E100" s="921">
        <v>15</v>
      </c>
      <c r="F100" s="919" cm="1" t="str">
        <f t="array" ref="F100:F100">OFFSET(G100,-1,-1)</f>
        <v>1</v>
      </c>
      <c r="G100" s="220"/>
      <c r="H100" s="152" cm="1" t="str">
        <f t="array" ref="H100:H100">H97</f>
        <v>0</v>
      </c>
      <c r="I100" s="220"/>
      <c r="J100" s="220"/>
      <c r="K100" s="220"/>
      <c r="L100" s="220"/>
      <c r="M100" s="220"/>
      <c r="N100" s="220"/>
      <c r="O100" s="220"/>
      <c r="P100" s="220"/>
      <c r="Q100" s="220"/>
      <c r="R100" s="220"/>
      <c r="S100" s="220"/>
      <c r="T100" s="920" cm="1" t="str">
        <f t="array" ref="T100:T100">T97</f>
        <v>false</v>
      </c>
      <c r="U100" s="220"/>
      <c r="V100" s="220"/>
      <c r="W100" s="220"/>
      <c r="X100" s="220"/>
      <c r="Y100" s="220"/>
      <c r="Z100" s="220"/>
      <c r="AA100" s="1533"/>
      <c r="AB100" s="285" t="str">
        <f>AB97&amp;".2"</f>
        <v>2.1.0.2</v>
      </c>
      <c r="AC100" s="587" t="s">
        <v>975</v>
      </c>
      <c r="AD100" s="151" t="s">
        <v>591</v>
      </c>
      <c r="AE100" s="65"/>
      <c r="AF100" s="65"/>
      <c r="AG100" s="65"/>
      <c r="AH100" s="65"/>
      <c r="AI100" s="608"/>
      <c r="AJ100" s="608"/>
      <c r="AK100" s="608"/>
      <c r="AL100" s="608"/>
      <c r="AM100" s="608"/>
      <c r="AN100" s="65"/>
      <c r="AO100" s="65"/>
      <c r="AP100" s="65"/>
      <c r="AQ100" s="65"/>
      <c r="AR100" s="65"/>
      <c r="AS100" s="608"/>
      <c r="AT100" s="608"/>
      <c r="AU100" s="608"/>
      <c r="AV100" s="608"/>
      <c r="AW100" s="608"/>
      <c r="AX100" s="65"/>
      <c r="AY100" s="65"/>
      <c r="AZ100" s="65"/>
      <c r="BA100" s="65"/>
      <c r="BB100" s="65"/>
      <c r="BC100" s="73"/>
      <c r="BD100" s="220"/>
      <c r="BE100" s="220"/>
      <c r="BF100" s="1189" t="s">
        <v>976</v>
      </c>
      <c r="BG100" s="1189" t="s">
        <v>972</v>
      </c>
      <c r="BH100" s="1189" cm="1" t="str">
        <f t="array" ref="BH100:BH100">BH98</f>
        <v>0</v>
      </c>
      <c r="BI100" s="1190"/>
      <c r="BJ100" s="1190"/>
    </row>
    <row s="220" customFormat="1" customHeight="1" ht="14.25">
      <c r="A101" s="220"/>
      <c r="B101" s="220"/>
      <c r="C101" s="220"/>
      <c r="D101" s="220"/>
      <c r="E101" s="921">
        <v>15</v>
      </c>
      <c r="F101" s="919" cm="1" t="str">
        <f t="array" ref="F101:F101">OFFSET(G101,-1,-1)</f>
        <v>1</v>
      </c>
      <c r="G101" s="220"/>
      <c r="H101" s="220"/>
      <c r="I101" s="220"/>
      <c r="J101" s="220"/>
      <c r="K101" s="220"/>
      <c r="L101" s="220"/>
      <c r="M101" s="220"/>
      <c r="N101" s="220"/>
      <c r="O101" s="220"/>
      <c r="P101" s="220"/>
      <c r="Q101" s="220"/>
      <c r="R101" s="220"/>
      <c r="S101" s="220"/>
      <c r="T101" s="920">
        <f>F101&gt;0</f>
        <v>1</v>
      </c>
      <c r="U101" s="220"/>
      <c r="V101" s="220"/>
      <c r="W101" s="371" t="s">
        <v>977</v>
      </c>
      <c r="X101" s="220"/>
      <c r="Y101" s="220"/>
      <c r="Z101" s="220"/>
      <c r="AA101" s="220"/>
      <c r="AB101" s="815"/>
      <c r="AC101" s="585" t="s">
        <v>978</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7"/>
      <c r="BD101" s="220"/>
      <c r="BE101" s="220"/>
      <c r="BF101" s="1189"/>
      <c r="BG101" s="1189"/>
      <c r="BH101" s="1189"/>
      <c r="BI101" s="1190" t="s">
        <v>972</v>
      </c>
      <c r="BJ101" s="1190"/>
    </row>
    <row s="220" customFormat="1" customHeight="1" ht="14.25">
      <c r="A102" s="220"/>
      <c r="B102" s="220"/>
      <c r="C102" s="220"/>
      <c r="D102" s="220"/>
      <c r="E102" s="921">
        <v>15</v>
      </c>
      <c r="F102" s="919" cm="1" t="str">
        <f t="array" ref="F102:F102">OFFSET(G102,-1,-1)</f>
        <v>1</v>
      </c>
      <c r="G102" s="220"/>
      <c r="H102" s="220"/>
      <c r="I102" s="220"/>
      <c r="J102" s="220"/>
      <c r="K102" s="220"/>
      <c r="L102" s="220"/>
      <c r="M102" s="220"/>
      <c r="N102" s="220"/>
      <c r="O102" s="220"/>
      <c r="P102" s="220"/>
      <c r="Q102" s="220"/>
      <c r="R102" s="220"/>
      <c r="S102" s="220"/>
      <c r="T102" s="920">
        <f>F102&gt;0</f>
        <v>1</v>
      </c>
      <c r="U102" s="220"/>
      <c r="V102" s="220"/>
      <c r="W102" s="220"/>
      <c r="X102" s="220"/>
      <c r="Y102" s="220"/>
      <c r="Z102" s="220"/>
      <c r="AA102" s="220"/>
      <c r="AB102" s="213" t="s">
        <v>479</v>
      </c>
      <c r="AC102" s="340" t="s">
        <v>948</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1"/>
      <c r="BD102" s="220"/>
      <c r="BE102" s="220"/>
      <c r="BF102" s="1189"/>
      <c r="BG102" s="1189"/>
      <c r="BH102" s="1189"/>
      <c r="BI102" s="1190"/>
      <c r="BJ102" s="1190"/>
    </row>
    <row s="220" customFormat="1" customHeight="1" ht="17.25" hidden="1">
      <c r="A103" s="220"/>
      <c r="B103" s="220"/>
      <c r="C103" s="220"/>
      <c r="D103" s="220"/>
      <c r="E103" s="921">
        <v>0</v>
      </c>
      <c r="F103" s="919" cm="1" t="str">
        <f t="array" ref="F103:F103">OFFSET(G103,-1,-1)</f>
        <v>1</v>
      </c>
      <c r="G103" s="220"/>
      <c r="H103" s="220"/>
      <c r="I103" s="220"/>
      <c r="J103" s="220"/>
      <c r="K103" s="220"/>
      <c r="L103" s="220"/>
      <c r="M103" s="220"/>
      <c r="N103" s="220"/>
      <c r="O103" s="220"/>
      <c r="P103" s="220"/>
      <c r="Q103" s="220"/>
      <c r="R103" s="220"/>
      <c r="S103" s="220"/>
      <c r="T103" s="920">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79"/>
      <c r="BD103" s="220"/>
      <c r="BE103" s="220"/>
      <c r="BF103" s="1189"/>
      <c r="BG103" s="1189"/>
      <c r="BH103" s="1189"/>
      <c r="BI103" s="1190"/>
      <c r="BJ103" s="1190"/>
    </row>
    <row s="220" customFormat="1" customHeight="1" ht="14.25" hidden="1">
      <c r="A104" s="220"/>
      <c r="B104" s="220"/>
      <c r="C104" s="220"/>
      <c r="D104" s="220"/>
      <c r="E104" s="921">
        <v>15</v>
      </c>
      <c r="F104" s="919" cm="1" t="str">
        <f t="array" ref="F104:F104">OFFSET(G104,-1,-1)</f>
        <v>1</v>
      </c>
      <c r="G104" s="220"/>
      <c r="H104" s="152" cm="1" t="str">
        <f t="array" ref="H104:H104">AC104</f>
        <v>0</v>
      </c>
      <c r="I104" s="152" t="s">
        <v>926</v>
      </c>
      <c r="J104" s="220"/>
      <c r="K104" s="220"/>
      <c r="L104" s="220"/>
      <c r="M104" s="220"/>
      <c r="N104" s="220"/>
      <c r="O104" s="220"/>
      <c r="P104" s="220"/>
      <c r="Q104" s="220"/>
      <c r="R104" s="220"/>
      <c r="S104" s="220"/>
      <c r="T104" s="920">
        <f>AND(F104&gt;0,Y104&gt;0)</f>
        <v>0</v>
      </c>
      <c r="U104" s="220"/>
      <c r="V104" s="220"/>
      <c r="W104" s="168" t="s">
        <v>233</v>
      </c>
      <c r="X104" s="220"/>
      <c r="Y104" s="180">
        <v>0</v>
      </c>
      <c r="Z104" s="220"/>
      <c r="AA104" s="1533" t="s">
        <v>217</v>
      </c>
      <c r="AB104" s="151" t="str">
        <f>"2.3."&amp;Y104</f>
        <v>2.3.0</v>
      </c>
      <c r="AC104" s="601"/>
      <c r="AD104" s="151" t="s">
        <v>805</v>
      </c>
      <c r="AE104" s="588">
        <f>AE107+AE109</f>
        <v>0</v>
      </c>
      <c r="AF104" s="588">
        <f>AF107+AF109</f>
        <v>0</v>
      </c>
      <c r="AG104" s="588">
        <f>AG107+AG109</f>
        <v>0</v>
      </c>
      <c r="AH104" s="588">
        <f>AH107+AH109</f>
        <v>0</v>
      </c>
      <c r="AI104" s="588">
        <f>AI107+AI109</f>
        <v>0</v>
      </c>
      <c r="AJ104" s="583">
        <f>AJ107+AJ109</f>
        <v>0</v>
      </c>
      <c r="AK104" s="583">
        <f>AK107+AK109</f>
        <v>0</v>
      </c>
      <c r="AL104" s="583">
        <f>AL107+AL109</f>
        <v>0</v>
      </c>
      <c r="AM104" s="583">
        <f>AM107+AM109</f>
        <v>0</v>
      </c>
      <c r="AN104" s="64">
        <f>AN107+AN109</f>
        <v>0</v>
      </c>
      <c r="AO104" s="64">
        <f>AO107+AO109</f>
        <v>0</v>
      </c>
      <c r="AP104" s="64">
        <f>AP107+AP109</f>
        <v>0</v>
      </c>
      <c r="AQ104" s="64">
        <f>AQ107+AQ109</f>
        <v>0</v>
      </c>
      <c r="AR104" s="64">
        <f>AR107+AR109</f>
        <v>0</v>
      </c>
      <c r="AS104" s="588">
        <f>AS107+AS109</f>
        <v>0</v>
      </c>
      <c r="AT104" s="583">
        <f>AT107+AT109</f>
        <v>0</v>
      </c>
      <c r="AU104" s="583">
        <f>AU107+AU109</f>
        <v>0</v>
      </c>
      <c r="AV104" s="583">
        <f>AV107+AV109</f>
        <v>0</v>
      </c>
      <c r="AW104" s="583">
        <f>AW107+AW109</f>
        <v>0</v>
      </c>
      <c r="AX104" s="64">
        <f>AX107+AX109</f>
        <v>0</v>
      </c>
      <c r="AY104" s="64">
        <f>AY107+AY109</f>
        <v>0</v>
      </c>
      <c r="AZ104" s="64">
        <f>AZ107+AZ109</f>
        <v>0</v>
      </c>
      <c r="BA104" s="64">
        <f>BA107+BA109</f>
        <v>0</v>
      </c>
      <c r="BB104" s="64">
        <f>BB107+BB109</f>
        <v>0</v>
      </c>
      <c r="BC104" s="80"/>
      <c r="BD104" s="220"/>
      <c r="BE104" s="220"/>
      <c r="BF104" s="1189" t="s">
        <v>971</v>
      </c>
      <c r="BG104" s="1189" t="s">
        <v>979</v>
      </c>
      <c r="BH104" s="1189" cm="1" t="str">
        <f t="array" ref="BH104:BH104">AC104</f>
        <v>0</v>
      </c>
      <c r="BI104" s="1190"/>
      <c r="BJ104" s="1190" t="b">
        <v>1</v>
      </c>
    </row>
    <row s="220" customFormat="1" customHeight="1" ht="14.25" hidden="1">
      <c r="A105" s="220"/>
      <c r="B105" s="220"/>
      <c r="C105" s="220"/>
      <c r="D105" s="220"/>
      <c r="E105" s="921">
        <v>15</v>
      </c>
      <c r="F105" s="919" cm="1" t="str">
        <f t="array" ref="F105:F105">OFFSET(G105,-1,-1)</f>
        <v>1</v>
      </c>
      <c r="G105" s="220"/>
      <c r="H105" s="220"/>
      <c r="I105" s="220"/>
      <c r="J105" s="220"/>
      <c r="K105" s="220"/>
      <c r="L105" s="210" cm="1" t="str">
        <f t="array" ref="L105:L105">INDEX('Общие сведения'!$AK$169:$AK$218,MATCH($F105,'Общие сведения'!$Z$169:$Z$218,0))</f>
        <v>одноставочный</v>
      </c>
      <c r="M105" s="220"/>
      <c r="N105" s="220"/>
      <c r="O105" s="220"/>
      <c r="P105" s="220"/>
      <c r="Q105" s="220"/>
      <c r="R105" s="190" t="s">
        <v>963</v>
      </c>
      <c r="S105" s="220"/>
      <c r="T105" s="920">
        <f>AND(T104,L105="двухставочный")</f>
        <v>0</v>
      </c>
      <c r="U105" s="220"/>
      <c r="V105" s="220"/>
      <c r="W105" s="220"/>
      <c r="X105" s="220"/>
      <c r="Y105" s="220"/>
      <c r="Z105" s="220"/>
      <c r="AA105" s="1533"/>
      <c r="AB105" s="285"/>
      <c r="AC105" s="587" t="s">
        <v>965</v>
      </c>
      <c r="AD105" s="607" t="s">
        <v>805</v>
      </c>
      <c r="AE105" s="65"/>
      <c r="AF105" s="65"/>
      <c r="AG105" s="65"/>
      <c r="AH105" s="65"/>
      <c r="AI105" s="608"/>
      <c r="AJ105" s="608"/>
      <c r="AK105" s="608"/>
      <c r="AL105" s="608"/>
      <c r="AM105" s="608"/>
      <c r="AN105" s="65"/>
      <c r="AO105" s="65"/>
      <c r="AP105" s="65"/>
      <c r="AQ105" s="65"/>
      <c r="AR105" s="65"/>
      <c r="AS105" s="608"/>
      <c r="AT105" s="608"/>
      <c r="AU105" s="608"/>
      <c r="AV105" s="608"/>
      <c r="AW105" s="608"/>
      <c r="AX105" s="65"/>
      <c r="AY105" s="65"/>
      <c r="AZ105" s="65"/>
      <c r="BA105" s="65"/>
      <c r="BB105" s="65"/>
      <c r="BC105" s="104"/>
      <c r="BD105" s="220"/>
      <c r="BE105" s="220"/>
      <c r="BF105" s="1189" t="s">
        <v>973</v>
      </c>
      <c r="BG105" s="1189" t="s">
        <v>979</v>
      </c>
      <c r="BH105" s="1189" cm="1" t="str">
        <f t="array" ref="BH105:BH105">BH104</f>
        <v>0</v>
      </c>
      <c r="BI105" s="1190"/>
      <c r="BJ105" s="1190"/>
    </row>
    <row s="220" customFormat="1" customHeight="1" ht="14.25" hidden="1">
      <c r="A106" s="220"/>
      <c r="B106" s="220"/>
      <c r="C106" s="220"/>
      <c r="D106" s="220"/>
      <c r="E106" s="921">
        <v>15</v>
      </c>
      <c r="F106" s="919" cm="1" t="str">
        <f t="array" ref="F106:F106">OFFSET(G106,-1,-1)</f>
        <v>1</v>
      </c>
      <c r="G106" s="220"/>
      <c r="H106" s="152" cm="1" t="str">
        <f t="array" ref="H106:H106">H104</f>
        <v>0</v>
      </c>
      <c r="I106" s="220"/>
      <c r="J106" s="220"/>
      <c r="K106" s="220"/>
      <c r="L106" s="220"/>
      <c r="M106" s="220"/>
      <c r="N106" s="220"/>
      <c r="O106" s="220"/>
      <c r="P106" s="220"/>
      <c r="Q106" s="220"/>
      <c r="R106" s="220"/>
      <c r="S106" s="220"/>
      <c r="T106" s="920" cm="1" t="str">
        <f t="array" ref="T106:T106">T104</f>
        <v>false</v>
      </c>
      <c r="U106" s="220"/>
      <c r="V106" s="220"/>
      <c r="W106" s="220"/>
      <c r="X106" s="220"/>
      <c r="Y106" s="220"/>
      <c r="Z106" s="220"/>
      <c r="AA106" s="1533"/>
      <c r="AB106" s="285" t="str">
        <f>AB104&amp;".1"</f>
        <v>2.3.0.1</v>
      </c>
      <c r="AC106" s="587" t="s">
        <v>942</v>
      </c>
      <c r="AD106" s="151" t="s">
        <v>969</v>
      </c>
      <c r="AE106" s="64"/>
      <c r="AF106" s="588">
        <f>IF(AF108=0,0,AF107/AF108*1000)</f>
        <v>0</v>
      </c>
      <c r="AG106" s="588">
        <f>IF(AG108=0,0,AG107/AG108*1000)</f>
        <v>0</v>
      </c>
      <c r="AH106" s="64"/>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583"/>
      <c r="AT106" s="583"/>
      <c r="AU106" s="583"/>
      <c r="AV106" s="583"/>
      <c r="AW106" s="583"/>
      <c r="AX106" s="64"/>
      <c r="AY106" s="64"/>
      <c r="AZ106" s="64"/>
      <c r="BA106" s="64"/>
      <c r="BB106" s="64"/>
      <c r="BC106" s="73"/>
      <c r="BD106" s="220"/>
      <c r="BE106" s="220"/>
      <c r="BF106" s="1189" t="s">
        <v>974</v>
      </c>
      <c r="BG106" s="1189" t="s">
        <v>979</v>
      </c>
      <c r="BH106" s="1189" cm="1" t="str">
        <f t="array" ref="BH106:BH106">BH105</f>
        <v>0</v>
      </c>
      <c r="BI106" s="1190"/>
      <c r="BJ106" s="1190"/>
    </row>
    <row s="220" customFormat="1" customHeight="1" ht="14.25" hidden="1">
      <c r="A107" s="1122" t="str">
        <f>"checkCosts_5."&amp;F107&amp;"."&amp;Y104</f>
        <v>checkCosts_5.1.0</v>
      </c>
      <c r="B107" s="220"/>
      <c r="C107" s="220"/>
      <c r="D107" s="220"/>
      <c r="E107" s="921">
        <v>15</v>
      </c>
      <c r="F107" s="919" cm="1" t="str">
        <f t="array" ref="F107:F107">OFFSET(G107,-1,-1)</f>
        <v>1</v>
      </c>
      <c r="G107" s="220"/>
      <c r="H107" s="220"/>
      <c r="I107" s="220"/>
      <c r="J107" s="220"/>
      <c r="K107" s="220"/>
      <c r="L107" s="220"/>
      <c r="M107" s="220"/>
      <c r="N107" s="220"/>
      <c r="O107" s="220"/>
      <c r="P107" s="220"/>
      <c r="Q107" s="220"/>
      <c r="R107" s="220"/>
      <c r="S107" s="220"/>
      <c r="T107" s="920" cm="1" t="str">
        <f t="array" ref="T107:T107">T104</f>
        <v>false</v>
      </c>
      <c r="U107" s="220"/>
      <c r="V107" s="220"/>
      <c r="W107" s="220"/>
      <c r="X107" s="220"/>
      <c r="Y107" s="220"/>
      <c r="Z107" s="220"/>
      <c r="AA107" s="1533"/>
      <c r="AB107" s="285" t="str">
        <f>AB104&amp;".2"</f>
        <v>2.3.0.2</v>
      </c>
      <c r="AC107" s="587" t="s">
        <v>980</v>
      </c>
      <c r="AD107" s="151" t="s">
        <v>805</v>
      </c>
      <c r="AE107" s="64"/>
      <c r="AF107" s="64"/>
      <c r="AG107" s="64"/>
      <c r="AH107" s="64"/>
      <c r="AI107" s="583"/>
      <c r="AJ107" s="583"/>
      <c r="AK107" s="583"/>
      <c r="AL107" s="583"/>
      <c r="AM107" s="583"/>
      <c r="AN107" s="64"/>
      <c r="AO107" s="64"/>
      <c r="AP107" s="64"/>
      <c r="AQ107" s="64"/>
      <c r="AR107" s="64"/>
      <c r="AS107" s="583"/>
      <c r="AT107" s="583"/>
      <c r="AU107" s="583"/>
      <c r="AV107" s="583"/>
      <c r="AW107" s="583"/>
      <c r="AX107" s="64"/>
      <c r="AY107" s="64"/>
      <c r="AZ107" s="64"/>
      <c r="BA107" s="64"/>
      <c r="BB107" s="64"/>
      <c r="BC107" s="73"/>
      <c r="BD107" s="220"/>
      <c r="BE107" s="220"/>
      <c r="BF107" s="1189" t="s">
        <v>981</v>
      </c>
      <c r="BG107" s="1189" t="s">
        <v>979</v>
      </c>
      <c r="BH107" s="1189" cm="1" t="str">
        <f t="array" ref="BH107:BH107">BH105</f>
        <v>0</v>
      </c>
      <c r="BI107" s="1190"/>
      <c r="BJ107" s="1190"/>
    </row>
    <row s="220" customFormat="1" customHeight="1" ht="14.25" hidden="1">
      <c r="A108" s="1122" t="str">
        <f>"checkVolume_5."&amp;F108&amp;"."&amp;Y104</f>
        <v>checkVolume_5.1.0</v>
      </c>
      <c r="B108" s="220"/>
      <c r="C108" s="220"/>
      <c r="D108" s="220"/>
      <c r="E108" s="921">
        <v>15</v>
      </c>
      <c r="F108" s="919" cm="1" t="str">
        <f t="array" ref="F108:F108">OFFSET(G108,-1,-1)</f>
        <v>1</v>
      </c>
      <c r="G108" s="220"/>
      <c r="H108" s="220"/>
      <c r="I108" s="220"/>
      <c r="J108" s="220"/>
      <c r="K108" s="220"/>
      <c r="L108" s="220"/>
      <c r="M108" s="220"/>
      <c r="N108" s="220"/>
      <c r="O108" s="220"/>
      <c r="P108" s="220"/>
      <c r="Q108" s="220"/>
      <c r="R108" s="220"/>
      <c r="S108" s="220"/>
      <c r="T108" s="920" cm="1" t="str">
        <f t="array" ref="T108:T108">T107</f>
        <v>false</v>
      </c>
      <c r="U108" s="220"/>
      <c r="V108" s="220"/>
      <c r="W108" s="220"/>
      <c r="X108" s="220"/>
      <c r="Y108" s="220"/>
      <c r="Z108" s="220"/>
      <c r="AA108" s="1533"/>
      <c r="AB108" s="403" t="str">
        <f>AB107&amp;".1"</f>
        <v>2.3.0.2.1</v>
      </c>
      <c r="AC108" s="602" t="s">
        <v>975</v>
      </c>
      <c r="AD108" s="151" t="s">
        <v>591</v>
      </c>
      <c r="AE108" s="64"/>
      <c r="AF108" s="64"/>
      <c r="AG108" s="64"/>
      <c r="AH108" s="64"/>
      <c r="AI108" s="583"/>
      <c r="AJ108" s="583"/>
      <c r="AK108" s="583"/>
      <c r="AL108" s="583"/>
      <c r="AM108" s="583"/>
      <c r="AN108" s="64"/>
      <c r="AO108" s="64"/>
      <c r="AP108" s="64"/>
      <c r="AQ108" s="64"/>
      <c r="AR108" s="64"/>
      <c r="AS108" s="583"/>
      <c r="AT108" s="583"/>
      <c r="AU108" s="583"/>
      <c r="AV108" s="583"/>
      <c r="AW108" s="583"/>
      <c r="AX108" s="64"/>
      <c r="AY108" s="64"/>
      <c r="AZ108" s="64"/>
      <c r="BA108" s="64"/>
      <c r="BB108" s="64"/>
      <c r="BC108" s="73"/>
      <c r="BD108" s="220"/>
      <c r="BE108" s="220"/>
      <c r="BF108" s="1189" t="s">
        <v>982</v>
      </c>
      <c r="BG108" s="1189" t="s">
        <v>979</v>
      </c>
      <c r="BH108" s="1189" cm="1" t="str">
        <f t="array" ref="BH108:BH108">BH107</f>
        <v>0</v>
      </c>
      <c r="BI108" s="1190"/>
      <c r="BJ108" s="1190"/>
    </row>
    <row s="220" customFormat="1" customHeight="1" ht="14.25" hidden="1">
      <c r="A109" s="1122" t="str">
        <f>"checkCosts_6."&amp;F109&amp;"."&amp;Y104</f>
        <v>checkCosts_6.1.0</v>
      </c>
      <c r="B109" s="220"/>
      <c r="C109" s="220"/>
      <c r="D109" s="220"/>
      <c r="E109" s="921">
        <v>15</v>
      </c>
      <c r="F109" s="919" cm="1" t="str">
        <f t="array" ref="F109:F109">OFFSET(G109,-1,-1)</f>
        <v>1</v>
      </c>
      <c r="G109" s="220"/>
      <c r="H109" s="220"/>
      <c r="I109" s="220"/>
      <c r="J109" s="220"/>
      <c r="K109" s="220"/>
      <c r="L109" s="220"/>
      <c r="M109" s="220"/>
      <c r="N109" s="220"/>
      <c r="O109" s="220"/>
      <c r="P109" s="220"/>
      <c r="Q109" s="220"/>
      <c r="R109" s="220"/>
      <c r="S109" s="220"/>
      <c r="T109" s="920" cm="1" t="str">
        <f t="array" ref="T109:T109">T108</f>
        <v>false</v>
      </c>
      <c r="U109" s="220"/>
      <c r="V109" s="220"/>
      <c r="W109" s="220"/>
      <c r="X109" s="220"/>
      <c r="Y109" s="220"/>
      <c r="Z109" s="220"/>
      <c r="AA109" s="1533"/>
      <c r="AB109" s="285" t="str">
        <f>AB104&amp;".3"</f>
        <v>2.3.0.3</v>
      </c>
      <c r="AC109" s="587" t="s">
        <v>983</v>
      </c>
      <c r="AD109" s="151" t="s">
        <v>953</v>
      </c>
      <c r="AE109" s="64"/>
      <c r="AF109" s="64"/>
      <c r="AG109" s="64"/>
      <c r="AH109" s="64"/>
      <c r="AI109" s="583"/>
      <c r="AJ109" s="583"/>
      <c r="AK109" s="583"/>
      <c r="AL109" s="583"/>
      <c r="AM109" s="583"/>
      <c r="AN109" s="64"/>
      <c r="AO109" s="64"/>
      <c r="AP109" s="64"/>
      <c r="AQ109" s="64"/>
      <c r="AR109" s="64"/>
      <c r="AS109" s="583"/>
      <c r="AT109" s="583"/>
      <c r="AU109" s="583"/>
      <c r="AV109" s="583"/>
      <c r="AW109" s="583"/>
      <c r="AX109" s="64"/>
      <c r="AY109" s="64"/>
      <c r="AZ109" s="64"/>
      <c r="BA109" s="64"/>
      <c r="BB109" s="64"/>
      <c r="BC109" s="73"/>
      <c r="BD109" s="220"/>
      <c r="BE109" s="220"/>
      <c r="BF109" s="1189" t="s">
        <v>984</v>
      </c>
      <c r="BG109" s="1189" t="s">
        <v>979</v>
      </c>
      <c r="BH109" s="1189" cm="1" t="str">
        <f t="array" ref="BH109:BH109">BH108</f>
        <v>0</v>
      </c>
      <c r="BI109" s="1190"/>
      <c r="BJ109" s="1190"/>
    </row>
    <row s="220" customFormat="1" customHeight="1" ht="14.25" hidden="1">
      <c r="A110" s="1122" t="str">
        <f>"checkVolume_6."&amp;F110&amp;"."&amp;Y104</f>
        <v>checkVolume_6.1.0</v>
      </c>
      <c r="B110" s="220"/>
      <c r="C110" s="220"/>
      <c r="D110" s="220"/>
      <c r="E110" s="921">
        <v>15</v>
      </c>
      <c r="F110" s="919" cm="1" t="str">
        <f t="array" ref="F110:F110">OFFSET(G110,-1,-1)</f>
        <v>1</v>
      </c>
      <c r="G110" s="220"/>
      <c r="H110" s="152" cm="1" t="str">
        <f t="array" ref="H110:H110">H104</f>
        <v>0</v>
      </c>
      <c r="I110" s="220"/>
      <c r="J110" s="220"/>
      <c r="K110" s="220"/>
      <c r="L110" s="220"/>
      <c r="M110" s="220"/>
      <c r="N110" s="220"/>
      <c r="O110" s="220"/>
      <c r="P110" s="220"/>
      <c r="Q110" s="220"/>
      <c r="R110" s="220"/>
      <c r="S110" s="220"/>
      <c r="T110" s="920" cm="1" t="str">
        <f t="array" ref="T110:T110">T109</f>
        <v>false</v>
      </c>
      <c r="U110" s="220"/>
      <c r="V110" s="220"/>
      <c r="W110" s="220"/>
      <c r="X110" s="220"/>
      <c r="Y110" s="220"/>
      <c r="Z110" s="220"/>
      <c r="AA110" s="1533"/>
      <c r="AB110" s="403" t="str">
        <f>AB109&amp;".1"</f>
        <v>2.3.0.3.1</v>
      </c>
      <c r="AC110" s="603" t="s">
        <v>985</v>
      </c>
      <c r="AD110" s="151" t="s">
        <v>690</v>
      </c>
      <c r="AE110" s="64"/>
      <c r="AF110" s="64"/>
      <c r="AG110" s="64"/>
      <c r="AH110" s="64"/>
      <c r="AI110" s="583"/>
      <c r="AJ110" s="583"/>
      <c r="AK110" s="583"/>
      <c r="AL110" s="583"/>
      <c r="AM110" s="583"/>
      <c r="AN110" s="64"/>
      <c r="AO110" s="64"/>
      <c r="AP110" s="64"/>
      <c r="AQ110" s="64"/>
      <c r="AR110" s="64"/>
      <c r="AS110" s="583"/>
      <c r="AT110" s="583"/>
      <c r="AU110" s="583"/>
      <c r="AV110" s="583"/>
      <c r="AW110" s="583"/>
      <c r="AX110" s="64"/>
      <c r="AY110" s="64"/>
      <c r="AZ110" s="64"/>
      <c r="BA110" s="64"/>
      <c r="BB110" s="64"/>
      <c r="BC110" s="73"/>
      <c r="BD110" s="220"/>
      <c r="BE110" s="220"/>
      <c r="BF110" s="1189" t="s">
        <v>986</v>
      </c>
      <c r="BG110" s="1189" t="s">
        <v>979</v>
      </c>
      <c r="BH110" s="1189" cm="1" t="str">
        <f t="array" ref="BH110:BH110">BH109</f>
        <v>0</v>
      </c>
      <c r="BI110" s="1190"/>
      <c r="BJ110" s="1190"/>
    </row>
    <row s="220" customFormat="1" customHeight="1" ht="10.5">
      <c r="A111" s="220"/>
      <c r="B111" s="220"/>
      <c r="C111" s="220"/>
      <c r="D111" s="220"/>
      <c r="E111" s="921">
        <v>11.4</v>
      </c>
      <c r="F111" s="919" cm="1" t="str">
        <f t="array" ref="F111:F111">OFFSET(G111,-1,-1)</f>
        <v>1</v>
      </c>
      <c r="G111" s="220"/>
      <c r="H111" s="220"/>
      <c r="I111" s="220"/>
      <c r="J111" s="220"/>
      <c r="K111" s="220"/>
      <c r="L111" s="220"/>
      <c r="M111" s="220"/>
      <c r="N111" s="220"/>
      <c r="O111" s="220"/>
      <c r="P111" s="220"/>
      <c r="Q111" s="220"/>
      <c r="R111" s="220"/>
      <c r="S111" s="220"/>
      <c r="T111" s="920">
        <f>F111&gt;0</f>
        <v>1</v>
      </c>
      <c r="U111" s="220"/>
      <c r="V111" s="220"/>
      <c r="W111" s="371" t="s">
        <v>987</v>
      </c>
      <c r="X111" s="220"/>
      <c r="Y111" s="220"/>
      <c r="Z111" s="220"/>
      <c r="AA111" s="220"/>
      <c r="AB111" s="586"/>
      <c r="AC111" s="573" t="s">
        <v>978</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8"/>
      <c r="BD111" s="220"/>
      <c r="BE111" s="220"/>
      <c r="BF111" s="1189"/>
      <c r="BG111" s="1189"/>
      <c r="BH111" s="1189"/>
      <c r="BI111" s="1190" t="s">
        <v>979</v>
      </c>
      <c r="BJ111" s="1190"/>
    </row>
    <row s="963" customFormat="1" customHeight="1" ht="18">
      <c r="A112" s="212"/>
      <c r="B112" s="212"/>
      <c r="C112" s="212"/>
      <c r="D112" s="212"/>
      <c r="E112" s="800">
        <v>18.8</v>
      </c>
      <c r="F112" s="919" cm="1" t="str">
        <f t="array" ref="F112:F112">X112</f>
        <v>2</v>
      </c>
      <c r="G112" s="212"/>
      <c r="H112" s="212"/>
      <c r="I112" s="212"/>
      <c r="J112" s="212"/>
      <c r="K112" s="210" cm="1" t="str">
        <f t="array" ref="K112:K112">INDEX('Общие сведения'!$AL$169:$AL$218,MATCH($F112,'Общие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112" s="210" cm="1" t="str">
        <f t="array" ref="L112:L112">INDEX('Общие сведения'!$AK$169:$AK$218,MATCH($F112,'Общие сведения'!$Z$169:$Z$218,0))</f>
        <v>одноставочный</v>
      </c>
      <c r="M112" s="212"/>
      <c r="N112" s="212"/>
      <c r="O112" s="212"/>
      <c r="P112" s="212"/>
      <c r="Q112" s="212"/>
      <c r="R112" s="212"/>
      <c r="S112" s="212"/>
      <c r="T112" s="805">
        <f>X112&gt;0</f>
        <v>1</v>
      </c>
      <c r="U112" s="212"/>
      <c r="V112" s="168" cm="1" t="str">
        <f t="array" ref="V112:V112">'Топливо 4.4'!$AB$275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112" s="212"/>
      <c r="X112" s="168" t="s">
        <v>343</v>
      </c>
      <c r="Y112" s="212"/>
      <c r="Z112" s="212"/>
      <c r="AA112" s="212"/>
      <c r="AB112" s="260" cm="1" t="str">
        <f t="array" ref="AB112:AB112">IF(ISBLANK('Топливо 4.4'!$AB$275),"",'Топливо 4.4'!$AB$275)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112" s="257"/>
      <c r="AD112" s="251"/>
      <c r="AE112" s="377">
        <f>AE113+AE135</f>
        <v>0</v>
      </c>
      <c r="AF112" s="377">
        <f>AF113+AF135</f>
        <v>0</v>
      </c>
      <c r="AG112" s="377">
        <f>AG113+AG135</f>
        <v>0</v>
      </c>
      <c r="AH112" s="377">
        <f>AH113+AH135</f>
        <v>0</v>
      </c>
      <c r="AI112" s="377">
        <f>AI113+AI135</f>
        <v>297</v>
      </c>
      <c r="AJ112" s="377">
        <f>AJ113+AJ135</f>
        <v>309</v>
      </c>
      <c r="AK112" s="377">
        <f>AK113+AK135</f>
        <v>321</v>
      </c>
      <c r="AL112" s="377">
        <f>AL113+AL135</f>
        <v>334</v>
      </c>
      <c r="AM112" s="377">
        <f>AM113+AM135</f>
        <v>347</v>
      </c>
      <c r="AN112" s="377">
        <f>AN113+AN135</f>
        <v>0</v>
      </c>
      <c r="AO112" s="377">
        <f>AO113+AO135</f>
        <v>0</v>
      </c>
      <c r="AP112" s="377">
        <f>AP113+AP135</f>
        <v>0</v>
      </c>
      <c r="AQ112" s="377">
        <f>AQ113+AQ135</f>
        <v>0</v>
      </c>
      <c r="AR112" s="377">
        <f>AR113+AR135</f>
        <v>0</v>
      </c>
      <c r="AS112" s="377">
        <f>AS113+AS135</f>
        <v>267</v>
      </c>
      <c r="AT112" s="377">
        <f>AT113+AT135</f>
        <v>291</v>
      </c>
      <c r="AU112" s="377">
        <f>AU113+AU135</f>
        <v>305</v>
      </c>
      <c r="AV112" s="377">
        <f>AV113+AV135</f>
        <v>320</v>
      </c>
      <c r="AW112" s="377">
        <f>AW113+AW135</f>
        <v>336</v>
      </c>
      <c r="AX112" s="377">
        <f>AX113+AX135</f>
        <v>0</v>
      </c>
      <c r="AY112" s="377">
        <f>AY113+AY135</f>
        <v>0</v>
      </c>
      <c r="AZ112" s="377">
        <f>AZ113+AZ135</f>
        <v>0</v>
      </c>
      <c r="BA112" s="377">
        <f>BA113+BA135</f>
        <v>0</v>
      </c>
      <c r="BB112" s="377">
        <f>BB113+BB135</f>
        <v>0</v>
      </c>
      <c r="BC112" s="605"/>
      <c r="BD112" s="212"/>
      <c r="BE112" s="212"/>
      <c r="BF112" s="1181"/>
      <c r="BG112" s="1187"/>
      <c r="BH112" s="1187"/>
      <c r="BI112" s="1188"/>
      <c r="BJ112" s="1188"/>
    </row>
    <row s="789" customFormat="1" customHeight="1" ht="16.5">
      <c r="A113" s="1459"/>
      <c r="B113" s="1459"/>
      <c r="C113" s="1459"/>
      <c r="D113" s="1459"/>
      <c r="E113" s="800">
        <v>17.1</v>
      </c>
      <c r="F113" s="919" cm="1" t="str">
        <f t="array" ref="F113:F113">OFFSET(G113,-1,-1)</f>
        <v>2</v>
      </c>
      <c r="G113" s="736" t="s">
        <v>925</v>
      </c>
      <c r="H113" s="1459"/>
      <c r="I113" s="212" t="s">
        <v>926</v>
      </c>
      <c r="J113" s="1459"/>
      <c r="K113" s="1459"/>
      <c r="L113" s="1459"/>
      <c r="M113" s="1459"/>
      <c r="N113" s="1459"/>
      <c r="O113" s="1459"/>
      <c r="P113" s="1459"/>
      <c r="Q113" s="1459"/>
      <c r="R113" s="1459"/>
      <c r="S113" s="1459"/>
      <c r="T113" s="920" cm="1" t="str">
        <f t="array" ref="T113:T113">T112</f>
        <v>true</v>
      </c>
      <c r="U113" s="1459"/>
      <c r="V113" s="1459"/>
      <c r="W113" s="1459"/>
      <c r="X113" s="1459"/>
      <c r="Y113" s="1459"/>
      <c r="Z113" s="1459"/>
      <c r="AA113" s="1459"/>
      <c r="AB113" s="283">
        <v>1</v>
      </c>
      <c r="AC113" s="278" t="s">
        <v>927</v>
      </c>
      <c r="AD113" s="277" t="s">
        <v>805</v>
      </c>
      <c r="AE113" s="609">
        <f>SUMIF($I118:$I133,$I113,AE118:AE133)</f>
        <v>0</v>
      </c>
      <c r="AF113" s="609">
        <f>SUMIF($I118:$I133,$I113,AF118:AF133)</f>
        <v>0</v>
      </c>
      <c r="AG113" s="609">
        <f>SUMIF($I118:$I133,$I113,AG118:AG133)</f>
        <v>0</v>
      </c>
      <c r="AH113" s="609">
        <f>SUMIF($I118:$I133,$I113,AH118:AH133)</f>
        <v>0</v>
      </c>
      <c r="AI113" s="609">
        <f>SUMIF($I118:$I133,$I113,AI118:AI133)</f>
        <v>297</v>
      </c>
      <c r="AJ113" s="881">
        <f>SUMIF($I118:$I133,$I113,AJ118:AJ133)</f>
        <v>309</v>
      </c>
      <c r="AK113" s="881">
        <f>SUMIF($I118:$I133,$I113,AK118:AK133)</f>
        <v>321</v>
      </c>
      <c r="AL113" s="881">
        <f>SUMIF($I118:$I133,$I113,AL118:AL133)</f>
        <v>334</v>
      </c>
      <c r="AM113" s="881">
        <f>SUMIF($I118:$I133,$I113,AM118:AM133)</f>
        <v>347</v>
      </c>
      <c r="AN113" s="1784">
        <f>SUMIF($I118:$I133,$I113,AN118:AN133)</f>
        <v>0</v>
      </c>
      <c r="AO113" s="1784">
        <f>SUMIF($I118:$I133,$I113,AO118:AO133)</f>
        <v>0</v>
      </c>
      <c r="AP113" s="1784">
        <f>SUMIF($I118:$I133,$I113,AP118:AP133)</f>
        <v>0</v>
      </c>
      <c r="AQ113" s="1784">
        <f>SUMIF($I118:$I133,$I113,AQ118:AQ133)</f>
        <v>0</v>
      </c>
      <c r="AR113" s="1784">
        <f>SUMIF($I118:$I133,$I113,AR118:AR133)</f>
        <v>0</v>
      </c>
      <c r="AS113" s="609">
        <f>SUMIF($I118:$I133,$I113,AS118:AS133)</f>
        <v>267</v>
      </c>
      <c r="AT113" s="881">
        <f>SUMIF($I118:$I133,$I113,AT118:AT133)</f>
        <v>291</v>
      </c>
      <c r="AU113" s="881">
        <f>SUMIF($I118:$I133,$I113,AU118:AU133)</f>
        <v>305</v>
      </c>
      <c r="AV113" s="881">
        <f>SUMIF($I118:$I133,$I113,AV118:AV133)</f>
        <v>320</v>
      </c>
      <c r="AW113" s="881">
        <f>SUMIF($I118:$I133,$I113,AW118:AW133)</f>
        <v>336</v>
      </c>
      <c r="AX113" s="1784">
        <f>SUMIF($I118:$I133,$I113,AX118:AX133)</f>
        <v>0</v>
      </c>
      <c r="AY113" s="1784">
        <f>SUMIF($I118:$I133,$I113,AY118:AY133)</f>
        <v>0</v>
      </c>
      <c r="AZ113" s="1784">
        <f>SUMIF($I118:$I133,$I113,AZ118:AZ133)</f>
        <v>0</v>
      </c>
      <c r="BA113" s="1784">
        <f>SUMIF($I118:$I133,$I113,BA118:BA133)</f>
        <v>0</v>
      </c>
      <c r="BB113" s="1784">
        <f>SUMIF($I118:$I133,$I113,BB118:BB133)</f>
        <v>0</v>
      </c>
      <c r="BC113" s="1743"/>
      <c r="BD113" s="1459"/>
      <c r="BE113" s="1459"/>
      <c r="BF113" s="1170" t="s">
        <v>928</v>
      </c>
      <c r="BG113" s="1187"/>
      <c r="BH113" s="1187"/>
      <c r="BI113" s="1188"/>
      <c r="BJ113" s="1188"/>
    </row>
    <row s="789" customFormat="1" customHeight="1" ht="16.5">
      <c r="A114" s="1459"/>
      <c r="B114" s="1459"/>
      <c r="C114" s="1459"/>
      <c r="D114" s="1459"/>
      <c r="E114" s="800">
        <v>17.1</v>
      </c>
      <c r="F114" s="919" cm="1" t="str">
        <f t="array" ref="F114:F114">OFFSET(G114,-1,-1)</f>
        <v>2</v>
      </c>
      <c r="G114" s="1459"/>
      <c r="H114" s="1459"/>
      <c r="I114" s="1459"/>
      <c r="J114" s="1459"/>
      <c r="K114" s="1459"/>
      <c r="L114" s="1459"/>
      <c r="M114" s="1459"/>
      <c r="N114" s="1459"/>
      <c r="O114" s="1459"/>
      <c r="P114" s="1459"/>
      <c r="Q114" s="1459"/>
      <c r="R114" s="1459"/>
      <c r="S114" s="1459"/>
      <c r="T114" s="920" cm="1" t="str">
        <f t="array" ref="T114:T114">T113</f>
        <v>true</v>
      </c>
      <c r="U114" s="1459"/>
      <c r="V114" s="1459"/>
      <c r="W114" s="1459"/>
      <c r="X114" s="1459"/>
      <c r="Y114" s="1459"/>
      <c r="Z114" s="1459"/>
      <c r="AA114" s="1459"/>
      <c r="AB114" s="213" t="s">
        <v>442</v>
      </c>
      <c r="AC114" s="273" t="s">
        <v>929</v>
      </c>
      <c r="AD114" s="167" t="s">
        <v>728</v>
      </c>
      <c r="AE114" s="264">
        <f>SUMIF($AD118:$AD133,$AD114,AE118:AE133)</f>
        <v>0</v>
      </c>
      <c r="AF114" s="264">
        <f>SUMIF($AD118:$AD133,$AD114,AF118:AF133)</f>
        <v>0</v>
      </c>
      <c r="AG114" s="264">
        <f>SUMIF($AD118:$AD133,$AD114,AG118:AG133)</f>
        <v>0</v>
      </c>
      <c r="AH114" s="264">
        <f>SUMIF($AD118:$AD133,$AD114,AH118:AH133)</f>
        <v>0</v>
      </c>
      <c r="AI114" s="264">
        <f>SUMIF($AD118:$AD133,$AD114,AI118:AI133)</f>
        <v>58.14</v>
      </c>
      <c r="AJ114" s="209">
        <f>SUMIF($AD118:$AD133,$AD114,AJ118:AJ133)</f>
        <v>58.14</v>
      </c>
      <c r="AK114" s="209">
        <f>SUMIF($AD118:$AD133,$AD114,AK118:AK133)</f>
        <v>58.14</v>
      </c>
      <c r="AL114" s="209">
        <f>SUMIF($AD118:$AD133,$AD114,AL118:AL133)</f>
        <v>58.14</v>
      </c>
      <c r="AM114" s="209">
        <f>SUMIF($AD118:$AD133,$AD114,AM118:AM133)</f>
        <v>58.14</v>
      </c>
      <c r="AN114" s="1655">
        <f>SUMIF($AD118:$AD133,$AD114,AN118:AN133)</f>
        <v>0</v>
      </c>
      <c r="AO114" s="1655">
        <f>SUMIF($AD118:$AD133,$AD114,AO118:AO133)</f>
        <v>0</v>
      </c>
      <c r="AP114" s="1655">
        <f>SUMIF($AD118:$AD133,$AD114,AP118:AP133)</f>
        <v>0</v>
      </c>
      <c r="AQ114" s="1655">
        <f>SUMIF($AD118:$AD133,$AD114,AQ118:AQ133)</f>
        <v>0</v>
      </c>
      <c r="AR114" s="1655">
        <f>SUMIF($AD118:$AD133,$AD114,AR118:AR133)</f>
        <v>0</v>
      </c>
      <c r="AS114" s="264">
        <f>SUMIF($AD118:$AD133,$AD114,AS118:AS133)</f>
        <v>58.14</v>
      </c>
      <c r="AT114" s="209">
        <f>SUMIF($AD118:$AD133,$AD114,AT118:AT133)</f>
        <v>58.14</v>
      </c>
      <c r="AU114" s="209">
        <f>SUMIF($AD118:$AD133,$AD114,AU118:AU133)</f>
        <v>58.14</v>
      </c>
      <c r="AV114" s="209">
        <f>SUMIF($AD118:$AD133,$AD114,AV118:AV133)</f>
        <v>58.14</v>
      </c>
      <c r="AW114" s="209">
        <f>SUMIF($AD118:$AD133,$AD114,AW118:AW133)</f>
        <v>58.14</v>
      </c>
      <c r="AX114" s="1655">
        <f>SUMIF($AD118:$AD133,$AD114,AX118:AX133)</f>
        <v>0</v>
      </c>
      <c r="AY114" s="1655">
        <f>SUMIF($AD118:$AD133,$AD114,AY118:AY133)</f>
        <v>0</v>
      </c>
      <c r="AZ114" s="1655">
        <f>SUMIF($AD118:$AD133,$AD114,AZ118:AZ133)</f>
        <v>0</v>
      </c>
      <c r="BA114" s="1655">
        <f>SUMIF($AD118:$AD133,$AD114,BA118:BA133)</f>
        <v>0</v>
      </c>
      <c r="BB114" s="1655">
        <f>SUMIF($AD118:$AD133,$AD114,BB118:BB133)</f>
        <v>0</v>
      </c>
      <c r="BC114" s="1730"/>
      <c r="BD114" s="1459"/>
      <c r="BE114" s="1459"/>
      <c r="BF114" s="1181" t="s">
        <v>930</v>
      </c>
      <c r="BG114" s="1187"/>
      <c r="BH114" s="1187"/>
      <c r="BI114" s="1188"/>
      <c r="BJ114" s="1188"/>
    </row>
    <row s="789" customFormat="1" customHeight="1" ht="16.5">
      <c r="A115" s="1459"/>
      <c r="B115" s="1459"/>
      <c r="C115" s="1459"/>
      <c r="D115" s="1459"/>
      <c r="E115" s="800">
        <v>17.1</v>
      </c>
      <c r="F115" s="919" cm="1" t="str">
        <f t="array" ref="F115:F115">OFFSET(G115,-1,-1)</f>
        <v>2</v>
      </c>
      <c r="G115" s="1459"/>
      <c r="H115" s="1459"/>
      <c r="I115" s="1459"/>
      <c r="J115" s="1459"/>
      <c r="K115" s="1459"/>
      <c r="L115" s="1459"/>
      <c r="M115" s="1459"/>
      <c r="N115" s="1459"/>
      <c r="O115" s="1459"/>
      <c r="P115" s="1459"/>
      <c r="Q115" s="1459"/>
      <c r="R115" s="1459"/>
      <c r="S115" s="1459"/>
      <c r="T115" s="920" cm="1" t="str">
        <f t="array" ref="T115:T115">T114</f>
        <v>true</v>
      </c>
      <c r="U115" s="1459"/>
      <c r="V115" s="1459"/>
      <c r="W115" s="1459"/>
      <c r="X115" s="1459"/>
      <c r="Y115" s="1459"/>
      <c r="Z115" s="1459"/>
      <c r="AA115" s="1459"/>
      <c r="AB115" s="213" t="s">
        <v>931</v>
      </c>
      <c r="AC115" s="273" t="s">
        <v>932</v>
      </c>
      <c r="AD115" s="167" t="s">
        <v>591</v>
      </c>
      <c r="AE115" s="1785">
        <f>IF($K112="передача тепловой энергии",_xlfn.SUMIFS('Баланс Тр'!AE$27:AE$50,'Баланс Тр'!$F$27:$F$50,$F115,'Баланс Тр'!$AB$27:$AB$50,"3"),_xlfn.SUMIFS('Баланс Пр'!AE$27:AE$233,'Баланс Пр'!$F$27:$F$233,$F115,'Баланс Пр'!$AB$27:$AB$233,"9.1"))</f>
        <v>0</v>
      </c>
      <c r="AF115" s="1785">
        <f>IF($K112="передача тепловой энергии",_xlfn.SUMIFS('Баланс Тр'!AF$27:AF$50,'Баланс Тр'!$F$27:$F$50,$F115,'Баланс Тр'!$AB$27:$AB$50,"3"),_xlfn.SUMIFS('Баланс Пр'!AF$27:AF$233,'Баланс Пр'!$F$27:$F$233,$F115,'Баланс Пр'!$AB$27:$AB$233,"9.1"))</f>
        <v>0</v>
      </c>
      <c r="AG115" s="1785">
        <f>IF($K112="передача тепловой энергии",_xlfn.SUMIFS('Баланс Тр'!AG$27:AG$50,'Баланс Тр'!$F$27:$F$50,$F115,'Баланс Тр'!$AB$27:$AB$50,"3"),_xlfn.SUMIFS('Баланс Пр'!AG$27:AG$233,'Баланс Пр'!$F$27:$F$233,$F115,'Баланс Пр'!$AB$27:$AB$233,"9.1"))</f>
        <v>0</v>
      </c>
      <c r="AH115" s="1785">
        <f>IF($K112="передача тепловой энергии",_xlfn.SUMIFS('Баланс Тр'!AH$27:AH$50,'Баланс Тр'!$F$27:$F$50,$F115,'Баланс Тр'!$AB$27:$AB$50,"3"),_xlfn.SUMIFS('Баланс Пр'!AH$27:AH$233,'Баланс Пр'!$F$27:$F$233,$F115,'Баланс Пр'!$AB$27:$AB$233,"9.1"))</f>
        <v>0</v>
      </c>
      <c r="AI115" s="308">
        <f>IF($K112="передача тепловой энергии",_xlfn.SUMIFS('Баланс Тр'!AI$27:AI$50,'Баланс Тр'!$F$27:$F$50,$F115,'Баланс Тр'!$AB$27:$AB$50,"3"),_xlfn.SUMIFS('Баланс Пр'!AI$27:AI$233,'Баланс Пр'!$F$27:$F$233,$F115,'Баланс Пр'!$AB$27:$AB$233,"9.1"))</f>
        <v>1370</v>
      </c>
      <c r="AJ115" s="308">
        <f>IF($K112="передача тепловой энергии",_xlfn.SUMIFS('Баланс Тр'!AJ$27:AJ$50,'Баланс Тр'!$F$27:$F$50,$F115,'Баланс Тр'!$AB$27:$AB$50,"3"),_xlfn.SUMIFS('Баланс Пр'!AJ$27:AJ$233,'Баланс Пр'!$F$27:$F$233,$F115,'Баланс Пр'!$AB$27:$AB$233,"9.1"))</f>
        <v>1370</v>
      </c>
      <c r="AK115" s="308">
        <f>IF($K112="передача тепловой энергии",_xlfn.SUMIFS('Баланс Тр'!AK$27:AK$50,'Баланс Тр'!$F$27:$F$50,$F115,'Баланс Тр'!$AB$27:$AB$50,"3"),_xlfn.SUMIFS('Баланс Пр'!AK$27:AK$233,'Баланс Пр'!$F$27:$F$233,$F115,'Баланс Пр'!$AB$27:$AB$233,"9.1"))</f>
        <v>1370</v>
      </c>
      <c r="AL115" s="308">
        <f>IF($K112="передача тепловой энергии",_xlfn.SUMIFS('Баланс Тр'!AL$27:AL$50,'Баланс Тр'!$F$27:$F$50,$F115,'Баланс Тр'!$AB$27:$AB$50,"3"),_xlfn.SUMIFS('Баланс Пр'!AL$27:AL$233,'Баланс Пр'!$F$27:$F$233,$F115,'Баланс Пр'!$AB$27:$AB$233,"9.1"))</f>
        <v>1370</v>
      </c>
      <c r="AM115" s="308">
        <f>IF($K112="передача тепловой энергии",_xlfn.SUMIFS('Баланс Тр'!AM$27:AM$50,'Баланс Тр'!$F$27:$F$50,$F115,'Баланс Тр'!$AB$27:$AB$50,"3"),_xlfn.SUMIFS('Баланс Пр'!AM$27:AM$233,'Баланс Пр'!$F$27:$F$233,$F115,'Баланс Пр'!$AB$27:$AB$233,"9.1"))</f>
        <v>1370</v>
      </c>
      <c r="AN115" s="1785">
        <f>IF($K112="передача тепловой энергии",_xlfn.SUMIFS('Баланс Тр'!AN$27:AN$50,'Баланс Тр'!$F$27:$F$50,$F115,'Баланс Тр'!$AB$27:$AB$50,"3"),_xlfn.SUMIFS('Баланс Пр'!AN$27:AN$233,'Баланс Пр'!$F$27:$F$233,$F115,'Баланс Пр'!$AB$27:$AB$233,"9.1"))</f>
        <v>1370</v>
      </c>
      <c r="AO115" s="1785">
        <f>IF($K112="передача тепловой энергии",_xlfn.SUMIFS('Баланс Тр'!AO$27:AO$50,'Баланс Тр'!$F$27:$F$50,$F115,'Баланс Тр'!$AB$27:$AB$50,"3"),_xlfn.SUMIFS('Баланс Пр'!AO$27:AO$233,'Баланс Пр'!$F$27:$F$233,$F115,'Баланс Пр'!$AB$27:$AB$233,"9.1"))</f>
        <v>1370</v>
      </c>
      <c r="AP115" s="1785">
        <f>IF($K112="передача тепловой энергии",_xlfn.SUMIFS('Баланс Тр'!AP$27:AP$50,'Баланс Тр'!$F$27:$F$50,$F115,'Баланс Тр'!$AB$27:$AB$50,"3"),_xlfn.SUMIFS('Баланс Пр'!AP$27:AP$233,'Баланс Пр'!$F$27:$F$233,$F115,'Баланс Пр'!$AB$27:$AB$233,"9.1"))</f>
        <v>1370</v>
      </c>
      <c r="AQ115" s="1785">
        <f>IF($K112="передача тепловой энергии",_xlfn.SUMIFS('Баланс Тр'!AQ$27:AQ$50,'Баланс Тр'!$F$27:$F$50,$F115,'Баланс Тр'!$AB$27:$AB$50,"3"),_xlfn.SUMIFS('Баланс Пр'!AQ$27:AQ$233,'Баланс Пр'!$F$27:$F$233,$F115,'Баланс Пр'!$AB$27:$AB$233,"9.1"))</f>
        <v>1370</v>
      </c>
      <c r="AR115" s="1785">
        <f>IF($K112="передача тепловой энергии",_xlfn.SUMIFS('Баланс Тр'!AR$27:AR$50,'Баланс Тр'!$F$27:$F$50,$F115,'Баланс Тр'!$AB$27:$AB$50,"3"),_xlfn.SUMIFS('Баланс Пр'!AR$27:AR$233,'Баланс Пр'!$F$27:$F$233,$F115,'Баланс Пр'!$AB$27:$AB$233,"9.1"))</f>
        <v>1370</v>
      </c>
      <c r="AS115" s="308">
        <f>IF($K112="передача тепловой энергии",_xlfn.SUMIFS('Баланс Тр'!AS$27:AS$50,'Баланс Тр'!$F$27:$F$50,$F115,'Баланс Тр'!$AB$27:$AB$50,"3"),_xlfn.SUMIFS('Баланс Пр'!AS$27:AS$233,'Баланс Пр'!$F$27:$F$233,$F115,'Баланс Пр'!$AB$27:$AB$233,"9.1"))</f>
        <v>1370</v>
      </c>
      <c r="AT115" s="308">
        <f>IF($K112="передача тепловой энергии",_xlfn.SUMIFS('Баланс Тр'!AT$27:AT$50,'Баланс Тр'!$F$27:$F$50,$F115,'Баланс Тр'!$AB$27:$AB$50,"3"),_xlfn.SUMIFS('Баланс Пр'!AT$27:AT$233,'Баланс Пр'!$F$27:$F$233,$F115,'Баланс Пр'!$AB$27:$AB$233,"9.1"))</f>
        <v>1370</v>
      </c>
      <c r="AU115" s="308">
        <f>IF($K112="передача тепловой энергии",_xlfn.SUMIFS('Баланс Тр'!AU$27:AU$50,'Баланс Тр'!$F$27:$F$50,$F115,'Баланс Тр'!$AB$27:$AB$50,"3"),_xlfn.SUMIFS('Баланс Пр'!AU$27:AU$233,'Баланс Пр'!$F$27:$F$233,$F115,'Баланс Пр'!$AB$27:$AB$233,"9.1"))</f>
        <v>1370</v>
      </c>
      <c r="AV115" s="308">
        <f>IF($K112="передача тепловой энергии",_xlfn.SUMIFS('Баланс Тр'!AV$27:AV$50,'Баланс Тр'!$F$27:$F$50,$F115,'Баланс Тр'!$AB$27:$AB$50,"3"),_xlfn.SUMIFS('Баланс Пр'!AV$27:AV$233,'Баланс Пр'!$F$27:$F$233,$F115,'Баланс Пр'!$AB$27:$AB$233,"9.1"))</f>
        <v>1370</v>
      </c>
      <c r="AW115" s="308">
        <f>IF($K112="передача тепловой энергии",_xlfn.SUMIFS('Баланс Тр'!AW$27:AW$50,'Баланс Тр'!$F$27:$F$50,$F115,'Баланс Тр'!$AB$27:$AB$50,"3"),_xlfn.SUMIFS('Баланс Пр'!AW$27:AW$233,'Баланс Пр'!$F$27:$F$233,$F115,'Баланс Пр'!$AB$27:$AB$233,"9.1"))</f>
        <v>1370</v>
      </c>
      <c r="AX115" s="1785">
        <f>IF($K112="передача тепловой энергии",_xlfn.SUMIFS('Баланс Тр'!AX$27:AX$50,'Баланс Тр'!$F$27:$F$50,$F115,'Баланс Тр'!$AB$27:$AB$50,"3"),_xlfn.SUMIFS('Баланс Пр'!AX$27:AX$233,'Баланс Пр'!$F$27:$F$233,$F115,'Баланс Пр'!$AB$27:$AB$233,"9.1"))</f>
        <v>0</v>
      </c>
      <c r="AY115" s="1785">
        <f>IF($K112="передача тепловой энергии",_xlfn.SUMIFS('Баланс Тр'!AY$27:AY$50,'Баланс Тр'!$F$27:$F$50,$F115,'Баланс Тр'!$AB$27:$AB$50,"3"),_xlfn.SUMIFS('Баланс Пр'!AY$27:AY$233,'Баланс Пр'!$F$27:$F$233,$F115,'Баланс Пр'!$AB$27:$AB$233,"9.1"))</f>
        <v>0</v>
      </c>
      <c r="AZ115" s="1785">
        <f>IF($K112="передача тепловой энергии",_xlfn.SUMIFS('Баланс Тр'!AZ$27:AZ$50,'Баланс Тр'!$F$27:$F$50,$F115,'Баланс Тр'!$AB$27:$AB$50,"3"),_xlfn.SUMIFS('Баланс Пр'!AZ$27:AZ$233,'Баланс Пр'!$F$27:$F$233,$F115,'Баланс Пр'!$AB$27:$AB$233,"9.1"))</f>
        <v>0</v>
      </c>
      <c r="BA115" s="1785">
        <f>IF($K112="передача тепловой энергии",_xlfn.SUMIFS('Баланс Тр'!BA$27:BA$50,'Баланс Тр'!$F$27:$F$50,$F115,'Баланс Тр'!$AB$27:$AB$50,"3"),_xlfn.SUMIFS('Баланс Пр'!BA$27:BA$233,'Баланс Пр'!$F$27:$F$233,$F115,'Баланс Пр'!$AB$27:$AB$233,"9.1"))</f>
        <v>0</v>
      </c>
      <c r="BB115" s="1785">
        <f>IF($K112="передача тепловой энергии",_xlfn.SUMIFS('Баланс Тр'!BB$27:BB$50,'Баланс Тр'!$F$27:$F$50,$F115,'Баланс Тр'!$AB$27:$AB$50,"3"),_xlfn.SUMIFS('Баланс Пр'!BB$27:BB$233,'Баланс Пр'!$F$27:$F$233,$F115,'Баланс Пр'!$AB$27:$AB$233,"9.1"))</f>
        <v>0</v>
      </c>
      <c r="BC115" s="1730"/>
      <c r="BD115" s="1459"/>
      <c r="BE115" s="1459"/>
      <c r="BF115" s="1181" t="s">
        <v>754</v>
      </c>
      <c r="BG115" s="1187"/>
      <c r="BH115" s="1187"/>
      <c r="BI115" s="1188"/>
      <c r="BJ115" s="1188"/>
    </row>
    <row s="789" customFormat="1" customHeight="1" ht="16.5">
      <c r="A116" s="1459"/>
      <c r="B116" s="1459"/>
      <c r="C116" s="1459"/>
      <c r="D116" s="1459"/>
      <c r="E116" s="800">
        <v>17.1</v>
      </c>
      <c r="F116" s="919" cm="1" t="str">
        <f t="array" ref="F116:F116">OFFSET(G116,-1,-1)</f>
        <v>2</v>
      </c>
      <c r="G116" s="1459"/>
      <c r="H116" s="1459"/>
      <c r="I116" s="1459"/>
      <c r="J116" s="1459"/>
      <c r="K116" s="1459"/>
      <c r="L116" s="1459"/>
      <c r="M116" s="1459"/>
      <c r="N116" s="1459"/>
      <c r="O116" s="1459"/>
      <c r="P116" s="1459"/>
      <c r="Q116" s="1459"/>
      <c r="R116" s="1459"/>
      <c r="S116" s="1459"/>
      <c r="T116" s="920" cm="1" t="str">
        <f t="array" ref="T116:T116">T115</f>
        <v>true</v>
      </c>
      <c r="U116" s="1459"/>
      <c r="V116" s="1459"/>
      <c r="W116" s="1459"/>
      <c r="X116" s="1459"/>
      <c r="Y116" s="1459"/>
      <c r="Z116" s="1459"/>
      <c r="AA116" s="1459"/>
      <c r="AB116" s="213" t="s">
        <v>933</v>
      </c>
      <c r="AC116" s="273" t="s">
        <v>934</v>
      </c>
      <c r="AD116" s="167" t="s">
        <v>935</v>
      </c>
      <c r="AE116" s="264">
        <f>IF(AE114=0,0,AE113/AE114)</f>
        <v>0</v>
      </c>
      <c r="AF116" s="264">
        <f>IF(AF114=0,0,AF113/AF114)</f>
        <v>0</v>
      </c>
      <c r="AG116" s="264">
        <f>IF(AG114=0,0,AG113/AG114)</f>
        <v>0</v>
      </c>
      <c r="AH116" s="264">
        <f>IF(AH114=0,0,AH113/AH114)</f>
        <v>0</v>
      </c>
      <c r="AI116" s="264">
        <f>IF(AI114=0,0,AI113/AI114)</f>
        <v>5.10835913312694</v>
      </c>
      <c r="AJ116" s="209">
        <f>IF(AJ114=0,0,AJ113/AJ114)</f>
        <v>5.31475748194014</v>
      </c>
      <c r="AK116" s="209">
        <f>IF(AK114=0,0,AK113/AK114)</f>
        <v>5.52115583075335</v>
      </c>
      <c r="AL116" s="209">
        <f>IF(AL114=0,0,AL113/AL114)</f>
        <v>5.74475404196766</v>
      </c>
      <c r="AM116" s="209">
        <f>IF(AM114=0,0,AM113/AM114)</f>
        <v>5.96835225318197</v>
      </c>
      <c r="AN116" s="1655">
        <f>IF(AN114=0,0,AN113/AN114)</f>
        <v>0</v>
      </c>
      <c r="AO116" s="1655">
        <f>IF(AO114=0,0,AO113/AO114)</f>
        <v>0</v>
      </c>
      <c r="AP116" s="1655">
        <f>IF(AP114=0,0,AP113/AP114)</f>
        <v>0</v>
      </c>
      <c r="AQ116" s="1655">
        <f>IF(AQ114=0,0,AQ113/AQ114)</f>
        <v>0</v>
      </c>
      <c r="AR116" s="1655">
        <f>IF(AR114=0,0,AR113/AR114)</f>
        <v>0</v>
      </c>
      <c r="AS116" s="264">
        <f>IF(AS114=0,0,AS113/AS114)</f>
        <v>4.59236326109391</v>
      </c>
      <c r="AT116" s="209">
        <f>IF(AT114=0,0,AT113/AT114)</f>
        <v>5.00515995872033</v>
      </c>
      <c r="AU116" s="209">
        <f>IF(AU114=0,0,AU113/AU114)</f>
        <v>5.24595803233574</v>
      </c>
      <c r="AV116" s="209">
        <f>IF(AV114=0,0,AV113/AV114)</f>
        <v>5.50395596835225</v>
      </c>
      <c r="AW116" s="209">
        <f>IF(AW114=0,0,AW113/AW114)</f>
        <v>5.77915376676987</v>
      </c>
      <c r="AX116" s="1655">
        <f>IF(AX114=0,0,AX113/AX114)</f>
        <v>0</v>
      </c>
      <c r="AY116" s="1655">
        <f>IF(AY114=0,0,AY113/AY114)</f>
        <v>0</v>
      </c>
      <c r="AZ116" s="1655">
        <f>IF(AZ114=0,0,AZ113/AZ114)</f>
        <v>0</v>
      </c>
      <c r="BA116" s="1655">
        <f>IF(BA114=0,0,BA113/BA114)</f>
        <v>0</v>
      </c>
      <c r="BB116" s="1655">
        <f>IF(BB114=0,0,BB113/BB114)</f>
        <v>0</v>
      </c>
      <c r="BC116" s="1730"/>
      <c r="BD116" s="1459"/>
      <c r="BE116" s="1459"/>
      <c r="BF116" s="1181" t="s">
        <v>936</v>
      </c>
      <c r="BG116" s="1187"/>
      <c r="BH116" s="1187"/>
      <c r="BI116" s="1188"/>
      <c r="BJ116" s="1188"/>
    </row>
    <row s="789" customFormat="1" customHeight="1" ht="16.5">
      <c r="A117" s="1459"/>
      <c r="B117" s="1459"/>
      <c r="C117" s="1459"/>
      <c r="D117" s="1459"/>
      <c r="E117" s="800">
        <v>17.1</v>
      </c>
      <c r="F117" s="919" cm="1" t="str">
        <f t="array" ref="F117:F117">OFFSET(G117,-1,-1)</f>
        <v>2</v>
      </c>
      <c r="G117" s="1459"/>
      <c r="H117" s="1459"/>
      <c r="I117" s="1459"/>
      <c r="J117" s="1459"/>
      <c r="K117" s="1459"/>
      <c r="L117" s="1459"/>
      <c r="M117" s="1459"/>
      <c r="N117" s="1459"/>
      <c r="O117" s="1459"/>
      <c r="P117" s="1459"/>
      <c r="Q117" s="1459"/>
      <c r="R117" s="1459"/>
      <c r="S117" s="1459"/>
      <c r="T117" s="920" cm="1" t="str">
        <f t="array" ref="T117:T117">T116</f>
        <v>true</v>
      </c>
      <c r="U117" s="1459"/>
      <c r="V117" s="1459"/>
      <c r="W117" s="1459"/>
      <c r="X117" s="1459"/>
      <c r="Y117" s="1459"/>
      <c r="Z117" s="1459"/>
      <c r="AA117" s="1459"/>
      <c r="AB117" s="213" t="s">
        <v>937</v>
      </c>
      <c r="AC117" s="273" t="s">
        <v>938</v>
      </c>
      <c r="AD117" s="167" t="s">
        <v>740</v>
      </c>
      <c r="AE117" s="384">
        <f>IF(AE115=0,0,AE114/AE115)*1000</f>
        <v>0</v>
      </c>
      <c r="AF117" s="384">
        <f>IF(AF115=0,0,AF114/AF115)*1000</f>
        <v>0</v>
      </c>
      <c r="AG117" s="384">
        <f>IF(AG115=0,0,AG114/AG115)*1000</f>
        <v>0</v>
      </c>
      <c r="AH117" s="384">
        <f>IF(AH115=0,0,AH114/AH115)*1000</f>
        <v>0</v>
      </c>
      <c r="AI117" s="384">
        <f>IF(AI115=0,0,AI114/AI115)*1000</f>
        <v>42.4379562043796</v>
      </c>
      <c r="AJ117" s="349">
        <f>IF(AJ115=0,0,AJ114/AJ115)*1000</f>
        <v>42.4379562043796</v>
      </c>
      <c r="AK117" s="349">
        <f>IF(AK115=0,0,AK114/AK115)*1000</f>
        <v>42.4379562043796</v>
      </c>
      <c r="AL117" s="349">
        <f>IF(AL115=0,0,AL114/AL115)*1000</f>
        <v>42.4379562043796</v>
      </c>
      <c r="AM117" s="349">
        <f>IF(AM115=0,0,AM114/AM115)*1000</f>
        <v>42.4379562043796</v>
      </c>
      <c r="AN117" s="1788">
        <f>IF(AN115=0,0,AN114/AN115)*1000</f>
        <v>0</v>
      </c>
      <c r="AO117" s="1788">
        <f>IF(AO115=0,0,AO114/AO115)*1000</f>
        <v>0</v>
      </c>
      <c r="AP117" s="1788">
        <f>IF(AP115=0,0,AP114/AP115)*1000</f>
        <v>0</v>
      </c>
      <c r="AQ117" s="1788">
        <f>IF(AQ115=0,0,AQ114/AQ115)*1000</f>
        <v>0</v>
      </c>
      <c r="AR117" s="1788">
        <f>IF(AR115=0,0,AR114/AR115)*1000</f>
        <v>0</v>
      </c>
      <c r="AS117" s="384">
        <f>IF(AS115=0,0,AS114/AS115)*1000</f>
        <v>42.4379562043796</v>
      </c>
      <c r="AT117" s="349">
        <f>IF(AT115=0,0,AT114/AT115)*1000</f>
        <v>42.4379562043796</v>
      </c>
      <c r="AU117" s="349">
        <f>IF(AU115=0,0,AU114/AU115)*1000</f>
        <v>42.4379562043796</v>
      </c>
      <c r="AV117" s="349">
        <f>IF(AV115=0,0,AV114/AV115)*1000</f>
        <v>42.4379562043796</v>
      </c>
      <c r="AW117" s="349">
        <f>IF(AW115=0,0,AW114/AW115)*1000</f>
        <v>42.4379562043796</v>
      </c>
      <c r="AX117" s="1788">
        <f>IF(AX115=0,0,AX114/AX115)*1000</f>
        <v>0</v>
      </c>
      <c r="AY117" s="1788">
        <f>IF(AY115=0,0,AY114/AY115)*1000</f>
        <v>0</v>
      </c>
      <c r="AZ117" s="1788">
        <f>IF(AZ115=0,0,AZ114/AZ115)*1000</f>
        <v>0</v>
      </c>
      <c r="BA117" s="1788">
        <f>IF(BA115=0,0,BA114/BA115)*1000</f>
        <v>0</v>
      </c>
      <c r="BB117" s="1788">
        <f>IF(BB115=0,0,BB114/BB115)*1000</f>
        <v>0</v>
      </c>
      <c r="BC117" s="1730"/>
      <c r="BD117" s="1459"/>
      <c r="BE117" s="1459"/>
      <c r="BF117" s="1181" t="s">
        <v>731</v>
      </c>
      <c r="BG117" s="1187"/>
      <c r="BH117" s="1187"/>
      <c r="BI117" s="1188"/>
      <c r="BJ117" s="1188"/>
    </row>
    <row s="789" customFormat="1" customHeight="1" ht="16.5">
      <c r="A118" s="1459"/>
      <c r="B118" s="1459"/>
      <c r="C118" s="1459"/>
      <c r="D118" s="1459"/>
      <c r="E118" s="800">
        <v>17.1</v>
      </c>
      <c r="F118" s="919" cm="1" t="str">
        <f t="array" ref="F118:F118">OFFSET(G118,-1,-1)</f>
        <v>2</v>
      </c>
      <c r="G118" s="1459"/>
      <c r="H118" s="1459"/>
      <c r="I118" s="1459"/>
      <c r="J118" s="1459"/>
      <c r="K118" s="1459"/>
      <c r="L118" s="1459"/>
      <c r="M118" s="1459"/>
      <c r="N118" s="1459"/>
      <c r="O118" s="1459"/>
      <c r="P118" s="1459"/>
      <c r="Q118" s="1459"/>
      <c r="R118" s="1459"/>
      <c r="S118" s="155"/>
      <c r="T118" s="920" cm="1" t="str">
        <f t="array" ref="T118:T118">T117</f>
        <v>true</v>
      </c>
      <c r="U118" s="1459"/>
      <c r="V118" s="1459"/>
      <c r="W118" s="1459"/>
      <c r="X118" s="1459"/>
      <c r="Y118" s="1459"/>
      <c r="Z118" s="1459"/>
      <c r="AA118" s="1459"/>
      <c r="AB118" s="343"/>
      <c r="AC118" s="340" t="s">
        <v>939</v>
      </c>
      <c r="AD118" s="341"/>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1091"/>
      <c r="BD118" s="1459"/>
      <c r="BE118" s="1459"/>
      <c r="BF118" s="1181"/>
      <c r="BG118" s="1187"/>
      <c r="BH118" s="1187"/>
      <c r="BI118" s="1188"/>
      <c r="BJ118" s="1188"/>
    </row>
    <row s="789" customFormat="1" customHeight="1" ht="16.5" hidden="1">
      <c r="A119" s="1122" t="str">
        <f>"checkCosts_1."&amp;F119&amp;"."&amp;Y119</f>
        <v>checkCosts_1.2.0</v>
      </c>
      <c r="E119" s="800">
        <v>17.1</v>
      </c>
      <c r="F119" s="919" cm="1" t="str">
        <f t="array" ref="F119:F119">OFFSET(G119,-1,-1)</f>
        <v>2</v>
      </c>
      <c r="H119" s="210" cm="1" t="str">
        <f t="array" ref="H119:H119">AC119</f>
        <v>0</v>
      </c>
      <c r="I119" s="212" t="s">
        <v>926</v>
      </c>
      <c r="S119" s="155"/>
      <c r="T119" s="920">
        <f>AND(F119&gt;0,Y119&gt;0)</f>
        <v>0</v>
      </c>
      <c r="W119" s="168" t="s">
        <v>233</v>
      </c>
      <c r="Y119" s="168">
        <v>0</v>
      </c>
      <c r="AA119" s="1412" t="s">
        <v>217</v>
      </c>
      <c r="AB119" s="213" t="str">
        <f>"1.5."&amp;Y119</f>
        <v>1.5.0</v>
      </c>
      <c r="AC119" s="100"/>
      <c r="AD119" s="153" t="s">
        <v>805</v>
      </c>
      <c r="AE119" s="264">
        <f>AE120*AE121</f>
        <v>0</v>
      </c>
      <c r="AF119" s="58"/>
      <c r="AG119" s="58"/>
      <c r="AH119" s="264">
        <f>AH120*AH121</f>
        <v>0</v>
      </c>
      <c r="AI119" s="209"/>
      <c r="AJ119" s="209"/>
      <c r="AK119" s="209"/>
      <c r="AL119" s="209"/>
      <c r="AM119" s="209"/>
      <c r="AN119" s="58"/>
      <c r="AO119" s="58"/>
      <c r="AP119" s="58"/>
      <c r="AQ119" s="58"/>
      <c r="AR119" s="58"/>
      <c r="AS119" s="264">
        <f>AS120*AS121</f>
        <v>0</v>
      </c>
      <c r="AT119" s="264">
        <f>AT120*AT121</f>
        <v>0</v>
      </c>
      <c r="AU119" s="264">
        <f>AU120*AU121</f>
        <v>0</v>
      </c>
      <c r="AV119" s="264">
        <f>AV120*AV121</f>
        <v>0</v>
      </c>
      <c r="AW119" s="264">
        <f>AW120*AW121</f>
        <v>0</v>
      </c>
      <c r="AX119" s="264">
        <f>AX120*AX121</f>
        <v>0</v>
      </c>
      <c r="AY119" s="264">
        <f>AY120*AY121</f>
        <v>0</v>
      </c>
      <c r="AZ119" s="264">
        <f>AZ120*AZ121</f>
        <v>0</v>
      </c>
      <c r="BA119" s="264">
        <f>BA120*BA121</f>
        <v>0</v>
      </c>
      <c r="BB119" s="264">
        <f>BB120*BB121</f>
        <v>0</v>
      </c>
      <c r="BC119" s="73"/>
      <c r="BF119" s="1181" t="s">
        <v>940</v>
      </c>
      <c r="BG119" s="1187" t="s">
        <v>941</v>
      </c>
      <c r="BH119" s="1187" cm="1" t="str">
        <f t="array" ref="BH119:BH119">AC119</f>
        <v>0</v>
      </c>
      <c r="BI119" s="1188"/>
      <c r="BJ119" s="1188" t="b">
        <v>1</v>
      </c>
    </row>
    <row s="789" customFormat="1" customHeight="1" ht="16.5" hidden="1">
      <c r="E120" s="800">
        <v>17.1</v>
      </c>
      <c r="F120" s="919" cm="1" t="str">
        <f t="array" ref="F120:F120">OFFSET(G120,-1,-1)</f>
        <v>2</v>
      </c>
      <c r="H120" s="210" cm="1" t="str">
        <f t="array" ref="H120:H120">H119</f>
        <v>0</v>
      </c>
      <c r="S120" s="155"/>
      <c r="T120" s="920" cm="1" t="str">
        <f t="array" ref="T120:T120">T119</f>
        <v>false</v>
      </c>
      <c r="AA120" s="1412"/>
      <c r="AB120" s="812" t="str">
        <f>AB119&amp;".1"</f>
        <v>1.5.0.1</v>
      </c>
      <c r="AC120" s="781" t="s">
        <v>942</v>
      </c>
      <c r="AD120" s="171" t="s">
        <v>943</v>
      </c>
      <c r="AE120" s="101"/>
      <c r="AF120" s="1376">
        <f>IF(AF121=0,0,AF119/AF121)</f>
        <v>0</v>
      </c>
      <c r="AG120" s="1376">
        <f>IF(AG121=0,0,AG119/AG121)</f>
        <v>0</v>
      </c>
      <c r="AH120" s="101"/>
      <c r="AI120" s="1376">
        <f>IF(AI121=0,0,AI119/AI121)</f>
        <v>0</v>
      </c>
      <c r="AJ120" s="1376">
        <f>IF(AJ121=0,0,AJ119/AJ121)</f>
        <v>0</v>
      </c>
      <c r="AK120" s="1376">
        <f>IF(AK121=0,0,AK119/AK121)</f>
        <v>0</v>
      </c>
      <c r="AL120" s="1376">
        <f>IF(AL121=0,0,AL119/AL121)</f>
        <v>0</v>
      </c>
      <c r="AM120" s="1376">
        <f>IF(AM121=0,0,AM119/AM121)</f>
        <v>0</v>
      </c>
      <c r="AN120" s="1376">
        <f>IF(AN121=0,0,AN119/AN121)</f>
        <v>0</v>
      </c>
      <c r="AO120" s="1376">
        <f>IF(AO121=0,0,AO119/AO121)</f>
        <v>0</v>
      </c>
      <c r="AP120" s="1376">
        <f>IF(AP121=0,0,AP119/AP121)</f>
        <v>0</v>
      </c>
      <c r="AQ120" s="1376">
        <f>IF(AQ121=0,0,AQ119/AQ121)</f>
        <v>0</v>
      </c>
      <c r="AR120" s="1376">
        <f>IF(AR121=0,0,AR119/AR121)</f>
        <v>0</v>
      </c>
      <c r="AS120" s="779"/>
      <c r="AT120" s="779"/>
      <c r="AU120" s="779"/>
      <c r="AV120" s="779"/>
      <c r="AW120" s="779"/>
      <c r="AX120" s="101"/>
      <c r="AY120" s="101"/>
      <c r="AZ120" s="101"/>
      <c r="BA120" s="101"/>
      <c r="BB120" s="101"/>
      <c r="BC120" s="68"/>
      <c r="BF120" s="1181" t="s">
        <v>944</v>
      </c>
      <c r="BG120" s="1187" t="s">
        <v>941</v>
      </c>
      <c r="BH120" s="1187" cm="1" t="str">
        <f t="array" ref="BH120:BH120">BH119</f>
        <v>0</v>
      </c>
      <c r="BI120" s="1188"/>
      <c r="BJ120" s="1188"/>
    </row>
    <row s="789" customFormat="1" customHeight="1" ht="16.5" hidden="1">
      <c r="A121" s="1122" t="str">
        <f>"checkVolume_1."&amp;F121&amp;"."&amp;Y119</f>
        <v>checkVolume_1.2.0</v>
      </c>
      <c r="E121" s="800">
        <v>17.1</v>
      </c>
      <c r="F121" s="919" cm="1" t="str">
        <f t="array" ref="F121:F121">OFFSET(G121,-1,-1)</f>
        <v>2</v>
      </c>
      <c r="H121" s="210" cm="1" t="str">
        <f t="array" ref="H121:H121">H119</f>
        <v>0</v>
      </c>
      <c r="S121" s="155"/>
      <c r="T121" s="920" cm="1" t="str">
        <f t="array" ref="T121:T121">T119</f>
        <v>false</v>
      </c>
      <c r="AA121" s="1412"/>
      <c r="AB121" s="812" t="str">
        <f>AB119&amp;".2"</f>
        <v>1.5.0.2</v>
      </c>
      <c r="AC121" s="781" t="s">
        <v>945</v>
      </c>
      <c r="AD121" s="171" t="s">
        <v>728</v>
      </c>
      <c r="AE121" s="101"/>
      <c r="AF121" s="101"/>
      <c r="AG121" s="101"/>
      <c r="AH121" s="101"/>
      <c r="AI121" s="779"/>
      <c r="AJ121" s="779"/>
      <c r="AK121" s="779"/>
      <c r="AL121" s="779"/>
      <c r="AM121" s="779"/>
      <c r="AN121" s="101"/>
      <c r="AO121" s="101"/>
      <c r="AP121" s="101"/>
      <c r="AQ121" s="101"/>
      <c r="AR121" s="101"/>
      <c r="AS121" s="779"/>
      <c r="AT121" s="779"/>
      <c r="AU121" s="779"/>
      <c r="AV121" s="779"/>
      <c r="AW121" s="779"/>
      <c r="AX121" s="101"/>
      <c r="AY121" s="101"/>
      <c r="AZ121" s="101"/>
      <c r="BA121" s="101"/>
      <c r="BB121" s="101"/>
      <c r="BC121" s="68"/>
      <c r="BF121" s="1181" t="s">
        <v>946</v>
      </c>
      <c r="BG121" s="1187" t="s">
        <v>941</v>
      </c>
      <c r="BH121" s="1187" cm="1" t="str">
        <f t="array" ref="BH121:BH121">BH119</f>
        <v>0</v>
      </c>
      <c r="BI121" s="1188"/>
      <c r="BJ121" s="1188"/>
    </row>
    <row s="789" customFormat="1" customHeight="1" ht="16.5">
      <c r="A122" s="1122" t="str">
        <f>"checkCosts_1."&amp;F122&amp;"."&amp;Y122</f>
        <v>checkCosts_1.2.1</v>
      </c>
      <c r="B122" s="789"/>
      <c r="C122" s="789"/>
      <c r="D122" s="789"/>
      <c r="E122" s="800">
        <v>17.1</v>
      </c>
      <c r="F122" s="919" cm="1" t="str">
        <f t="array" ref="F122:F122">OFFSET(G122,-1,-1)</f>
        <v>2</v>
      </c>
      <c r="G122" s="789"/>
      <c r="H122" s="210" cm="1" t="str">
        <f t="array" ref="H122:H122">AC122</f>
        <v>СН2</v>
      </c>
      <c r="I122" s="212" t="s">
        <v>926</v>
      </c>
      <c r="J122" s="789"/>
      <c r="K122" s="789"/>
      <c r="L122" s="789"/>
      <c r="M122" s="789"/>
      <c r="N122" s="789"/>
      <c r="O122" s="789"/>
      <c r="P122" s="789"/>
      <c r="Q122" s="789"/>
      <c r="R122" s="789"/>
      <c r="S122" s="155"/>
      <c r="T122" s="920">
        <f>AND(F122&gt;0,Y122&gt;0)</f>
        <v>1</v>
      </c>
      <c r="U122" s="789"/>
      <c r="V122" s="789"/>
      <c r="W122" s="168"/>
      <c r="X122" s="789"/>
      <c r="Y122" s="168" t="s">
        <v>335</v>
      </c>
      <c r="Z122" s="789"/>
      <c r="AA122" s="1412" t="s">
        <v>217</v>
      </c>
      <c r="AB122" s="213" t="str">
        <f>"1.5."&amp;Y122</f>
        <v>1.5.1</v>
      </c>
      <c r="AC122" s="1789" t="s">
        <v>988</v>
      </c>
      <c r="AD122" s="153" t="s">
        <v>805</v>
      </c>
      <c r="AE122" s="264">
        <f>AE123*AE124</f>
        <v>0</v>
      </c>
      <c r="AF122" s="1655"/>
      <c r="AG122" s="1655"/>
      <c r="AH122" s="264">
        <f>AH123*AH124</f>
        <v>0</v>
      </c>
      <c r="AI122" s="209">
        <v>297</v>
      </c>
      <c r="AJ122" s="209">
        <v>309</v>
      </c>
      <c r="AK122" s="209">
        <v>321</v>
      </c>
      <c r="AL122" s="209">
        <v>334</v>
      </c>
      <c r="AM122" s="209">
        <v>347</v>
      </c>
      <c r="AN122" s="1655"/>
      <c r="AO122" s="1655"/>
      <c r="AP122" s="1655"/>
      <c r="AQ122" s="1655"/>
      <c r="AR122" s="1655"/>
      <c r="AS122" s="264">
        <f>AS123*AS124</f>
        <v>267</v>
      </c>
      <c r="AT122" s="264">
        <f>AT123*AT124</f>
        <v>291</v>
      </c>
      <c r="AU122" s="264">
        <f>AU123*AU124</f>
        <v>305</v>
      </c>
      <c r="AV122" s="264">
        <f>AV123*AV124</f>
        <v>320</v>
      </c>
      <c r="AW122" s="264">
        <f>AW123*AW124</f>
        <v>336</v>
      </c>
      <c r="AX122" s="264">
        <f>AX123*AX124</f>
        <v>0</v>
      </c>
      <c r="AY122" s="264">
        <f>AY123*AY124</f>
        <v>0</v>
      </c>
      <c r="AZ122" s="264">
        <f>AZ123*AZ124</f>
        <v>0</v>
      </c>
      <c r="BA122" s="264">
        <f>BA123*BA124</f>
        <v>0</v>
      </c>
      <c r="BB122" s="264">
        <f>BB123*BB124</f>
        <v>0</v>
      </c>
      <c r="BC122" s="1730"/>
      <c r="BD122" s="789"/>
      <c r="BE122" s="789"/>
      <c r="BF122" s="1181" t="s">
        <v>940</v>
      </c>
      <c r="BG122" s="1187" t="s">
        <v>941</v>
      </c>
      <c r="BH122" s="1187" cm="1" t="str">
        <f t="array" ref="BH122:BH122">AC122</f>
        <v>СН2</v>
      </c>
      <c r="BI122" s="1188"/>
      <c r="BJ122" s="1188" t="b">
        <v>1</v>
      </c>
    </row>
    <row s="789" customFormat="1" customHeight="1" ht="16.5">
      <c r="A123" s="789"/>
      <c r="B123" s="789"/>
      <c r="C123" s="789"/>
      <c r="D123" s="789"/>
      <c r="E123" s="800">
        <v>17.1</v>
      </c>
      <c r="F123" s="919" cm="1" t="str">
        <f t="array" ref="F123:F123">OFFSET(G123,-1,-1)</f>
        <v>2</v>
      </c>
      <c r="G123" s="789"/>
      <c r="H123" s="210" cm="1" t="str">
        <f t="array" ref="H123:H123">H122</f>
        <v>СН2</v>
      </c>
      <c r="I123" s="789"/>
      <c r="J123" s="789"/>
      <c r="K123" s="789"/>
      <c r="L123" s="789"/>
      <c r="M123" s="789"/>
      <c r="N123" s="789"/>
      <c r="O123" s="789"/>
      <c r="P123" s="789"/>
      <c r="Q123" s="789"/>
      <c r="R123" s="789"/>
      <c r="S123" s="155"/>
      <c r="T123" s="920" cm="1" t="str">
        <f t="array" ref="T123:T123">T122</f>
        <v>true</v>
      </c>
      <c r="U123" s="789"/>
      <c r="V123" s="789"/>
      <c r="W123" s="789"/>
      <c r="X123" s="789"/>
      <c r="Y123" s="789"/>
      <c r="Z123" s="789"/>
      <c r="AA123" s="1412"/>
      <c r="AB123" s="812" t="str">
        <f>AB122&amp;".1"</f>
        <v>1.5.1.1</v>
      </c>
      <c r="AC123" s="781" t="s">
        <v>942</v>
      </c>
      <c r="AD123" s="171" t="s">
        <v>943</v>
      </c>
      <c r="AE123" s="1790"/>
      <c r="AF123" s="1376">
        <f>IF(AF124=0,0,AF122/AF124)</f>
        <v>0</v>
      </c>
      <c r="AG123" s="1376">
        <f>IF(AG124=0,0,AG122/AG124)</f>
        <v>0</v>
      </c>
      <c r="AH123" s="1790"/>
      <c r="AI123" s="1376">
        <f>IF(AI124=0,0,AI122/AI124)</f>
        <v>5.10835913312694</v>
      </c>
      <c r="AJ123" s="1376">
        <f>IF(AJ124=0,0,AJ122/AJ124)</f>
        <v>5.31475748194014</v>
      </c>
      <c r="AK123" s="1376">
        <f>IF(AK124=0,0,AK122/AK124)</f>
        <v>5.52115583075335</v>
      </c>
      <c r="AL123" s="1376">
        <f>IF(AL124=0,0,AL122/AL124)</f>
        <v>5.74475404196766</v>
      </c>
      <c r="AM123" s="1376">
        <f>IF(AM124=0,0,AM122/AM124)</f>
        <v>5.96835225318197</v>
      </c>
      <c r="AN123" s="1376">
        <f>IF(AN124=0,0,AN122/AN124)</f>
        <v>0</v>
      </c>
      <c r="AO123" s="1376">
        <f>IF(AO124=0,0,AO122/AO124)</f>
        <v>0</v>
      </c>
      <c r="AP123" s="1376">
        <f>IF(AP124=0,0,AP122/AP124)</f>
        <v>0</v>
      </c>
      <c r="AQ123" s="1376">
        <f>IF(AQ124=0,0,AQ122/AQ124)</f>
        <v>0</v>
      </c>
      <c r="AR123" s="1376">
        <f>IF(AR124=0,0,AR122/AR124)</f>
        <v>0</v>
      </c>
      <c r="AS123" s="779">
        <v>4.59236326109391</v>
      </c>
      <c r="AT123" s="779">
        <v>5.00515995872033</v>
      </c>
      <c r="AU123" s="779">
        <v>5.24595803233574</v>
      </c>
      <c r="AV123" s="779">
        <v>5.50395596835225</v>
      </c>
      <c r="AW123" s="779">
        <v>5.77915376676987</v>
      </c>
      <c r="AX123" s="1790"/>
      <c r="AY123" s="1790"/>
      <c r="AZ123" s="1790"/>
      <c r="BA123" s="1790"/>
      <c r="BB123" s="1790"/>
      <c r="BC123" s="1741"/>
      <c r="BD123" s="789"/>
      <c r="BE123" s="789"/>
      <c r="BF123" s="1181" t="s">
        <v>944</v>
      </c>
      <c r="BG123" s="1187" t="s">
        <v>941</v>
      </c>
      <c r="BH123" s="1187" cm="1" t="str">
        <f t="array" ref="BH123:BH123">BH122</f>
        <v>СН2</v>
      </c>
      <c r="BI123" s="1188"/>
      <c r="BJ123" s="1188"/>
    </row>
    <row s="789" customFormat="1" customHeight="1" ht="16.5">
      <c r="A124" s="1122" t="str">
        <f>"checkVolume_1."&amp;F124&amp;"."&amp;Y122</f>
        <v>checkVolume_1.2.1</v>
      </c>
      <c r="B124" s="789"/>
      <c r="C124" s="789"/>
      <c r="D124" s="789"/>
      <c r="E124" s="800">
        <v>17.1</v>
      </c>
      <c r="F124" s="919" cm="1" t="str">
        <f t="array" ref="F124:F124">OFFSET(G124,-1,-1)</f>
        <v>2</v>
      </c>
      <c r="G124" s="789"/>
      <c r="H124" s="210" cm="1" t="str">
        <f t="array" ref="H124:H124">H122</f>
        <v>СН2</v>
      </c>
      <c r="I124" s="789"/>
      <c r="J124" s="789"/>
      <c r="K124" s="789"/>
      <c r="L124" s="789"/>
      <c r="M124" s="789"/>
      <c r="N124" s="789"/>
      <c r="O124" s="789"/>
      <c r="P124" s="789"/>
      <c r="Q124" s="789"/>
      <c r="R124" s="789"/>
      <c r="S124" s="155"/>
      <c r="T124" s="920" cm="1" t="str">
        <f t="array" ref="T124:T124">T122</f>
        <v>true</v>
      </c>
      <c r="U124" s="789"/>
      <c r="V124" s="789"/>
      <c r="W124" s="789"/>
      <c r="X124" s="789"/>
      <c r="Y124" s="789"/>
      <c r="Z124" s="789"/>
      <c r="AA124" s="1412"/>
      <c r="AB124" s="812" t="str">
        <f>AB122&amp;".2"</f>
        <v>1.5.1.2</v>
      </c>
      <c r="AC124" s="781" t="s">
        <v>945</v>
      </c>
      <c r="AD124" s="171" t="s">
        <v>728</v>
      </c>
      <c r="AE124" s="1790"/>
      <c r="AF124" s="1790"/>
      <c r="AG124" s="1790"/>
      <c r="AH124" s="1790"/>
      <c r="AI124" s="779">
        <v>58.14</v>
      </c>
      <c r="AJ124" s="779">
        <v>58.14</v>
      </c>
      <c r="AK124" s="779">
        <v>58.14</v>
      </c>
      <c r="AL124" s="779">
        <v>58.14</v>
      </c>
      <c r="AM124" s="779">
        <v>58.14</v>
      </c>
      <c r="AN124" s="1790"/>
      <c r="AO124" s="1790"/>
      <c r="AP124" s="1790"/>
      <c r="AQ124" s="1790"/>
      <c r="AR124" s="1790"/>
      <c r="AS124" s="779">
        <v>58.14</v>
      </c>
      <c r="AT124" s="779">
        <v>58.14</v>
      </c>
      <c r="AU124" s="779">
        <v>58.14</v>
      </c>
      <c r="AV124" s="779">
        <v>58.14</v>
      </c>
      <c r="AW124" s="779">
        <v>58.14</v>
      </c>
      <c r="AX124" s="1790"/>
      <c r="AY124" s="1790"/>
      <c r="AZ124" s="1790"/>
      <c r="BA124" s="1790"/>
      <c r="BB124" s="1790"/>
      <c r="BC124" s="1741"/>
      <c r="BD124" s="789"/>
      <c r="BE124" s="789"/>
      <c r="BF124" s="1181" t="s">
        <v>946</v>
      </c>
      <c r="BG124" s="1187" t="s">
        <v>941</v>
      </c>
      <c r="BH124" s="1187" cm="1" t="str">
        <f t="array" ref="BH124:BH124">BH122</f>
        <v>СН2</v>
      </c>
      <c r="BI124" s="1188"/>
      <c r="BJ124" s="1188"/>
    </row>
    <row s="962" customFormat="1" customHeight="1" ht="16.5">
      <c r="A125" s="962"/>
      <c r="B125" s="962"/>
      <c r="C125" s="962"/>
      <c r="D125" s="962"/>
      <c r="E125" s="794">
        <v>17.1</v>
      </c>
      <c r="F125" s="919" cm="1" t="str">
        <f t="array" ref="F125:F125">OFFSET(G125,-1,-1)</f>
        <v>2</v>
      </c>
      <c r="G125" s="962"/>
      <c r="H125" s="962"/>
      <c r="I125" s="962"/>
      <c r="J125" s="962"/>
      <c r="K125" s="962"/>
      <c r="L125" s="962"/>
      <c r="M125" s="962"/>
      <c r="N125" s="962"/>
      <c r="O125" s="962"/>
      <c r="P125" s="962"/>
      <c r="Q125" s="962"/>
      <c r="R125" s="962"/>
      <c r="S125" s="962"/>
      <c r="T125" s="920">
        <f>F125&gt;0</f>
        <v>1</v>
      </c>
      <c r="U125" s="962"/>
      <c r="V125" s="962"/>
      <c r="W125" s="371" t="s">
        <v>947</v>
      </c>
      <c r="X125" s="962"/>
      <c r="Y125" s="962"/>
      <c r="Z125" s="962"/>
      <c r="AA125" s="962"/>
      <c r="AB125" s="813"/>
      <c r="AC125" s="780" t="s">
        <v>235</v>
      </c>
      <c r="AD125" s="780"/>
      <c r="AE125" s="780"/>
      <c r="AF125" s="780"/>
      <c r="AG125" s="780"/>
      <c r="AH125" s="780"/>
      <c r="AI125" s="780"/>
      <c r="AJ125" s="780"/>
      <c r="AK125" s="780"/>
      <c r="AL125" s="780"/>
      <c r="AM125" s="780"/>
      <c r="AN125" s="780"/>
      <c r="AO125" s="780"/>
      <c r="AP125" s="780"/>
      <c r="AQ125" s="780"/>
      <c r="AR125" s="780"/>
      <c r="AS125" s="780"/>
      <c r="AT125" s="780"/>
      <c r="AU125" s="780"/>
      <c r="AV125" s="780"/>
      <c r="AW125" s="780"/>
      <c r="AX125" s="780"/>
      <c r="AY125" s="780"/>
      <c r="AZ125" s="780"/>
      <c r="BA125" s="780"/>
      <c r="BB125" s="780"/>
      <c r="BC125" s="1092"/>
      <c r="BD125" s="962"/>
      <c r="BE125" s="962"/>
      <c r="BF125" s="1170"/>
      <c r="BG125" s="1170"/>
      <c r="BH125" s="1170"/>
      <c r="BI125" s="1186" t="s">
        <v>941</v>
      </c>
      <c r="BJ125" s="1186"/>
    </row>
    <row s="789" customFormat="1" customHeight="1" ht="16.5">
      <c r="A126" s="1459"/>
      <c r="B126" s="1459"/>
      <c r="C126" s="1459"/>
      <c r="D126" s="1459"/>
      <c r="E126" s="800">
        <v>17.1</v>
      </c>
      <c r="F126" s="919" cm="1" t="str">
        <f t="array" ref="F126:F126">OFFSET(G126,-1,-1)</f>
        <v>2</v>
      </c>
      <c r="G126" s="1459"/>
      <c r="H126" s="1459"/>
      <c r="I126" s="1459"/>
      <c r="J126" s="1459"/>
      <c r="K126" s="1459"/>
      <c r="L126" s="1459"/>
      <c r="M126" s="1459"/>
      <c r="N126" s="1459"/>
      <c r="O126" s="1459"/>
      <c r="P126" s="1459"/>
      <c r="Q126" s="1459"/>
      <c r="R126" s="1459"/>
      <c r="S126" s="155"/>
      <c r="T126" s="920">
        <f>F126&gt;0</f>
        <v>1</v>
      </c>
      <c r="U126" s="1459"/>
      <c r="V126" s="1459"/>
      <c r="W126" s="1459"/>
      <c r="X126" s="1459"/>
      <c r="Y126" s="1459"/>
      <c r="Z126" s="1459"/>
      <c r="AA126" s="1459"/>
      <c r="AB126" s="782"/>
      <c r="AC126" s="340" t="s">
        <v>948</v>
      </c>
      <c r="AD126" s="341"/>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1093"/>
      <c r="BD126" s="1459"/>
      <c r="BE126" s="1459"/>
      <c r="BF126" s="1181"/>
      <c r="BG126" s="1187"/>
      <c r="BH126" s="1187"/>
      <c r="BI126" s="1188"/>
      <c r="BJ126" s="1188"/>
    </row>
    <row s="789" customFormat="1" customHeight="1" ht="16.5" hidden="1">
      <c r="E127" s="800">
        <v>17.1</v>
      </c>
      <c r="F127" s="919" cm="1" t="str">
        <f t="array" ref="F127:F127">OFFSET(G127,-1,-1)</f>
        <v>2</v>
      </c>
      <c r="H127" s="210" cm="1" t="str">
        <f t="array" ref="H127:H127">AC127</f>
        <v>0</v>
      </c>
      <c r="I127" s="212" t="s">
        <v>926</v>
      </c>
      <c r="S127" s="155"/>
      <c r="T127" s="920">
        <f>AND(F127&gt;0,Y127&gt;0)</f>
        <v>0</v>
      </c>
      <c r="W127" s="168" t="s">
        <v>233</v>
      </c>
      <c r="Y127" s="168">
        <v>0</v>
      </c>
      <c r="AA127" s="1412" t="s">
        <v>217</v>
      </c>
      <c r="AB127" s="213" t="str">
        <f>"1.6."&amp;Y127</f>
        <v>1.6.0</v>
      </c>
      <c r="AC127" s="100"/>
      <c r="AD127" s="153" t="s">
        <v>805</v>
      </c>
      <c r="AE127" s="264">
        <f>AE129+AE131</f>
        <v>0</v>
      </c>
      <c r="AF127" s="264">
        <f>AF129+AF131</f>
        <v>0</v>
      </c>
      <c r="AG127" s="264">
        <f>AG129+AG131</f>
        <v>0</v>
      </c>
      <c r="AH127" s="264">
        <f>AH129+AH131</f>
        <v>0</v>
      </c>
      <c r="AI127" s="264">
        <f>AI129+AI131</f>
        <v>0</v>
      </c>
      <c r="AJ127" s="209">
        <f>AJ129+AJ131</f>
        <v>0</v>
      </c>
      <c r="AK127" s="209">
        <f>AK129+AK131</f>
        <v>0</v>
      </c>
      <c r="AL127" s="209">
        <f>AL129+AL131</f>
        <v>0</v>
      </c>
      <c r="AM127" s="209">
        <f>AM129+AM131</f>
        <v>0</v>
      </c>
      <c r="AN127" s="58">
        <f>AN129+AN131</f>
        <v>0</v>
      </c>
      <c r="AO127" s="58">
        <f>AO129+AO131</f>
        <v>0</v>
      </c>
      <c r="AP127" s="58">
        <f>AP129+AP131</f>
        <v>0</v>
      </c>
      <c r="AQ127" s="58">
        <f>AQ129+AQ131</f>
        <v>0</v>
      </c>
      <c r="AR127" s="58">
        <f>AR129+AR131</f>
        <v>0</v>
      </c>
      <c r="AS127" s="264">
        <f>AS129+AS131</f>
        <v>0</v>
      </c>
      <c r="AT127" s="209">
        <f>AT129+AT131</f>
        <v>0</v>
      </c>
      <c r="AU127" s="209">
        <f>AU129+AU131</f>
        <v>0</v>
      </c>
      <c r="AV127" s="209">
        <f>AV129+AV131</f>
        <v>0</v>
      </c>
      <c r="AW127" s="209">
        <f>AW129+AW131</f>
        <v>0</v>
      </c>
      <c r="AX127" s="58">
        <f>AX129+AX131</f>
        <v>0</v>
      </c>
      <c r="AY127" s="58">
        <f>AY129+AY131</f>
        <v>0</v>
      </c>
      <c r="AZ127" s="58">
        <f>AZ129+AZ131</f>
        <v>0</v>
      </c>
      <c r="BA127" s="58">
        <f>BA129+BA131</f>
        <v>0</v>
      </c>
      <c r="BB127" s="58">
        <f>BB129+BB131</f>
        <v>0</v>
      </c>
      <c r="BC127" s="73"/>
      <c r="BF127" s="1181" t="s">
        <v>949</v>
      </c>
      <c r="BG127" s="1187" t="s">
        <v>950</v>
      </c>
      <c r="BH127" s="1187" cm="1" t="str">
        <f t="array" ref="BH127:BH127">AC127</f>
        <v>0</v>
      </c>
      <c r="BI127" s="1188"/>
      <c r="BJ127" s="1188" t="b">
        <v>1</v>
      </c>
    </row>
    <row s="789" customFormat="1" customHeight="1" ht="16.5" hidden="1">
      <c r="E128" s="800">
        <v>17.1</v>
      </c>
      <c r="F128" s="919" cm="1" t="str">
        <f t="array" ref="F128:F128">OFFSET(G128,-1,-1)</f>
        <v>2</v>
      </c>
      <c r="H128" s="210" cm="1" t="str">
        <f t="array" ref="H128:H128">H127</f>
        <v>0</v>
      </c>
      <c r="S128" s="155"/>
      <c r="T128" s="920" cm="1" t="str">
        <f t="array" ref="T128:T128">T127</f>
        <v>false</v>
      </c>
      <c r="AA128" s="1412"/>
      <c r="AB128" s="213" t="str">
        <f>AB127&amp;".1"</f>
        <v>1.6.0.1</v>
      </c>
      <c r="AC128" s="273" t="s">
        <v>942</v>
      </c>
      <c r="AD128" s="153" t="s">
        <v>943</v>
      </c>
      <c r="AE128" s="58"/>
      <c r="AF128" s="264">
        <f>IF(AF130=0,0,AF129/AF130)</f>
        <v>0</v>
      </c>
      <c r="AG128" s="264">
        <f>IF(AG130=0,0,AG129/AG130)</f>
        <v>0</v>
      </c>
      <c r="AH128" s="58"/>
      <c r="AI128" s="264">
        <f>IF(AI130=0,0,AI129/AI130)</f>
        <v>0</v>
      </c>
      <c r="AJ128" s="264">
        <f>IF(AJ130=0,0,AJ129/AJ130)</f>
        <v>0</v>
      </c>
      <c r="AK128" s="264">
        <f>IF(AK130=0,0,AK129/AK130)</f>
        <v>0</v>
      </c>
      <c r="AL128" s="264">
        <f>IF(AL130=0,0,AL129/AL130)</f>
        <v>0</v>
      </c>
      <c r="AM128" s="264">
        <f>IF(AM130=0,0,AM129/AM130)</f>
        <v>0</v>
      </c>
      <c r="AN128" s="264">
        <f>IF(AN130=0,0,AN129/AN130)</f>
        <v>0</v>
      </c>
      <c r="AO128" s="264">
        <f>IF(AO130=0,0,AO129/AO130)</f>
        <v>0</v>
      </c>
      <c r="AP128" s="264">
        <f>IF(AP130=0,0,AP129/AP130)</f>
        <v>0</v>
      </c>
      <c r="AQ128" s="264">
        <f>IF(AQ130=0,0,AQ129/AQ130)</f>
        <v>0</v>
      </c>
      <c r="AR128" s="264">
        <f>IF(AR130=0,0,AR129/AR130)</f>
        <v>0</v>
      </c>
      <c r="AS128" s="209"/>
      <c r="AT128" s="209"/>
      <c r="AU128" s="209"/>
      <c r="AV128" s="209"/>
      <c r="AW128" s="209"/>
      <c r="AX128" s="58"/>
      <c r="AY128" s="58"/>
      <c r="AZ128" s="58"/>
      <c r="BA128" s="58"/>
      <c r="BB128" s="58"/>
      <c r="BC128" s="73"/>
      <c r="BF128" s="1181" t="s">
        <v>944</v>
      </c>
      <c r="BG128" s="1187" t="s">
        <v>950</v>
      </c>
      <c r="BH128" s="1187" cm="1" t="str">
        <f t="array" ref="BH128:BH128">BH127</f>
        <v>0</v>
      </c>
      <c r="BI128" s="1188"/>
      <c r="BJ128" s="1188"/>
    </row>
    <row s="789" customFormat="1" customHeight="1" ht="16.5" hidden="1">
      <c r="A129" s="1122" t="str">
        <f>"checkCosts_2."&amp;F129&amp;"."&amp;Y127</f>
        <v>checkCosts_2.2.0</v>
      </c>
      <c r="E129" s="800">
        <v>17.1</v>
      </c>
      <c r="F129" s="919" cm="1" t="str">
        <f t="array" ref="F129:F129">OFFSET(G129,-1,-1)</f>
        <v>2</v>
      </c>
      <c r="H129" s="210" cm="1" t="str">
        <f t="array" ref="H129:H129">H127</f>
        <v>0</v>
      </c>
      <c r="S129" s="155"/>
      <c r="T129" s="920" cm="1" t="str">
        <f t="array" ref="T129:T129">T127</f>
        <v>false</v>
      </c>
      <c r="AA129" s="1412"/>
      <c r="AB129" s="213" t="str">
        <f>AB127&amp;".2"</f>
        <v>1.6.0.2</v>
      </c>
      <c r="AC129" s="273" t="s">
        <v>951</v>
      </c>
      <c r="AD129" s="153" t="s">
        <v>805</v>
      </c>
      <c r="AE129" s="58"/>
      <c r="AF129" s="58"/>
      <c r="AG129" s="58"/>
      <c r="AH129" s="58"/>
      <c r="AI129" s="209"/>
      <c r="AJ129" s="209"/>
      <c r="AK129" s="209"/>
      <c r="AL129" s="209"/>
      <c r="AM129" s="209"/>
      <c r="AN129" s="58"/>
      <c r="AO129" s="58"/>
      <c r="AP129" s="58"/>
      <c r="AQ129" s="58"/>
      <c r="AR129" s="58"/>
      <c r="AS129" s="209"/>
      <c r="AT129" s="209"/>
      <c r="AU129" s="209"/>
      <c r="AV129" s="209"/>
      <c r="AW129" s="209"/>
      <c r="AX129" s="58"/>
      <c r="AY129" s="58"/>
      <c r="AZ129" s="58"/>
      <c r="BA129" s="58"/>
      <c r="BB129" s="58"/>
      <c r="BC129" s="73"/>
      <c r="BF129" s="1181" t="s">
        <v>940</v>
      </c>
      <c r="BG129" s="1187" t="s">
        <v>950</v>
      </c>
      <c r="BH129" s="1187" cm="1" t="str">
        <f t="array" ref="BH129:BH129">BH127</f>
        <v>0</v>
      </c>
      <c r="BI129" s="1188"/>
      <c r="BJ129" s="1188"/>
    </row>
    <row s="789" customFormat="1" customHeight="1" ht="16.5" hidden="1">
      <c r="A130" s="1122" t="str">
        <f>"checkVolume_2."&amp;F130&amp;"."&amp;Y127</f>
        <v>checkVolume_2.2.0</v>
      </c>
      <c r="E130" s="800">
        <v>17.1</v>
      </c>
      <c r="F130" s="919" cm="1" t="str">
        <f t="array" ref="F130:F130">OFFSET(G130,-1,-1)</f>
        <v>2</v>
      </c>
      <c r="H130" s="210" cm="1" t="str">
        <f t="array" ref="H130:H130">H129</f>
        <v>0</v>
      </c>
      <c r="S130" s="155"/>
      <c r="T130" s="920" cm="1" t="str">
        <f t="array" ref="T130:T130">T129</f>
        <v>false</v>
      </c>
      <c r="AA130" s="1412"/>
      <c r="AB130" s="213" t="str">
        <f>AB127&amp;".2.1"</f>
        <v>1.6.0.2.1</v>
      </c>
      <c r="AC130" s="415" t="s">
        <v>945</v>
      </c>
      <c r="AD130" s="167" t="s">
        <v>728</v>
      </c>
      <c r="AE130" s="58"/>
      <c r="AF130" s="58"/>
      <c r="AG130" s="58"/>
      <c r="AH130" s="58"/>
      <c r="AI130" s="209"/>
      <c r="AJ130" s="209"/>
      <c r="AK130" s="209"/>
      <c r="AL130" s="209"/>
      <c r="AM130" s="209"/>
      <c r="AN130" s="58"/>
      <c r="AO130" s="58"/>
      <c r="AP130" s="58"/>
      <c r="AQ130" s="58"/>
      <c r="AR130" s="58"/>
      <c r="AS130" s="209"/>
      <c r="AT130" s="209"/>
      <c r="AU130" s="209"/>
      <c r="AV130" s="209"/>
      <c r="AW130" s="209"/>
      <c r="AX130" s="58"/>
      <c r="AY130" s="58"/>
      <c r="AZ130" s="58"/>
      <c r="BA130" s="58"/>
      <c r="BB130" s="58"/>
      <c r="BC130" s="73"/>
      <c r="BF130" s="1181" t="s">
        <v>946</v>
      </c>
      <c r="BG130" s="1187" t="s">
        <v>950</v>
      </c>
      <c r="BH130" s="1187" cm="1" t="str">
        <f t="array" ref="BH130:BH130">BH129</f>
        <v>0</v>
      </c>
      <c r="BI130" s="1188"/>
      <c r="BJ130" s="1188"/>
    </row>
    <row s="789" customFormat="1" customHeight="1" ht="16.5" hidden="1">
      <c r="A131" s="1122" t="str">
        <f>"checkCosts_3."&amp;F131&amp;"."&amp;Y127</f>
        <v>checkCosts_3.2.0</v>
      </c>
      <c r="E131" s="800">
        <v>17.1</v>
      </c>
      <c r="F131" s="919" cm="1" t="str">
        <f t="array" ref="F131:F131">OFFSET(G131,-1,-1)</f>
        <v>2</v>
      </c>
      <c r="H131" s="210" cm="1" t="str">
        <f t="array" ref="H131:H131">H130</f>
        <v>0</v>
      </c>
      <c r="S131" s="155"/>
      <c r="T131" s="920" cm="1" t="str">
        <f t="array" ref="T131:T131">T130</f>
        <v>false</v>
      </c>
      <c r="AA131" s="1412"/>
      <c r="AB131" s="213" t="str">
        <f>AB127&amp;".3"</f>
        <v>1.6.0.3</v>
      </c>
      <c r="AC131" s="273" t="s">
        <v>952</v>
      </c>
      <c r="AD131" s="153" t="s">
        <v>953</v>
      </c>
      <c r="AE131" s="58"/>
      <c r="AF131" s="58"/>
      <c r="AG131" s="58"/>
      <c r="AH131" s="58"/>
      <c r="AI131" s="209"/>
      <c r="AJ131" s="209"/>
      <c r="AK131" s="209"/>
      <c r="AL131" s="209"/>
      <c r="AM131" s="209"/>
      <c r="AN131" s="58"/>
      <c r="AO131" s="58"/>
      <c r="AP131" s="58"/>
      <c r="AQ131" s="58"/>
      <c r="AR131" s="58"/>
      <c r="AS131" s="209"/>
      <c r="AT131" s="209"/>
      <c r="AU131" s="209"/>
      <c r="AV131" s="209"/>
      <c r="AW131" s="209"/>
      <c r="AX131" s="58"/>
      <c r="AY131" s="58"/>
      <c r="AZ131" s="58"/>
      <c r="BA131" s="58"/>
      <c r="BB131" s="58"/>
      <c r="BC131" s="73"/>
      <c r="BF131" s="1181" t="s">
        <v>954</v>
      </c>
      <c r="BG131" s="1187" t="s">
        <v>950</v>
      </c>
      <c r="BH131" s="1187" cm="1" t="str">
        <f t="array" ref="BH131:BH131">BH130</f>
        <v>0</v>
      </c>
      <c r="BI131" s="1188"/>
      <c r="BJ131" s="1188"/>
    </row>
    <row s="789" customFormat="1" customHeight="1" ht="16.5" hidden="1">
      <c r="A132" s="1122" t="str">
        <f>"checkVolume_3."&amp;F132&amp;"."&amp;Y127</f>
        <v>checkVolume_3.2.0</v>
      </c>
      <c r="E132" s="800">
        <v>17.1</v>
      </c>
      <c r="F132" s="919" cm="1" t="str">
        <f t="array" ref="F132:F132">OFFSET(G132,-1,-1)</f>
        <v>2</v>
      </c>
      <c r="H132" s="210" cm="1" t="str">
        <f t="array" ref="H132:H132">H131</f>
        <v>0</v>
      </c>
      <c r="S132" s="155"/>
      <c r="T132" s="920" cm="1" t="str">
        <f t="array" ref="T132:T132">T131</f>
        <v>false</v>
      </c>
      <c r="AA132" s="1412"/>
      <c r="AB132" s="812" t="str">
        <f>AB127&amp;".3.1"</f>
        <v>1.6.0.3.1</v>
      </c>
      <c r="AC132" s="778" t="s">
        <v>955</v>
      </c>
      <c r="AD132" s="171" t="s">
        <v>956</v>
      </c>
      <c r="AE132" s="101"/>
      <c r="AF132" s="101"/>
      <c r="AG132" s="101"/>
      <c r="AH132" s="101"/>
      <c r="AI132" s="779"/>
      <c r="AJ132" s="779"/>
      <c r="AK132" s="779"/>
      <c r="AL132" s="779"/>
      <c r="AM132" s="779"/>
      <c r="AN132" s="101"/>
      <c r="AO132" s="101"/>
      <c r="AP132" s="101"/>
      <c r="AQ132" s="101"/>
      <c r="AR132" s="101"/>
      <c r="AS132" s="779"/>
      <c r="AT132" s="779"/>
      <c r="AU132" s="779"/>
      <c r="AV132" s="779"/>
      <c r="AW132" s="779"/>
      <c r="AX132" s="101"/>
      <c r="AY132" s="101"/>
      <c r="AZ132" s="101"/>
      <c r="BA132" s="101"/>
      <c r="BB132" s="101"/>
      <c r="BC132" s="68"/>
      <c r="BF132" s="1181" t="s">
        <v>957</v>
      </c>
      <c r="BG132" s="1187" t="s">
        <v>950</v>
      </c>
      <c r="BH132" s="1187" cm="1" t="str">
        <f t="array" ref="BH132:BH132">BH131</f>
        <v>0</v>
      </c>
      <c r="BI132" s="1188"/>
      <c r="BJ132" s="1188"/>
    </row>
    <row s="962" customFormat="1" customHeight="1" ht="16.5">
      <c r="A133" s="962"/>
      <c r="B133" s="962"/>
      <c r="C133" s="962"/>
      <c r="D133" s="962"/>
      <c r="E133" s="794">
        <v>17.1</v>
      </c>
      <c r="F133" s="919" cm="1" t="str">
        <f t="array" ref="F133:F133">OFFSET(G133,-1,-1)</f>
        <v>2</v>
      </c>
      <c r="G133" s="962"/>
      <c r="H133" s="962"/>
      <c r="I133" s="962"/>
      <c r="J133" s="962"/>
      <c r="K133" s="962"/>
      <c r="L133" s="962"/>
      <c r="M133" s="962"/>
      <c r="N133" s="962"/>
      <c r="O133" s="962"/>
      <c r="P133" s="962"/>
      <c r="Q133" s="962"/>
      <c r="R133" s="962"/>
      <c r="S133" s="962"/>
      <c r="T133" s="920">
        <f>F133&gt;0</f>
        <v>1</v>
      </c>
      <c r="U133" s="962"/>
      <c r="V133" s="962"/>
      <c r="W133" s="371" t="s">
        <v>958</v>
      </c>
      <c r="X133" s="962"/>
      <c r="Y133" s="962"/>
      <c r="Z133" s="962"/>
      <c r="AA133" s="962"/>
      <c r="AB133" s="813"/>
      <c r="AC133" s="780" t="s">
        <v>959</v>
      </c>
      <c r="AD133" s="780"/>
      <c r="AE133" s="780"/>
      <c r="AF133" s="780"/>
      <c r="AG133" s="780"/>
      <c r="AH133" s="780"/>
      <c r="AI133" s="780"/>
      <c r="AJ133" s="780"/>
      <c r="AK133" s="780"/>
      <c r="AL133" s="780"/>
      <c r="AM133" s="780"/>
      <c r="AN133" s="780"/>
      <c r="AO133" s="780"/>
      <c r="AP133" s="780"/>
      <c r="AQ133" s="780"/>
      <c r="AR133" s="780"/>
      <c r="AS133" s="780"/>
      <c r="AT133" s="780"/>
      <c r="AU133" s="780"/>
      <c r="AV133" s="780"/>
      <c r="AW133" s="780"/>
      <c r="AX133" s="780"/>
      <c r="AY133" s="780"/>
      <c r="AZ133" s="780"/>
      <c r="BA133" s="780"/>
      <c r="BB133" s="780"/>
      <c r="BC133" s="1092"/>
      <c r="BD133" s="962"/>
      <c r="BE133" s="962"/>
      <c r="BF133" s="1170"/>
      <c r="BG133" s="1170"/>
      <c r="BH133" s="1170"/>
      <c r="BI133" s="1186" t="s">
        <v>950</v>
      </c>
      <c r="BJ133" s="1186"/>
    </row>
    <row s="962" customFormat="1" customHeight="1" ht="12" hidden="1">
      <c r="A134" s="962"/>
      <c r="B134" s="962"/>
      <c r="C134" s="962"/>
      <c r="D134" s="962"/>
      <c r="E134" s="794">
        <v>0</v>
      </c>
      <c r="F134" s="919" cm="1" t="str">
        <f t="array" ref="F134:F134">OFFSET(G134,-1,-1)</f>
        <v>2</v>
      </c>
      <c r="G134" s="962"/>
      <c r="H134" s="962"/>
      <c r="I134" s="962"/>
      <c r="J134" s="962"/>
      <c r="K134" s="962"/>
      <c r="L134" s="962"/>
      <c r="M134" s="962"/>
      <c r="N134" s="962"/>
      <c r="O134" s="962"/>
      <c r="P134" s="962"/>
      <c r="Q134" s="962"/>
      <c r="R134" s="962"/>
      <c r="S134" s="962"/>
      <c r="T134" s="920">
        <f>F134&gt;0</f>
        <v>1</v>
      </c>
      <c r="U134" s="962"/>
      <c r="V134" s="962"/>
      <c r="W134" s="962"/>
      <c r="X134" s="962"/>
      <c r="Y134" s="962"/>
      <c r="Z134" s="962"/>
      <c r="AA134" s="962"/>
      <c r="AB134" s="962"/>
      <c r="AC134" s="962"/>
      <c r="AD134" s="962"/>
      <c r="AE134" s="962"/>
      <c r="AF134" s="962"/>
      <c r="AG134" s="962"/>
      <c r="AH134" s="962"/>
      <c r="AI134" s="962"/>
      <c r="AJ134" s="962"/>
      <c r="AK134" s="962"/>
      <c r="AL134" s="962"/>
      <c r="AM134" s="962"/>
      <c r="AN134" s="962"/>
      <c r="AO134" s="962"/>
      <c r="AP134" s="962"/>
      <c r="AQ134" s="962"/>
      <c r="AR134" s="962"/>
      <c r="AS134" s="962"/>
      <c r="AT134" s="962"/>
      <c r="AU134" s="962"/>
      <c r="AV134" s="962"/>
      <c r="AW134" s="962"/>
      <c r="AX134" s="962"/>
      <c r="AY134" s="962"/>
      <c r="AZ134" s="962"/>
      <c r="BA134" s="962"/>
      <c r="BB134" s="962"/>
      <c r="BC134" s="962"/>
      <c r="BD134" s="962"/>
      <c r="BE134" s="962"/>
      <c r="BF134" s="1170"/>
      <c r="BG134" s="1170"/>
      <c r="BH134" s="1170"/>
      <c r="BI134" s="1186"/>
      <c r="BJ134" s="1186"/>
    </row>
    <row s="220" customFormat="1" customHeight="1" ht="14.25">
      <c r="A135" s="220"/>
      <c r="B135" s="220"/>
      <c r="C135" s="220"/>
      <c r="D135" s="220"/>
      <c r="E135" s="921">
        <v>15</v>
      </c>
      <c r="F135" s="919" cm="1" t="str">
        <f t="array" ref="F135:F135">OFFSET(G135,-1,-1)</f>
        <v>2</v>
      </c>
      <c r="G135" s="190" t="s">
        <v>960</v>
      </c>
      <c r="H135" s="220"/>
      <c r="I135" s="212" t="s">
        <v>926</v>
      </c>
      <c r="J135" s="220"/>
      <c r="K135" s="220"/>
      <c r="L135" s="220"/>
      <c r="M135" s="220"/>
      <c r="N135" s="220"/>
      <c r="O135" s="220"/>
      <c r="P135" s="220"/>
      <c r="Q135" s="220"/>
      <c r="R135" s="220"/>
      <c r="S135" s="220"/>
      <c r="T135" s="920">
        <f>F135&gt;0</f>
        <v>1</v>
      </c>
      <c r="U135" s="220"/>
      <c r="V135" s="220"/>
      <c r="W135" s="220"/>
      <c r="X135" s="220"/>
      <c r="Y135" s="220"/>
      <c r="Z135" s="220"/>
      <c r="AA135" s="220"/>
      <c r="AB135" s="814">
        <v>2</v>
      </c>
      <c r="AC135" s="783" t="s">
        <v>961</v>
      </c>
      <c r="AD135" s="784" t="s">
        <v>805</v>
      </c>
      <c r="AE135" s="279">
        <f>SUMIF($I139:$I155,$I135,AE139:AE155)</f>
        <v>0</v>
      </c>
      <c r="AF135" s="279">
        <f>SUMIF($I139:$I155,$I135,AF139:AF155)</f>
        <v>0</v>
      </c>
      <c r="AG135" s="279">
        <f>SUMIF($I139:$I155,$I135,AG139:AG155)</f>
        <v>0</v>
      </c>
      <c r="AH135" s="279">
        <f>SUMIF($I139:$I155,$I135,AH139:AH155)</f>
        <v>0</v>
      </c>
      <c r="AI135" s="279">
        <f>SUMIF($I139:$I155,$I135,AI139:AI155)</f>
        <v>0</v>
      </c>
      <c r="AJ135" s="292">
        <f>SUMIF($I139:$I155,$I135,AJ139:AJ155)</f>
        <v>0</v>
      </c>
      <c r="AK135" s="292">
        <f>SUMIF($I139:$I155,$I135,AK139:AK155)</f>
        <v>0</v>
      </c>
      <c r="AL135" s="292">
        <f>SUMIF($I139:$I155,$I135,AL139:AL155)</f>
        <v>0</v>
      </c>
      <c r="AM135" s="292">
        <f>SUMIF($I139:$I155,$I135,AM139:AM155)</f>
        <v>0</v>
      </c>
      <c r="AN135" s="1793">
        <f>SUMIF($I139:$I155,$I135,AN139:AN155)</f>
        <v>0</v>
      </c>
      <c r="AO135" s="1793">
        <f>SUMIF($I139:$I155,$I135,AO139:AO155)</f>
        <v>0</v>
      </c>
      <c r="AP135" s="1793">
        <f>SUMIF($I139:$I155,$I135,AP139:AP155)</f>
        <v>0</v>
      </c>
      <c r="AQ135" s="1793">
        <f>SUMIF($I139:$I155,$I135,AQ139:AQ155)</f>
        <v>0</v>
      </c>
      <c r="AR135" s="1793">
        <f>SUMIF($I139:$I155,$I135,AR139:AR155)</f>
        <v>0</v>
      </c>
      <c r="AS135" s="279">
        <f>SUMIF($I139:$I155,$I135,AS139:AS155)</f>
        <v>0</v>
      </c>
      <c r="AT135" s="292">
        <f>SUMIF($I139:$I155,$I135,AT139:AT155)</f>
        <v>0</v>
      </c>
      <c r="AU135" s="292">
        <f>SUMIF($I139:$I155,$I135,AU139:AU155)</f>
        <v>0</v>
      </c>
      <c r="AV135" s="292">
        <f>SUMIF($I139:$I155,$I135,AV139:AV155)</f>
        <v>0</v>
      </c>
      <c r="AW135" s="292">
        <f>SUMIF($I139:$I155,$I135,AW139:AW155)</f>
        <v>0</v>
      </c>
      <c r="AX135" s="1793">
        <f>SUMIF($I139:$I155,$I135,AX139:AX155)</f>
        <v>0</v>
      </c>
      <c r="AY135" s="1793">
        <f>SUMIF($I139:$I155,$I135,AY139:AY155)</f>
        <v>0</v>
      </c>
      <c r="AZ135" s="1793">
        <f>SUMIF($I139:$I155,$I135,AZ139:AZ155)</f>
        <v>0</v>
      </c>
      <c r="BA135" s="1793">
        <f>SUMIF($I139:$I155,$I135,BA139:BA155)</f>
        <v>0</v>
      </c>
      <c r="BB135" s="1793">
        <f>SUMIF($I139:$I155,$I135,BB139:BB155)</f>
        <v>0</v>
      </c>
      <c r="BC135" s="1742"/>
      <c r="BD135" s="220"/>
      <c r="BE135" s="220"/>
      <c r="BF135" s="1189" t="s">
        <v>666</v>
      </c>
      <c r="BG135" s="1189"/>
      <c r="BH135" s="1189"/>
      <c r="BI135" s="1190"/>
      <c r="BJ135" s="1190"/>
    </row>
    <row s="220" customFormat="1" customHeight="1" ht="14.25" hidden="1">
      <c r="A136" s="220"/>
      <c r="B136" s="220"/>
      <c r="C136" s="220"/>
      <c r="D136" s="220"/>
      <c r="E136" s="921">
        <v>15</v>
      </c>
      <c r="F136" s="919" cm="1" t="str">
        <f t="array" ref="F136:F136">OFFSET(G136,-1,-1)</f>
        <v>2</v>
      </c>
      <c r="G136" s="190" t="s">
        <v>962</v>
      </c>
      <c r="H136" s="220"/>
      <c r="I136" s="220"/>
      <c r="J136" s="220"/>
      <c r="K136" s="220"/>
      <c r="L136" s="210" cm="1" t="str">
        <f t="array" ref="L136:L136">INDEX('Общие сведения'!$AK$169:$AK$218,MATCH($F136,'Общие сведения'!$Z$169:$Z$218,0))</f>
        <v>одноставочный</v>
      </c>
      <c r="M136" s="220"/>
      <c r="N136" s="220"/>
      <c r="O136" s="220"/>
      <c r="P136" s="220"/>
      <c r="Q136" s="220"/>
      <c r="R136" s="190" t="s">
        <v>963</v>
      </c>
      <c r="S136" s="220"/>
      <c r="T136" s="920">
        <f>AND(F136&gt;0,L136="двухставочный")</f>
        <v>0</v>
      </c>
      <c r="U136" s="220"/>
      <c r="V136" s="220"/>
      <c r="W136" s="220"/>
      <c r="X136" s="220"/>
      <c r="Y136" s="220"/>
      <c r="Z136" s="220"/>
      <c r="AA136" s="918" t="s">
        <v>964</v>
      </c>
      <c r="AB136" s="285" t="s">
        <v>964</v>
      </c>
      <c r="AC136" s="587" t="s">
        <v>965</v>
      </c>
      <c r="AD136" s="607" t="s">
        <v>805</v>
      </c>
      <c r="AE136" s="666">
        <f>_xlfn.SUMIFS(AE139:AE155,$AC139:$AC155,$AC136)</f>
        <v>0</v>
      </c>
      <c r="AF136" s="666">
        <f>_xlfn.SUMIFS(AF139:AF155,$AC139:$AC155,$AC136)</f>
        <v>0</v>
      </c>
      <c r="AG136" s="666">
        <f>_xlfn.SUMIFS(AG139:AG155,$AC139:$AC155,$AC136)</f>
        <v>0</v>
      </c>
      <c r="AH136" s="666">
        <f>_xlfn.SUMIFS(AH139:AH155,$AC139:$AC155,$AC136)</f>
        <v>0</v>
      </c>
      <c r="AI136" s="666">
        <f>_xlfn.SUMIFS(AI139:AI155,$AC139:$AC155,$AC136)</f>
        <v>0</v>
      </c>
      <c r="AJ136" s="608">
        <f>_xlfn.SUMIFS(AJ139:AJ155,$AC139:$AC155,$AC136)</f>
        <v>0</v>
      </c>
      <c r="AK136" s="608">
        <f>_xlfn.SUMIFS(AK139:AK155,$AC139:$AC155,$AC136)</f>
        <v>0</v>
      </c>
      <c r="AL136" s="608">
        <f>_xlfn.SUMIFS(AL139:AL155,$AC139:$AC155,$AC136)</f>
        <v>0</v>
      </c>
      <c r="AM136" s="608">
        <f>_xlfn.SUMIFS(AM139:AM155,$AC139:$AC155,$AC136)</f>
        <v>0</v>
      </c>
      <c r="AN136" s="65">
        <f>_xlfn.SUMIFS(AN139:AN155,$AC139:$AC155,$AC136)</f>
        <v>0</v>
      </c>
      <c r="AO136" s="65">
        <f>_xlfn.SUMIFS(AO139:AO155,$AC139:$AC155,$AC136)</f>
        <v>0</v>
      </c>
      <c r="AP136" s="65">
        <f>_xlfn.SUMIFS(AP139:AP155,$AC139:$AC155,$AC136)</f>
        <v>0</v>
      </c>
      <c r="AQ136" s="65">
        <f>_xlfn.SUMIFS(AQ139:AQ155,$AC139:$AC155,$AC136)</f>
        <v>0</v>
      </c>
      <c r="AR136" s="65">
        <f>_xlfn.SUMIFS(AR139:AR155,$AC139:$AC155,$AC136)</f>
        <v>0</v>
      </c>
      <c r="AS136" s="666">
        <f>_xlfn.SUMIFS(AS139:AS155,$AC139:$AC155,$AC136)</f>
        <v>0</v>
      </c>
      <c r="AT136" s="608">
        <f>_xlfn.SUMIFS(AT139:AT155,$AC139:$AC155,$AC136)</f>
        <v>0</v>
      </c>
      <c r="AU136" s="608">
        <f>_xlfn.SUMIFS(AU139:AU155,$AC139:$AC155,$AC136)</f>
        <v>0</v>
      </c>
      <c r="AV136" s="608">
        <f>_xlfn.SUMIFS(AV139:AV155,$AC139:$AC155,$AC136)</f>
        <v>0</v>
      </c>
      <c r="AW136" s="608">
        <f>_xlfn.SUMIFS(AW139:AW155,$AC139:$AC155,$AC136)</f>
        <v>0</v>
      </c>
      <c r="AX136" s="65">
        <f>_xlfn.SUMIFS(AX139:AX155,$AC139:$AC155,$AC136)</f>
        <v>0</v>
      </c>
      <c r="AY136" s="65">
        <f>_xlfn.SUMIFS(AY139:AY155,$AC139:$AC155,$AC136)</f>
        <v>0</v>
      </c>
      <c r="AZ136" s="65">
        <f>_xlfn.SUMIFS(AZ139:AZ155,$AC139:$AC155,$AC136)</f>
        <v>0</v>
      </c>
      <c r="BA136" s="65">
        <f>_xlfn.SUMIFS(BA139:BA155,$AC139:$AC155,$AC136)</f>
        <v>0</v>
      </c>
      <c r="BB136" s="65">
        <f>_xlfn.SUMIFS(BB139:BB155,$AC139:$AC155,$AC136)</f>
        <v>0</v>
      </c>
      <c r="BC136" s="79"/>
      <c r="BD136" s="220"/>
      <c r="BE136" s="220"/>
      <c r="BF136" s="1189" t="s">
        <v>966</v>
      </c>
      <c r="BG136" s="1189"/>
      <c r="BH136" s="1189"/>
      <c r="BI136" s="1190"/>
      <c r="BJ136" s="1190"/>
    </row>
    <row s="220" customFormat="1" customHeight="1" ht="14.25">
      <c r="A137" s="220"/>
      <c r="B137" s="220"/>
      <c r="C137" s="220"/>
      <c r="D137" s="220"/>
      <c r="E137" s="921">
        <v>15</v>
      </c>
      <c r="F137" s="919" cm="1" t="str">
        <f t="array" ref="F137:F137">OFFSET(G137,-1,-1)</f>
        <v>2</v>
      </c>
      <c r="G137" s="220"/>
      <c r="H137" s="220"/>
      <c r="I137" s="220"/>
      <c r="J137" s="220"/>
      <c r="K137" s="220"/>
      <c r="L137" s="220"/>
      <c r="M137" s="220"/>
      <c r="N137" s="220"/>
      <c r="O137" s="220"/>
      <c r="P137" s="220"/>
      <c r="Q137" s="220"/>
      <c r="R137" s="220"/>
      <c r="S137" s="220"/>
      <c r="T137" s="920" cm="1" t="str">
        <f t="array" ref="T137:T137">T135</f>
        <v>true</v>
      </c>
      <c r="U137" s="220"/>
      <c r="V137" s="220"/>
      <c r="W137" s="220"/>
      <c r="X137" s="220"/>
      <c r="Y137" s="220"/>
      <c r="Z137" s="220"/>
      <c r="AA137" s="220"/>
      <c r="AB137" s="213" t="s">
        <v>448</v>
      </c>
      <c r="AC137" s="273" t="s">
        <v>967</v>
      </c>
      <c r="AD137" s="151" t="s">
        <v>591</v>
      </c>
      <c r="AE137" s="264">
        <f>SUMIF($AD139:$AD155,$AD137,AE139:AE155)</f>
        <v>0</v>
      </c>
      <c r="AF137" s="264">
        <f>SUMIF($AD139:$AD155,$AD137,AF139:AF155)</f>
        <v>0</v>
      </c>
      <c r="AG137" s="264">
        <f>SUMIF($AD139:$AD155,$AD137,AG139:AG155)</f>
        <v>0</v>
      </c>
      <c r="AH137" s="264">
        <f>SUMIF($AD139:$AD155,$AD137,AH139:AH155)</f>
        <v>0</v>
      </c>
      <c r="AI137" s="264">
        <f>SUMIF($AD139:$AD155,$AD137,AI139:AI155)</f>
        <v>0</v>
      </c>
      <c r="AJ137" s="209">
        <f>SUMIF($AD139:$AD155,$AD137,AJ139:AJ155)</f>
        <v>0</v>
      </c>
      <c r="AK137" s="209">
        <f>SUMIF($AD139:$AD155,$AD137,AK139:AK155)</f>
        <v>0</v>
      </c>
      <c r="AL137" s="209">
        <f>SUMIF($AD139:$AD155,$AD137,AL139:AL155)</f>
        <v>0</v>
      </c>
      <c r="AM137" s="209">
        <f>SUMIF($AD139:$AD155,$AD137,AM139:AM155)</f>
        <v>0</v>
      </c>
      <c r="AN137" s="1655">
        <f>SUMIF($AD139:$AD155,$AD137,AN139:AN155)</f>
        <v>0</v>
      </c>
      <c r="AO137" s="1655">
        <f>SUMIF($AD139:$AD155,$AD137,AO139:AO155)</f>
        <v>0</v>
      </c>
      <c r="AP137" s="1655">
        <f>SUMIF($AD139:$AD155,$AD137,AP139:AP155)</f>
        <v>0</v>
      </c>
      <c r="AQ137" s="1655">
        <f>SUMIF($AD139:$AD155,$AD137,AQ139:AQ155)</f>
        <v>0</v>
      </c>
      <c r="AR137" s="1655">
        <f>SUMIF($AD139:$AD155,$AD137,AR139:AR155)</f>
        <v>0</v>
      </c>
      <c r="AS137" s="264">
        <f>SUMIF($AD139:$AD155,$AD137,AS139:AS155)</f>
        <v>0</v>
      </c>
      <c r="AT137" s="209">
        <f>SUMIF($AD139:$AD155,$AD137,AT139:AT155)</f>
        <v>0</v>
      </c>
      <c r="AU137" s="209">
        <f>SUMIF($AD139:$AD155,$AD137,AU139:AU155)</f>
        <v>0</v>
      </c>
      <c r="AV137" s="209">
        <f>SUMIF($AD139:$AD155,$AD137,AV139:AV155)</f>
        <v>0</v>
      </c>
      <c r="AW137" s="209">
        <f>SUMIF($AD139:$AD155,$AD137,AW139:AW155)</f>
        <v>0</v>
      </c>
      <c r="AX137" s="1655">
        <f>SUMIF($AD139:$AD155,$AD137,AX139:AX155)</f>
        <v>0</v>
      </c>
      <c r="AY137" s="1655">
        <f>SUMIF($AD139:$AD155,$AD137,AY139:AY155)</f>
        <v>0</v>
      </c>
      <c r="AZ137" s="1655">
        <f>SUMIF($AD139:$AD155,$AD137,AZ139:AZ155)</f>
        <v>0</v>
      </c>
      <c r="BA137" s="1655">
        <f>SUMIF($AD139:$AD155,$AD137,BA139:BA155)</f>
        <v>0</v>
      </c>
      <c r="BB137" s="1655">
        <f>SUMIF($AD139:$AD155,$AD137,BB139:BB155)</f>
        <v>0</v>
      </c>
      <c r="BC137" s="1742"/>
      <c r="BD137" s="220"/>
      <c r="BE137" s="220"/>
      <c r="BF137" s="1189" t="s">
        <v>968</v>
      </c>
      <c r="BG137" s="1189"/>
      <c r="BH137" s="1189"/>
      <c r="BI137" s="1190"/>
      <c r="BJ137" s="1190"/>
    </row>
    <row s="220" customFormat="1" customHeight="1" ht="14.25">
      <c r="A138" s="220"/>
      <c r="B138" s="220"/>
      <c r="C138" s="220"/>
      <c r="D138" s="220"/>
      <c r="E138" s="921">
        <v>15</v>
      </c>
      <c r="F138" s="919" cm="1" t="str">
        <f t="array" ref="F138:F138">OFFSET(G138,-1,-1)</f>
        <v>2</v>
      </c>
      <c r="G138" s="220"/>
      <c r="H138" s="220"/>
      <c r="I138" s="220"/>
      <c r="J138" s="220"/>
      <c r="K138" s="220"/>
      <c r="L138" s="220"/>
      <c r="M138" s="220"/>
      <c r="N138" s="220"/>
      <c r="O138" s="220"/>
      <c r="P138" s="220"/>
      <c r="Q138" s="220"/>
      <c r="R138" s="220"/>
      <c r="S138" s="220"/>
      <c r="T138" s="920" cm="1" t="str">
        <f t="array" ref="T138:T138">T137</f>
        <v>true</v>
      </c>
      <c r="U138" s="220"/>
      <c r="V138" s="220"/>
      <c r="W138" s="220"/>
      <c r="X138" s="220"/>
      <c r="Y138" s="220"/>
      <c r="Z138" s="220"/>
      <c r="AA138" s="220"/>
      <c r="AB138" s="213" t="s">
        <v>479</v>
      </c>
      <c r="AC138" s="273" t="s">
        <v>934</v>
      </c>
      <c r="AD138" s="151" t="s">
        <v>969</v>
      </c>
      <c r="AE138" s="264">
        <f>IF(AE137=0,0,AE135/AE137)*1000</f>
        <v>0</v>
      </c>
      <c r="AF138" s="264">
        <f>IF(AF137=0,0,AF135/AF137)*1000</f>
        <v>0</v>
      </c>
      <c r="AG138" s="264">
        <f>IF(AG137=0,0,AG135/AG137)*1000</f>
        <v>0</v>
      </c>
      <c r="AH138" s="264">
        <f>IF(AH137=0,0,AH135/AH137)*1000</f>
        <v>0</v>
      </c>
      <c r="AI138" s="264">
        <f>IF(AI137=0,0,AI135/AI137)*1000</f>
        <v>0</v>
      </c>
      <c r="AJ138" s="209">
        <f>IF(AJ137=0,0,AJ135/AJ137)*1000</f>
        <v>0</v>
      </c>
      <c r="AK138" s="209">
        <f>IF(AK137=0,0,AK135/AK137)*1000</f>
        <v>0</v>
      </c>
      <c r="AL138" s="209">
        <f>IF(AL137=0,0,AL135/AL137)*1000</f>
        <v>0</v>
      </c>
      <c r="AM138" s="209">
        <f>IF(AM137=0,0,AM135/AM137)*1000</f>
        <v>0</v>
      </c>
      <c r="AN138" s="1655">
        <f>IF(AN137=0,0,AN135/AN137)*1000</f>
        <v>0</v>
      </c>
      <c r="AO138" s="1655">
        <f>IF(AO137=0,0,AO135/AO137)*1000</f>
        <v>0</v>
      </c>
      <c r="AP138" s="1655">
        <f>IF(AP137=0,0,AP135/AP137)*1000</f>
        <v>0</v>
      </c>
      <c r="AQ138" s="1655">
        <f>IF(AQ137=0,0,AQ135/AQ137)*1000</f>
        <v>0</v>
      </c>
      <c r="AR138" s="1655">
        <f>IF(AR137=0,0,AR135/AR137)*1000</f>
        <v>0</v>
      </c>
      <c r="AS138" s="264">
        <f>IF(AS137=0,0,AS135/AS137)*1000</f>
        <v>0</v>
      </c>
      <c r="AT138" s="209">
        <f>IF(AT137=0,0,AT135/AT137)*1000</f>
        <v>0</v>
      </c>
      <c r="AU138" s="209">
        <f>IF(AU137=0,0,AU135/AU137)*1000</f>
        <v>0</v>
      </c>
      <c r="AV138" s="209">
        <f>IF(AV137=0,0,AV135/AV137)*1000</f>
        <v>0</v>
      </c>
      <c r="AW138" s="209">
        <f>IF(AW137=0,0,AW135/AW137)*1000</f>
        <v>0</v>
      </c>
      <c r="AX138" s="1655">
        <f>IF(AX137=0,0,AX135/AX137)*1000</f>
        <v>0</v>
      </c>
      <c r="AY138" s="1655">
        <f>IF(AY137=0,0,AY135/AY137)*1000</f>
        <v>0</v>
      </c>
      <c r="AZ138" s="1655">
        <f>IF(AZ137=0,0,AZ135/AZ137)*1000</f>
        <v>0</v>
      </c>
      <c r="BA138" s="1655">
        <f>IF(BA137=0,0,BA135/BA137)*1000</f>
        <v>0</v>
      </c>
      <c r="BB138" s="1655">
        <f>IF(BB137=0,0,BB135/BB137)*1000</f>
        <v>0</v>
      </c>
      <c r="BC138" s="1742"/>
      <c r="BD138" s="220"/>
      <c r="BE138" s="220"/>
      <c r="BF138" s="1189" t="s">
        <v>970</v>
      </c>
      <c r="BG138" s="1189"/>
      <c r="BH138" s="1189"/>
      <c r="BI138" s="1190"/>
      <c r="BJ138" s="1190"/>
    </row>
    <row s="220" customFormat="1" customHeight="1" ht="14.25">
      <c r="A139" s="220"/>
      <c r="B139" s="220"/>
      <c r="C139" s="220"/>
      <c r="D139" s="220"/>
      <c r="E139" s="921">
        <v>15</v>
      </c>
      <c r="F139" s="919" cm="1" t="str">
        <f t="array" ref="F139:F139">OFFSET(G139,-1,-1)</f>
        <v>2</v>
      </c>
      <c r="G139" s="220"/>
      <c r="H139" s="220"/>
      <c r="I139" s="220"/>
      <c r="J139" s="220"/>
      <c r="K139" s="220"/>
      <c r="L139" s="220"/>
      <c r="M139" s="220"/>
      <c r="N139" s="220"/>
      <c r="O139" s="220"/>
      <c r="P139" s="220"/>
      <c r="Q139" s="220"/>
      <c r="R139" s="220"/>
      <c r="S139" s="220"/>
      <c r="T139" s="920" cm="1" t="str">
        <f t="array" ref="T139:T139">T137</f>
        <v>true</v>
      </c>
      <c r="U139" s="220"/>
      <c r="V139" s="220"/>
      <c r="W139" s="220"/>
      <c r="X139" s="220"/>
      <c r="Y139" s="220"/>
      <c r="Z139" s="220"/>
      <c r="AA139" s="220"/>
      <c r="AB139" s="213" t="s">
        <v>475</v>
      </c>
      <c r="AC139" s="340" t="s">
        <v>939</v>
      </c>
      <c r="AD139" s="341"/>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1091"/>
      <c r="BD139" s="220"/>
      <c r="BE139" s="220"/>
      <c r="BF139" s="1189"/>
      <c r="BG139" s="1189"/>
      <c r="BH139" s="1189"/>
      <c r="BI139" s="1190"/>
      <c r="BJ139" s="1190"/>
    </row>
    <row s="220" customFormat="1" customHeight="1" ht="17.25" hidden="1">
      <c r="A140" s="220"/>
      <c r="B140" s="220"/>
      <c r="C140" s="220"/>
      <c r="D140" s="220"/>
      <c r="E140" s="921">
        <v>0</v>
      </c>
      <c r="F140" s="919" cm="1" t="str">
        <f t="array" ref="F140:F140">OFFSET(G140,-1,-1)</f>
        <v>2</v>
      </c>
      <c r="G140" s="220"/>
      <c r="H140" s="220"/>
      <c r="I140" s="220"/>
      <c r="J140" s="220"/>
      <c r="K140" s="220"/>
      <c r="L140" s="220"/>
      <c r="M140" s="220"/>
      <c r="N140" s="220"/>
      <c r="O140" s="220"/>
      <c r="P140" s="220"/>
      <c r="Q140" s="220"/>
      <c r="R140" s="220"/>
      <c r="S140" s="220"/>
      <c r="T140" s="920" cm="1" t="str">
        <f t="array" ref="T140:T140">T139</f>
        <v>true</v>
      </c>
      <c r="U140" s="220"/>
      <c r="V140" s="220"/>
      <c r="W140" s="220"/>
      <c r="X140" s="220"/>
      <c r="Y140" s="220"/>
      <c r="Z140" s="220"/>
      <c r="AA140" s="220"/>
      <c r="AB140" s="283"/>
      <c r="AC140" s="278"/>
      <c r="AD140" s="606"/>
      <c r="AE140" s="281"/>
      <c r="AF140" s="281"/>
      <c r="AG140" s="281"/>
      <c r="AH140" s="281"/>
      <c r="AI140" s="281"/>
      <c r="AJ140" s="281"/>
      <c r="AK140" s="281"/>
      <c r="AL140" s="281"/>
      <c r="AM140" s="281"/>
      <c r="AN140" s="281"/>
      <c r="AO140" s="281"/>
      <c r="AP140" s="281"/>
      <c r="AQ140" s="281"/>
      <c r="AR140" s="281"/>
      <c r="AS140" s="281"/>
      <c r="AT140" s="281"/>
      <c r="AU140" s="281"/>
      <c r="AV140" s="281"/>
      <c r="AW140" s="281"/>
      <c r="AX140" s="281"/>
      <c r="AY140" s="281"/>
      <c r="AZ140" s="281"/>
      <c r="BA140" s="281"/>
      <c r="BB140" s="281"/>
      <c r="BC140" s="290"/>
      <c r="BD140" s="220"/>
      <c r="BE140" s="220"/>
      <c r="BF140" s="1189"/>
      <c r="BG140" s="1189"/>
      <c r="BH140" s="1189"/>
      <c r="BI140" s="1190"/>
      <c r="BJ140" s="1190"/>
    </row>
    <row s="220" customFormat="1" customHeight="1" ht="14.25" hidden="1">
      <c r="A141" s="1122" t="str">
        <f>"checkCosts_4."&amp;F141&amp;"."&amp;Y141</f>
        <v>checkCosts_4.2.0</v>
      </c>
      <c r="B141" s="220"/>
      <c r="C141" s="220"/>
      <c r="D141" s="220"/>
      <c r="E141" s="921">
        <v>15</v>
      </c>
      <c r="F141" s="919" cm="1" t="str">
        <f t="array" ref="F141:F141">OFFSET(G141,-1,-1)</f>
        <v>2</v>
      </c>
      <c r="G141" s="220"/>
      <c r="H141" s="152" cm="1" t="str">
        <f t="array" ref="H141:H141">AC141</f>
        <v>0</v>
      </c>
      <c r="I141" s="212" t="s">
        <v>926</v>
      </c>
      <c r="J141" s="220"/>
      <c r="K141" s="220"/>
      <c r="L141" s="220"/>
      <c r="M141" s="220"/>
      <c r="N141" s="220"/>
      <c r="O141" s="220"/>
      <c r="P141" s="220"/>
      <c r="Q141" s="220"/>
      <c r="R141" s="220"/>
      <c r="S141" s="220"/>
      <c r="T141" s="920">
        <f>AND(F141&gt;0,Y141&gt;0)</f>
        <v>0</v>
      </c>
      <c r="U141" s="220"/>
      <c r="V141" s="220"/>
      <c r="W141" s="168" t="s">
        <v>233</v>
      </c>
      <c r="X141" s="220"/>
      <c r="Y141" s="180">
        <v>0</v>
      </c>
      <c r="Z141" s="220"/>
      <c r="AA141" s="1533" t="s">
        <v>217</v>
      </c>
      <c r="AB141" s="285" t="str">
        <f>"2.1."&amp;Y141</f>
        <v>2.1.0</v>
      </c>
      <c r="AC141" s="601"/>
      <c r="AD141" s="607" t="s">
        <v>805</v>
      </c>
      <c r="AE141" s="332">
        <f>AE143*AE144/1000</f>
        <v>0</v>
      </c>
      <c r="AF141" s="61"/>
      <c r="AG141" s="61"/>
      <c r="AH141" s="332">
        <f>AH143*AH144/1000</f>
        <v>0</v>
      </c>
      <c r="AI141" s="280"/>
      <c r="AJ141" s="280"/>
      <c r="AK141" s="280"/>
      <c r="AL141" s="280"/>
      <c r="AM141" s="280"/>
      <c r="AN141" s="61"/>
      <c r="AO141" s="61"/>
      <c r="AP141" s="61"/>
      <c r="AQ141" s="61"/>
      <c r="AR141" s="61"/>
      <c r="AS141" s="332">
        <f>AS143*AS144/1000</f>
        <v>0</v>
      </c>
      <c r="AT141" s="332">
        <f>AT143*AT144/1000</f>
        <v>0</v>
      </c>
      <c r="AU141" s="332">
        <f>AU143*AU144/1000</f>
        <v>0</v>
      </c>
      <c r="AV141" s="332">
        <f>AV143*AV144/1000</f>
        <v>0</v>
      </c>
      <c r="AW141" s="332">
        <f>AW143*AW144/1000</f>
        <v>0</v>
      </c>
      <c r="AX141" s="332">
        <f>AX143*AX144/1000</f>
        <v>0</v>
      </c>
      <c r="AY141" s="332">
        <f>AY143*AY144/1000</f>
        <v>0</v>
      </c>
      <c r="AZ141" s="332">
        <f>AZ143*AZ144/1000</f>
        <v>0</v>
      </c>
      <c r="BA141" s="332">
        <f>BA143*BA144/1000</f>
        <v>0</v>
      </c>
      <c r="BB141" s="332">
        <f>BB143*BB144/1000</f>
        <v>0</v>
      </c>
      <c r="BC141" s="103"/>
      <c r="BD141" s="220"/>
      <c r="BE141" s="220"/>
      <c r="BF141" s="1189" t="s">
        <v>971</v>
      </c>
      <c r="BG141" s="1189" t="s">
        <v>972</v>
      </c>
      <c r="BH141" s="1189" cm="1" t="str">
        <f t="array" ref="BH141:BH141">AC141</f>
        <v>0</v>
      </c>
      <c r="BI141" s="1190"/>
      <c r="BJ141" s="1190" t="b">
        <v>1</v>
      </c>
    </row>
    <row s="220" customFormat="1" customHeight="1" ht="14.25" hidden="1">
      <c r="A142" s="220"/>
      <c r="B142" s="220"/>
      <c r="C142" s="220"/>
      <c r="D142" s="220"/>
      <c r="E142" s="921">
        <v>15</v>
      </c>
      <c r="F142" s="919" cm="1" t="str">
        <f t="array" ref="F142:F142">OFFSET(G142,-1,-1)</f>
        <v>2</v>
      </c>
      <c r="G142" s="220"/>
      <c r="H142" s="220"/>
      <c r="I142" s="220"/>
      <c r="J142" s="220"/>
      <c r="K142" s="220"/>
      <c r="L142" s="210" cm="1" t="str">
        <f t="array" ref="L142:L142">INDEX('Общие сведения'!$AK$169:$AK$218,MATCH($F142,'Общие сведения'!$Z$169:$Z$218,0))</f>
        <v>одноставочный</v>
      </c>
      <c r="M142" s="220"/>
      <c r="N142" s="220"/>
      <c r="O142" s="220"/>
      <c r="P142" s="220"/>
      <c r="Q142" s="220"/>
      <c r="R142" s="190" t="s">
        <v>963</v>
      </c>
      <c r="S142" s="220"/>
      <c r="T142" s="920">
        <f>AND(T141,L142="двухставочный")</f>
        <v>0</v>
      </c>
      <c r="U142" s="220"/>
      <c r="V142" s="220"/>
      <c r="W142" s="220"/>
      <c r="X142" s="220"/>
      <c r="Y142" s="220"/>
      <c r="Z142" s="220"/>
      <c r="AA142" s="1533"/>
      <c r="AB142" s="285"/>
      <c r="AC142" s="587" t="s">
        <v>965</v>
      </c>
      <c r="AD142" s="607" t="s">
        <v>805</v>
      </c>
      <c r="AE142" s="65"/>
      <c r="AF142" s="65"/>
      <c r="AG142" s="65"/>
      <c r="AH142" s="65"/>
      <c r="AI142" s="608"/>
      <c r="AJ142" s="608"/>
      <c r="AK142" s="608"/>
      <c r="AL142" s="608"/>
      <c r="AM142" s="608"/>
      <c r="AN142" s="65"/>
      <c r="AO142" s="65"/>
      <c r="AP142" s="65"/>
      <c r="AQ142" s="65"/>
      <c r="AR142" s="65"/>
      <c r="AS142" s="608"/>
      <c r="AT142" s="608"/>
      <c r="AU142" s="608"/>
      <c r="AV142" s="608"/>
      <c r="AW142" s="608"/>
      <c r="AX142" s="65"/>
      <c r="AY142" s="65"/>
      <c r="AZ142" s="65"/>
      <c r="BA142" s="65"/>
      <c r="BB142" s="65"/>
      <c r="BC142" s="104"/>
      <c r="BD142" s="220"/>
      <c r="BE142" s="220"/>
      <c r="BF142" s="1189" t="s">
        <v>973</v>
      </c>
      <c r="BG142" s="1189" t="s">
        <v>972</v>
      </c>
      <c r="BH142" s="1189" cm="1" t="str">
        <f t="array" ref="BH142:BH142">BH141</f>
        <v>0</v>
      </c>
      <c r="BI142" s="1190"/>
      <c r="BJ142" s="1190"/>
    </row>
    <row s="220" customFormat="1" customHeight="1" ht="14.25" hidden="1">
      <c r="A143" s="220"/>
      <c r="B143" s="220"/>
      <c r="C143" s="220"/>
      <c r="D143" s="220"/>
      <c r="E143" s="921">
        <v>15</v>
      </c>
      <c r="F143" s="919" cm="1" t="str">
        <f t="array" ref="F143:F143">OFFSET(G143,-1,-1)</f>
        <v>2</v>
      </c>
      <c r="G143" s="220"/>
      <c r="H143" s="152" cm="1" t="str">
        <f t="array" ref="H143:H143">H141</f>
        <v>0</v>
      </c>
      <c r="I143" s="220"/>
      <c r="J143" s="220"/>
      <c r="K143" s="220"/>
      <c r="L143" s="220"/>
      <c r="M143" s="220"/>
      <c r="N143" s="220"/>
      <c r="O143" s="220"/>
      <c r="P143" s="220"/>
      <c r="Q143" s="220"/>
      <c r="R143" s="220"/>
      <c r="S143" s="220"/>
      <c r="T143" s="920" cm="1" t="str">
        <f t="array" ref="T143:T143">T141</f>
        <v>false</v>
      </c>
      <c r="U143" s="220"/>
      <c r="V143" s="220"/>
      <c r="W143" s="220"/>
      <c r="X143" s="220"/>
      <c r="Y143" s="220"/>
      <c r="Z143" s="220"/>
      <c r="AA143" s="1533"/>
      <c r="AB143" s="285" t="str">
        <f>AB141&amp;".1"</f>
        <v>2.1.0.1</v>
      </c>
      <c r="AC143" s="587" t="s">
        <v>942</v>
      </c>
      <c r="AD143" s="151" t="s">
        <v>969</v>
      </c>
      <c r="AE143" s="65"/>
      <c r="AF143" s="666">
        <f>IF(AF144=0,0,AF141/AF144*1000)</f>
        <v>0</v>
      </c>
      <c r="AG143" s="666">
        <f>IF(AG144=0,0,AG141/AG144*1000)</f>
        <v>0</v>
      </c>
      <c r="AH143" s="65"/>
      <c r="AI143" s="666">
        <f>IF(AI144=0,0,AI141/AI144*1000)</f>
        <v>0</v>
      </c>
      <c r="AJ143" s="666">
        <f>IF(AJ144=0,0,AJ141/AJ144*1000)</f>
        <v>0</v>
      </c>
      <c r="AK143" s="666">
        <f>IF(AK144=0,0,AK141/AK144*1000)</f>
        <v>0</v>
      </c>
      <c r="AL143" s="666">
        <f>IF(AL144=0,0,AL141/AL144*1000)</f>
        <v>0</v>
      </c>
      <c r="AM143" s="666">
        <f>IF(AM144=0,0,AM141/AM144*1000)</f>
        <v>0</v>
      </c>
      <c r="AN143" s="666">
        <f>IF(AN144=0,0,AN141/AN144*1000)</f>
        <v>0</v>
      </c>
      <c r="AO143" s="666">
        <f>IF(AO144=0,0,AO141/AO144*1000)</f>
        <v>0</v>
      </c>
      <c r="AP143" s="666">
        <f>IF(AP144=0,0,AP141/AP144*1000)</f>
        <v>0</v>
      </c>
      <c r="AQ143" s="666">
        <f>IF(AQ144=0,0,AQ141/AQ144*1000)</f>
        <v>0</v>
      </c>
      <c r="AR143" s="666">
        <f>IF(AR144=0,0,AR141/AR144*1000)</f>
        <v>0</v>
      </c>
      <c r="AS143" s="608"/>
      <c r="AT143" s="608"/>
      <c r="AU143" s="608"/>
      <c r="AV143" s="608"/>
      <c r="AW143" s="608"/>
      <c r="AX143" s="65"/>
      <c r="AY143" s="65"/>
      <c r="AZ143" s="65"/>
      <c r="BA143" s="65"/>
      <c r="BB143" s="65"/>
      <c r="BC143" s="73"/>
      <c r="BD143" s="220"/>
      <c r="BE143" s="220"/>
      <c r="BF143" s="1189" t="s">
        <v>974</v>
      </c>
      <c r="BG143" s="1189" t="s">
        <v>972</v>
      </c>
      <c r="BH143" s="1189" cm="1" t="str">
        <f t="array" ref="BH143:BH143">BH142</f>
        <v>0</v>
      </c>
      <c r="BI143" s="1190"/>
      <c r="BJ143" s="1190"/>
    </row>
    <row s="220" customFormat="1" customHeight="1" ht="14.25" hidden="1">
      <c r="A144" s="1122" t="str">
        <f>"checkVolume_4."&amp;F144&amp;"."&amp;Y141</f>
        <v>checkVolume_4.2.0</v>
      </c>
      <c r="B144" s="220"/>
      <c r="C144" s="220"/>
      <c r="D144" s="220"/>
      <c r="E144" s="921">
        <v>15</v>
      </c>
      <c r="F144" s="919" cm="1" t="str">
        <f t="array" ref="F144:F144">OFFSET(G144,-1,-1)</f>
        <v>2</v>
      </c>
      <c r="G144" s="220"/>
      <c r="H144" s="152" cm="1" t="str">
        <f t="array" ref="H144:H144">H141</f>
        <v>0</v>
      </c>
      <c r="I144" s="220"/>
      <c r="J144" s="220"/>
      <c r="K144" s="220"/>
      <c r="L144" s="220"/>
      <c r="M144" s="220"/>
      <c r="N144" s="220"/>
      <c r="O144" s="220"/>
      <c r="P144" s="220"/>
      <c r="Q144" s="220"/>
      <c r="R144" s="220"/>
      <c r="S144" s="220"/>
      <c r="T144" s="920" cm="1" t="str">
        <f t="array" ref="T144:T144">T141</f>
        <v>false</v>
      </c>
      <c r="U144" s="220"/>
      <c r="V144" s="220"/>
      <c r="W144" s="220"/>
      <c r="X144" s="220"/>
      <c r="Y144" s="220"/>
      <c r="Z144" s="220"/>
      <c r="AA144" s="1533"/>
      <c r="AB144" s="285" t="str">
        <f>AB141&amp;".2"</f>
        <v>2.1.0.2</v>
      </c>
      <c r="AC144" s="587" t="s">
        <v>975</v>
      </c>
      <c r="AD144" s="151" t="s">
        <v>591</v>
      </c>
      <c r="AE144" s="65"/>
      <c r="AF144" s="65"/>
      <c r="AG144" s="65"/>
      <c r="AH144" s="65"/>
      <c r="AI144" s="608"/>
      <c r="AJ144" s="608"/>
      <c r="AK144" s="608"/>
      <c r="AL144" s="608"/>
      <c r="AM144" s="608"/>
      <c r="AN144" s="65"/>
      <c r="AO144" s="65"/>
      <c r="AP144" s="65"/>
      <c r="AQ144" s="65"/>
      <c r="AR144" s="65"/>
      <c r="AS144" s="608"/>
      <c r="AT144" s="608"/>
      <c r="AU144" s="608"/>
      <c r="AV144" s="608"/>
      <c r="AW144" s="608"/>
      <c r="AX144" s="65"/>
      <c r="AY144" s="65"/>
      <c r="AZ144" s="65"/>
      <c r="BA144" s="65"/>
      <c r="BB144" s="65"/>
      <c r="BC144" s="73"/>
      <c r="BD144" s="220"/>
      <c r="BE144" s="220"/>
      <c r="BF144" s="1189" t="s">
        <v>976</v>
      </c>
      <c r="BG144" s="1189" t="s">
        <v>972</v>
      </c>
      <c r="BH144" s="1189" cm="1" t="str">
        <f t="array" ref="BH144:BH144">BH142</f>
        <v>0</v>
      </c>
      <c r="BI144" s="1190"/>
      <c r="BJ144" s="1190"/>
    </row>
    <row s="220" customFormat="1" customHeight="1" ht="14.25">
      <c r="A145" s="220"/>
      <c r="B145" s="220"/>
      <c r="C145" s="220"/>
      <c r="D145" s="220"/>
      <c r="E145" s="921">
        <v>15</v>
      </c>
      <c r="F145" s="919" cm="1" t="str">
        <f t="array" ref="F145:F145">OFFSET(G145,-1,-1)</f>
        <v>2</v>
      </c>
      <c r="G145" s="220"/>
      <c r="H145" s="220"/>
      <c r="I145" s="220"/>
      <c r="J145" s="220"/>
      <c r="K145" s="220"/>
      <c r="L145" s="220"/>
      <c r="M145" s="220"/>
      <c r="N145" s="220"/>
      <c r="O145" s="220"/>
      <c r="P145" s="220"/>
      <c r="Q145" s="220"/>
      <c r="R145" s="220"/>
      <c r="S145" s="220"/>
      <c r="T145" s="920">
        <f>F145&gt;0</f>
        <v>1</v>
      </c>
      <c r="U145" s="220"/>
      <c r="V145" s="220"/>
      <c r="W145" s="371" t="s">
        <v>977</v>
      </c>
      <c r="X145" s="220"/>
      <c r="Y145" s="220"/>
      <c r="Z145" s="220"/>
      <c r="AA145" s="220"/>
      <c r="AB145" s="815"/>
      <c r="AC145" s="585" t="s">
        <v>978</v>
      </c>
      <c r="AD145" s="585"/>
      <c r="AE145" s="300"/>
      <c r="AF145" s="300"/>
      <c r="AG145" s="300"/>
      <c r="AH145" s="300"/>
      <c r="AI145" s="300"/>
      <c r="AJ145" s="300"/>
      <c r="AK145" s="300"/>
      <c r="AL145" s="300"/>
      <c r="AM145" s="300"/>
      <c r="AN145" s="300"/>
      <c r="AO145" s="300"/>
      <c r="AP145" s="300"/>
      <c r="AQ145" s="300"/>
      <c r="AR145" s="300"/>
      <c r="AS145" s="300"/>
      <c r="AT145" s="300"/>
      <c r="AU145" s="300"/>
      <c r="AV145" s="300"/>
      <c r="AW145" s="300"/>
      <c r="AX145" s="300"/>
      <c r="AY145" s="300"/>
      <c r="AZ145" s="300"/>
      <c r="BA145" s="300"/>
      <c r="BB145" s="300"/>
      <c r="BC145" s="1097"/>
      <c r="BD145" s="220"/>
      <c r="BE145" s="220"/>
      <c r="BF145" s="1189"/>
      <c r="BG145" s="1189"/>
      <c r="BH145" s="1189"/>
      <c r="BI145" s="1190" t="s">
        <v>972</v>
      </c>
      <c r="BJ145" s="1190"/>
    </row>
    <row s="220" customFormat="1" customHeight="1" ht="14.25">
      <c r="A146" s="220"/>
      <c r="B146" s="220"/>
      <c r="C146" s="220"/>
      <c r="D146" s="220"/>
      <c r="E146" s="921">
        <v>15</v>
      </c>
      <c r="F146" s="919" cm="1" t="str">
        <f t="array" ref="F146:F146">OFFSET(G146,-1,-1)</f>
        <v>2</v>
      </c>
      <c r="G146" s="220"/>
      <c r="H146" s="220"/>
      <c r="I146" s="220"/>
      <c r="J146" s="220"/>
      <c r="K146" s="220"/>
      <c r="L146" s="220"/>
      <c r="M146" s="220"/>
      <c r="N146" s="220"/>
      <c r="O146" s="220"/>
      <c r="P146" s="220"/>
      <c r="Q146" s="220"/>
      <c r="R146" s="220"/>
      <c r="S146" s="220"/>
      <c r="T146" s="920">
        <f>F146&gt;0</f>
        <v>1</v>
      </c>
      <c r="U146" s="220"/>
      <c r="V146" s="220"/>
      <c r="W146" s="220"/>
      <c r="X146" s="220"/>
      <c r="Y146" s="220"/>
      <c r="Z146" s="220"/>
      <c r="AA146" s="220"/>
      <c r="AB146" s="213" t="s">
        <v>479</v>
      </c>
      <c r="AC146" s="340" t="s">
        <v>948</v>
      </c>
      <c r="AD146" s="341"/>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1091"/>
      <c r="BD146" s="220"/>
      <c r="BE146" s="220"/>
      <c r="BF146" s="1189"/>
      <c r="BG146" s="1189"/>
      <c r="BH146" s="1189"/>
      <c r="BI146" s="1190"/>
      <c r="BJ146" s="1190"/>
    </row>
    <row s="220" customFormat="1" customHeight="1" ht="17.25" hidden="1">
      <c r="A147" s="220"/>
      <c r="B147" s="220"/>
      <c r="C147" s="220"/>
      <c r="D147" s="220"/>
      <c r="E147" s="921">
        <v>0</v>
      </c>
      <c r="F147" s="919" cm="1" t="str">
        <f t="array" ref="F147:F147">OFFSET(G147,-1,-1)</f>
        <v>2</v>
      </c>
      <c r="G147" s="220"/>
      <c r="H147" s="220"/>
      <c r="I147" s="220"/>
      <c r="J147" s="220"/>
      <c r="K147" s="220"/>
      <c r="L147" s="220"/>
      <c r="M147" s="220"/>
      <c r="N147" s="220"/>
      <c r="O147" s="220"/>
      <c r="P147" s="220"/>
      <c r="Q147" s="220"/>
      <c r="R147" s="220"/>
      <c r="S147" s="220"/>
      <c r="T147" s="920">
        <f>F147&gt;0</f>
        <v>1</v>
      </c>
      <c r="U147" s="220"/>
      <c r="V147" s="220"/>
      <c r="W147" s="220"/>
      <c r="X147" s="220"/>
      <c r="Y147" s="220"/>
      <c r="Z147" s="220"/>
      <c r="AA147" s="220"/>
      <c r="AB147" s="283"/>
      <c r="AC147" s="278"/>
      <c r="AD147" s="277"/>
      <c r="AE147" s="584"/>
      <c r="AF147" s="584"/>
      <c r="AG147" s="584"/>
      <c r="AH147" s="584"/>
      <c r="AI147" s="584"/>
      <c r="AJ147" s="584"/>
      <c r="AK147" s="584"/>
      <c r="AL147" s="584"/>
      <c r="AM147" s="584"/>
      <c r="AN147" s="584"/>
      <c r="AO147" s="584"/>
      <c r="AP147" s="584"/>
      <c r="AQ147" s="584"/>
      <c r="AR147" s="584"/>
      <c r="AS147" s="584"/>
      <c r="AT147" s="584"/>
      <c r="AU147" s="584"/>
      <c r="AV147" s="584"/>
      <c r="AW147" s="584"/>
      <c r="AX147" s="584"/>
      <c r="AY147" s="584"/>
      <c r="AZ147" s="584"/>
      <c r="BA147" s="584"/>
      <c r="BB147" s="584"/>
      <c r="BC147" s="79"/>
      <c r="BD147" s="220"/>
      <c r="BE147" s="220"/>
      <c r="BF147" s="1189"/>
      <c r="BG147" s="1189"/>
      <c r="BH147" s="1189"/>
      <c r="BI147" s="1190"/>
      <c r="BJ147" s="1190"/>
    </row>
    <row s="220" customFormat="1" customHeight="1" ht="14.25" hidden="1">
      <c r="A148" s="220"/>
      <c r="B148" s="220"/>
      <c r="C148" s="220"/>
      <c r="D148" s="220"/>
      <c r="E148" s="921">
        <v>15</v>
      </c>
      <c r="F148" s="919" cm="1" t="str">
        <f t="array" ref="F148:F148">OFFSET(G148,-1,-1)</f>
        <v>2</v>
      </c>
      <c r="G148" s="220"/>
      <c r="H148" s="152" cm="1" t="str">
        <f t="array" ref="H148:H148">AC148</f>
        <v>0</v>
      </c>
      <c r="I148" s="152" t="s">
        <v>926</v>
      </c>
      <c r="J148" s="220"/>
      <c r="K148" s="220"/>
      <c r="L148" s="220"/>
      <c r="M148" s="220"/>
      <c r="N148" s="220"/>
      <c r="O148" s="220"/>
      <c r="P148" s="220"/>
      <c r="Q148" s="220"/>
      <c r="R148" s="220"/>
      <c r="S148" s="220"/>
      <c r="T148" s="920">
        <f>AND(F148&gt;0,Y148&gt;0)</f>
        <v>0</v>
      </c>
      <c r="U148" s="220"/>
      <c r="V148" s="220"/>
      <c r="W148" s="168" t="s">
        <v>233</v>
      </c>
      <c r="X148" s="220"/>
      <c r="Y148" s="180">
        <v>0</v>
      </c>
      <c r="Z148" s="220"/>
      <c r="AA148" s="1533" t="s">
        <v>217</v>
      </c>
      <c r="AB148" s="151" t="str">
        <f>"2.3."&amp;Y148</f>
        <v>2.3.0</v>
      </c>
      <c r="AC148" s="601"/>
      <c r="AD148" s="151" t="s">
        <v>805</v>
      </c>
      <c r="AE148" s="588">
        <f>AE151+AE153</f>
        <v>0</v>
      </c>
      <c r="AF148" s="588">
        <f>AF151+AF153</f>
        <v>0</v>
      </c>
      <c r="AG148" s="588">
        <f>AG151+AG153</f>
        <v>0</v>
      </c>
      <c r="AH148" s="588">
        <f>AH151+AH153</f>
        <v>0</v>
      </c>
      <c r="AI148" s="588">
        <f>AI151+AI153</f>
        <v>0</v>
      </c>
      <c r="AJ148" s="583">
        <f>AJ151+AJ153</f>
        <v>0</v>
      </c>
      <c r="AK148" s="583">
        <f>AK151+AK153</f>
        <v>0</v>
      </c>
      <c r="AL148" s="583">
        <f>AL151+AL153</f>
        <v>0</v>
      </c>
      <c r="AM148" s="583">
        <f>AM151+AM153</f>
        <v>0</v>
      </c>
      <c r="AN148" s="64">
        <f>AN151+AN153</f>
        <v>0</v>
      </c>
      <c r="AO148" s="64">
        <f>AO151+AO153</f>
        <v>0</v>
      </c>
      <c r="AP148" s="64">
        <f>AP151+AP153</f>
        <v>0</v>
      </c>
      <c r="AQ148" s="64">
        <f>AQ151+AQ153</f>
        <v>0</v>
      </c>
      <c r="AR148" s="64">
        <f>AR151+AR153</f>
        <v>0</v>
      </c>
      <c r="AS148" s="588">
        <f>AS151+AS153</f>
        <v>0</v>
      </c>
      <c r="AT148" s="583">
        <f>AT151+AT153</f>
        <v>0</v>
      </c>
      <c r="AU148" s="583">
        <f>AU151+AU153</f>
        <v>0</v>
      </c>
      <c r="AV148" s="583">
        <f>AV151+AV153</f>
        <v>0</v>
      </c>
      <c r="AW148" s="583">
        <f>AW151+AW153</f>
        <v>0</v>
      </c>
      <c r="AX148" s="64">
        <f>AX151+AX153</f>
        <v>0</v>
      </c>
      <c r="AY148" s="64">
        <f>AY151+AY153</f>
        <v>0</v>
      </c>
      <c r="AZ148" s="64">
        <f>AZ151+AZ153</f>
        <v>0</v>
      </c>
      <c r="BA148" s="64">
        <f>BA151+BA153</f>
        <v>0</v>
      </c>
      <c r="BB148" s="64">
        <f>BB151+BB153</f>
        <v>0</v>
      </c>
      <c r="BC148" s="80"/>
      <c r="BD148" s="220"/>
      <c r="BE148" s="220"/>
      <c r="BF148" s="1189" t="s">
        <v>971</v>
      </c>
      <c r="BG148" s="1189" t="s">
        <v>979</v>
      </c>
      <c r="BH148" s="1189" cm="1" t="str">
        <f t="array" ref="BH148:BH148">AC148</f>
        <v>0</v>
      </c>
      <c r="BI148" s="1190"/>
      <c r="BJ148" s="1190" t="b">
        <v>1</v>
      </c>
    </row>
    <row s="220" customFormat="1" customHeight="1" ht="14.25" hidden="1">
      <c r="A149" s="220"/>
      <c r="B149" s="220"/>
      <c r="C149" s="220"/>
      <c r="D149" s="220"/>
      <c r="E149" s="921">
        <v>15</v>
      </c>
      <c r="F149" s="919" cm="1" t="str">
        <f t="array" ref="F149:F149">OFFSET(G149,-1,-1)</f>
        <v>2</v>
      </c>
      <c r="G149" s="220"/>
      <c r="H149" s="220"/>
      <c r="I149" s="220"/>
      <c r="J149" s="220"/>
      <c r="K149" s="220"/>
      <c r="L149" s="210" cm="1" t="str">
        <f t="array" ref="L149:L149">INDEX('Общие сведения'!$AK$169:$AK$218,MATCH($F149,'Общие сведения'!$Z$169:$Z$218,0))</f>
        <v>одноставочный</v>
      </c>
      <c r="M149" s="220"/>
      <c r="N149" s="220"/>
      <c r="O149" s="220"/>
      <c r="P149" s="220"/>
      <c r="Q149" s="220"/>
      <c r="R149" s="190" t="s">
        <v>963</v>
      </c>
      <c r="S149" s="220"/>
      <c r="T149" s="920">
        <f>AND(T148,L149="двухставочный")</f>
        <v>0</v>
      </c>
      <c r="U149" s="220"/>
      <c r="V149" s="220"/>
      <c r="W149" s="220"/>
      <c r="X149" s="220"/>
      <c r="Y149" s="220"/>
      <c r="Z149" s="220"/>
      <c r="AA149" s="1533"/>
      <c r="AB149" s="285"/>
      <c r="AC149" s="587" t="s">
        <v>965</v>
      </c>
      <c r="AD149" s="607" t="s">
        <v>805</v>
      </c>
      <c r="AE149" s="65"/>
      <c r="AF149" s="65"/>
      <c r="AG149" s="65"/>
      <c r="AH149" s="65"/>
      <c r="AI149" s="608"/>
      <c r="AJ149" s="608"/>
      <c r="AK149" s="608"/>
      <c r="AL149" s="608"/>
      <c r="AM149" s="608"/>
      <c r="AN149" s="65"/>
      <c r="AO149" s="65"/>
      <c r="AP149" s="65"/>
      <c r="AQ149" s="65"/>
      <c r="AR149" s="65"/>
      <c r="AS149" s="608"/>
      <c r="AT149" s="608"/>
      <c r="AU149" s="608"/>
      <c r="AV149" s="608"/>
      <c r="AW149" s="608"/>
      <c r="AX149" s="65"/>
      <c r="AY149" s="65"/>
      <c r="AZ149" s="65"/>
      <c r="BA149" s="65"/>
      <c r="BB149" s="65"/>
      <c r="BC149" s="104"/>
      <c r="BD149" s="220"/>
      <c r="BE149" s="220"/>
      <c r="BF149" s="1189" t="s">
        <v>973</v>
      </c>
      <c r="BG149" s="1189" t="s">
        <v>979</v>
      </c>
      <c r="BH149" s="1189" cm="1" t="str">
        <f t="array" ref="BH149:BH149">BH148</f>
        <v>0</v>
      </c>
      <c r="BI149" s="1190"/>
      <c r="BJ149" s="1190"/>
    </row>
    <row s="220" customFormat="1" customHeight="1" ht="14.25" hidden="1">
      <c r="A150" s="220"/>
      <c r="B150" s="220"/>
      <c r="C150" s="220"/>
      <c r="D150" s="220"/>
      <c r="E150" s="921">
        <v>15</v>
      </c>
      <c r="F150" s="919" cm="1" t="str">
        <f t="array" ref="F150:F150">OFFSET(G150,-1,-1)</f>
        <v>2</v>
      </c>
      <c r="G150" s="220"/>
      <c r="H150" s="152" cm="1" t="str">
        <f t="array" ref="H150:H150">H148</f>
        <v>0</v>
      </c>
      <c r="I150" s="220"/>
      <c r="J150" s="220"/>
      <c r="K150" s="220"/>
      <c r="L150" s="220"/>
      <c r="M150" s="220"/>
      <c r="N150" s="220"/>
      <c r="O150" s="220"/>
      <c r="P150" s="220"/>
      <c r="Q150" s="220"/>
      <c r="R150" s="220"/>
      <c r="S150" s="220"/>
      <c r="T150" s="920" cm="1" t="str">
        <f t="array" ref="T150:T150">T148</f>
        <v>false</v>
      </c>
      <c r="U150" s="220"/>
      <c r="V150" s="220"/>
      <c r="W150" s="220"/>
      <c r="X150" s="220"/>
      <c r="Y150" s="220"/>
      <c r="Z150" s="220"/>
      <c r="AA150" s="1533"/>
      <c r="AB150" s="285" t="str">
        <f>AB148&amp;".1"</f>
        <v>2.3.0.1</v>
      </c>
      <c r="AC150" s="587" t="s">
        <v>942</v>
      </c>
      <c r="AD150" s="151" t="s">
        <v>969</v>
      </c>
      <c r="AE150" s="64"/>
      <c r="AF150" s="588">
        <f>IF(AF152=0,0,AF151/AF152*1000)</f>
        <v>0</v>
      </c>
      <c r="AG150" s="588">
        <f>IF(AG152=0,0,AG151/AG152*1000)</f>
        <v>0</v>
      </c>
      <c r="AH150" s="64"/>
      <c r="AI150" s="588">
        <f>IF(AI152=0,0,AI151/AI152*1000)</f>
        <v>0</v>
      </c>
      <c r="AJ150" s="588">
        <f>IF(AJ152=0,0,AJ151/AJ152*1000)</f>
        <v>0</v>
      </c>
      <c r="AK150" s="588">
        <f>IF(AK152=0,0,AK151/AK152*1000)</f>
        <v>0</v>
      </c>
      <c r="AL150" s="588">
        <f>IF(AL152=0,0,AL151/AL152*1000)</f>
        <v>0</v>
      </c>
      <c r="AM150" s="588">
        <f>IF(AM152=0,0,AM151/AM152*1000)</f>
        <v>0</v>
      </c>
      <c r="AN150" s="588">
        <f>IF(AN152=0,0,AN151/AN152*1000)</f>
        <v>0</v>
      </c>
      <c r="AO150" s="588">
        <f>IF(AO152=0,0,AO151/AO152*1000)</f>
        <v>0</v>
      </c>
      <c r="AP150" s="588">
        <f>IF(AP152=0,0,AP151/AP152*1000)</f>
        <v>0</v>
      </c>
      <c r="AQ150" s="588">
        <f>IF(AQ152=0,0,AQ151/AQ152*1000)</f>
        <v>0</v>
      </c>
      <c r="AR150" s="588">
        <f>IF(AR152=0,0,AR151/AR152*1000)</f>
        <v>0</v>
      </c>
      <c r="AS150" s="583"/>
      <c r="AT150" s="583"/>
      <c r="AU150" s="583"/>
      <c r="AV150" s="583"/>
      <c r="AW150" s="583"/>
      <c r="AX150" s="64"/>
      <c r="AY150" s="64"/>
      <c r="AZ150" s="64"/>
      <c r="BA150" s="64"/>
      <c r="BB150" s="64"/>
      <c r="BC150" s="73"/>
      <c r="BD150" s="220"/>
      <c r="BE150" s="220"/>
      <c r="BF150" s="1189" t="s">
        <v>974</v>
      </c>
      <c r="BG150" s="1189" t="s">
        <v>979</v>
      </c>
      <c r="BH150" s="1189" cm="1" t="str">
        <f t="array" ref="BH150:BH150">BH149</f>
        <v>0</v>
      </c>
      <c r="BI150" s="1190"/>
      <c r="BJ150" s="1190"/>
    </row>
    <row s="220" customFormat="1" customHeight="1" ht="14.25" hidden="1">
      <c r="A151" s="1122" t="str">
        <f>"checkCosts_5."&amp;F151&amp;"."&amp;Y148</f>
        <v>checkCosts_5.2.0</v>
      </c>
      <c r="B151" s="220"/>
      <c r="C151" s="220"/>
      <c r="D151" s="220"/>
      <c r="E151" s="921">
        <v>15</v>
      </c>
      <c r="F151" s="919" cm="1" t="str">
        <f t="array" ref="F151:F151">OFFSET(G151,-1,-1)</f>
        <v>2</v>
      </c>
      <c r="G151" s="220"/>
      <c r="H151" s="220"/>
      <c r="I151" s="220"/>
      <c r="J151" s="220"/>
      <c r="K151" s="220"/>
      <c r="L151" s="220"/>
      <c r="M151" s="220"/>
      <c r="N151" s="220"/>
      <c r="O151" s="220"/>
      <c r="P151" s="220"/>
      <c r="Q151" s="220"/>
      <c r="R151" s="220"/>
      <c r="S151" s="220"/>
      <c r="T151" s="920" cm="1" t="str">
        <f t="array" ref="T151:T151">T148</f>
        <v>false</v>
      </c>
      <c r="U151" s="220"/>
      <c r="V151" s="220"/>
      <c r="W151" s="220"/>
      <c r="X151" s="220"/>
      <c r="Y151" s="220"/>
      <c r="Z151" s="220"/>
      <c r="AA151" s="1533"/>
      <c r="AB151" s="285" t="str">
        <f>AB148&amp;".2"</f>
        <v>2.3.0.2</v>
      </c>
      <c r="AC151" s="587" t="s">
        <v>980</v>
      </c>
      <c r="AD151" s="151" t="s">
        <v>805</v>
      </c>
      <c r="AE151" s="64"/>
      <c r="AF151" s="64"/>
      <c r="AG151" s="64"/>
      <c r="AH151" s="64"/>
      <c r="AI151" s="583"/>
      <c r="AJ151" s="583"/>
      <c r="AK151" s="583"/>
      <c r="AL151" s="583"/>
      <c r="AM151" s="583"/>
      <c r="AN151" s="64"/>
      <c r="AO151" s="64"/>
      <c r="AP151" s="64"/>
      <c r="AQ151" s="64"/>
      <c r="AR151" s="64"/>
      <c r="AS151" s="583"/>
      <c r="AT151" s="583"/>
      <c r="AU151" s="583"/>
      <c r="AV151" s="583"/>
      <c r="AW151" s="583"/>
      <c r="AX151" s="64"/>
      <c r="AY151" s="64"/>
      <c r="AZ151" s="64"/>
      <c r="BA151" s="64"/>
      <c r="BB151" s="64"/>
      <c r="BC151" s="73"/>
      <c r="BD151" s="220"/>
      <c r="BE151" s="220"/>
      <c r="BF151" s="1189" t="s">
        <v>981</v>
      </c>
      <c r="BG151" s="1189" t="s">
        <v>979</v>
      </c>
      <c r="BH151" s="1189" cm="1" t="str">
        <f t="array" ref="BH151:BH151">BH149</f>
        <v>0</v>
      </c>
      <c r="BI151" s="1190"/>
      <c r="BJ151" s="1190"/>
    </row>
    <row s="220" customFormat="1" customHeight="1" ht="14.25" hidden="1">
      <c r="A152" s="1122" t="str">
        <f>"checkVolume_5."&amp;F152&amp;"."&amp;Y148</f>
        <v>checkVolume_5.2.0</v>
      </c>
      <c r="B152" s="220"/>
      <c r="C152" s="220"/>
      <c r="D152" s="220"/>
      <c r="E152" s="921">
        <v>15</v>
      </c>
      <c r="F152" s="919" cm="1" t="str">
        <f t="array" ref="F152:F152">OFFSET(G152,-1,-1)</f>
        <v>2</v>
      </c>
      <c r="G152" s="220"/>
      <c r="H152" s="220"/>
      <c r="I152" s="220"/>
      <c r="J152" s="220"/>
      <c r="K152" s="220"/>
      <c r="L152" s="220"/>
      <c r="M152" s="220"/>
      <c r="N152" s="220"/>
      <c r="O152" s="220"/>
      <c r="P152" s="220"/>
      <c r="Q152" s="220"/>
      <c r="R152" s="220"/>
      <c r="S152" s="220"/>
      <c r="T152" s="920" cm="1" t="str">
        <f t="array" ref="T152:T152">T151</f>
        <v>false</v>
      </c>
      <c r="U152" s="220"/>
      <c r="V152" s="220"/>
      <c r="W152" s="220"/>
      <c r="X152" s="220"/>
      <c r="Y152" s="220"/>
      <c r="Z152" s="220"/>
      <c r="AA152" s="1533"/>
      <c r="AB152" s="403" t="str">
        <f>AB151&amp;".1"</f>
        <v>2.3.0.2.1</v>
      </c>
      <c r="AC152" s="602" t="s">
        <v>975</v>
      </c>
      <c r="AD152" s="151" t="s">
        <v>591</v>
      </c>
      <c r="AE152" s="64"/>
      <c r="AF152" s="64"/>
      <c r="AG152" s="64"/>
      <c r="AH152" s="64"/>
      <c r="AI152" s="583"/>
      <c r="AJ152" s="583"/>
      <c r="AK152" s="583"/>
      <c r="AL152" s="583"/>
      <c r="AM152" s="583"/>
      <c r="AN152" s="64"/>
      <c r="AO152" s="64"/>
      <c r="AP152" s="64"/>
      <c r="AQ152" s="64"/>
      <c r="AR152" s="64"/>
      <c r="AS152" s="583"/>
      <c r="AT152" s="583"/>
      <c r="AU152" s="583"/>
      <c r="AV152" s="583"/>
      <c r="AW152" s="583"/>
      <c r="AX152" s="64"/>
      <c r="AY152" s="64"/>
      <c r="AZ152" s="64"/>
      <c r="BA152" s="64"/>
      <c r="BB152" s="64"/>
      <c r="BC152" s="73"/>
      <c r="BD152" s="220"/>
      <c r="BE152" s="220"/>
      <c r="BF152" s="1189" t="s">
        <v>982</v>
      </c>
      <c r="BG152" s="1189" t="s">
        <v>979</v>
      </c>
      <c r="BH152" s="1189" cm="1" t="str">
        <f t="array" ref="BH152:BH152">BH151</f>
        <v>0</v>
      </c>
      <c r="BI152" s="1190"/>
      <c r="BJ152" s="1190"/>
    </row>
    <row s="220" customFormat="1" customHeight="1" ht="14.25" hidden="1">
      <c r="A153" s="1122" t="str">
        <f>"checkCosts_6."&amp;F153&amp;"."&amp;Y148</f>
        <v>checkCosts_6.2.0</v>
      </c>
      <c r="B153" s="220"/>
      <c r="C153" s="220"/>
      <c r="D153" s="220"/>
      <c r="E153" s="921">
        <v>15</v>
      </c>
      <c r="F153" s="919" cm="1" t="str">
        <f t="array" ref="F153:F153">OFFSET(G153,-1,-1)</f>
        <v>2</v>
      </c>
      <c r="G153" s="220"/>
      <c r="H153" s="220"/>
      <c r="I153" s="220"/>
      <c r="J153" s="220"/>
      <c r="K153" s="220"/>
      <c r="L153" s="220"/>
      <c r="M153" s="220"/>
      <c r="N153" s="220"/>
      <c r="O153" s="220"/>
      <c r="P153" s="220"/>
      <c r="Q153" s="220"/>
      <c r="R153" s="220"/>
      <c r="S153" s="220"/>
      <c r="T153" s="920" cm="1" t="str">
        <f t="array" ref="T153:T153">T152</f>
        <v>false</v>
      </c>
      <c r="U153" s="220"/>
      <c r="V153" s="220"/>
      <c r="W153" s="220"/>
      <c r="X153" s="220"/>
      <c r="Y153" s="220"/>
      <c r="Z153" s="220"/>
      <c r="AA153" s="1533"/>
      <c r="AB153" s="285" t="str">
        <f>AB148&amp;".3"</f>
        <v>2.3.0.3</v>
      </c>
      <c r="AC153" s="587" t="s">
        <v>983</v>
      </c>
      <c r="AD153" s="151" t="s">
        <v>953</v>
      </c>
      <c r="AE153" s="64"/>
      <c r="AF153" s="64"/>
      <c r="AG153" s="64"/>
      <c r="AH153" s="64"/>
      <c r="AI153" s="583"/>
      <c r="AJ153" s="583"/>
      <c r="AK153" s="583"/>
      <c r="AL153" s="583"/>
      <c r="AM153" s="583"/>
      <c r="AN153" s="64"/>
      <c r="AO153" s="64"/>
      <c r="AP153" s="64"/>
      <c r="AQ153" s="64"/>
      <c r="AR153" s="64"/>
      <c r="AS153" s="583"/>
      <c r="AT153" s="583"/>
      <c r="AU153" s="583"/>
      <c r="AV153" s="583"/>
      <c r="AW153" s="583"/>
      <c r="AX153" s="64"/>
      <c r="AY153" s="64"/>
      <c r="AZ153" s="64"/>
      <c r="BA153" s="64"/>
      <c r="BB153" s="64"/>
      <c r="BC153" s="73"/>
      <c r="BD153" s="220"/>
      <c r="BE153" s="220"/>
      <c r="BF153" s="1189" t="s">
        <v>984</v>
      </c>
      <c r="BG153" s="1189" t="s">
        <v>979</v>
      </c>
      <c r="BH153" s="1189" cm="1" t="str">
        <f t="array" ref="BH153:BH153">BH152</f>
        <v>0</v>
      </c>
      <c r="BI153" s="1190"/>
      <c r="BJ153" s="1190"/>
    </row>
    <row s="220" customFormat="1" customHeight="1" ht="14.25" hidden="1">
      <c r="A154" s="1122" t="str">
        <f>"checkVolume_6."&amp;F154&amp;"."&amp;Y148</f>
        <v>checkVolume_6.2.0</v>
      </c>
      <c r="B154" s="220"/>
      <c r="C154" s="220"/>
      <c r="D154" s="220"/>
      <c r="E154" s="921">
        <v>15</v>
      </c>
      <c r="F154" s="919" cm="1" t="str">
        <f t="array" ref="F154:F154">OFFSET(G154,-1,-1)</f>
        <v>2</v>
      </c>
      <c r="G154" s="220"/>
      <c r="H154" s="152" cm="1" t="str">
        <f t="array" ref="H154:H154">H148</f>
        <v>0</v>
      </c>
      <c r="I154" s="220"/>
      <c r="J154" s="220"/>
      <c r="K154" s="220"/>
      <c r="L154" s="220"/>
      <c r="M154" s="220"/>
      <c r="N154" s="220"/>
      <c r="O154" s="220"/>
      <c r="P154" s="220"/>
      <c r="Q154" s="220"/>
      <c r="R154" s="220"/>
      <c r="S154" s="220"/>
      <c r="T154" s="920" cm="1" t="str">
        <f t="array" ref="T154:T154">T153</f>
        <v>false</v>
      </c>
      <c r="U154" s="220"/>
      <c r="V154" s="220"/>
      <c r="W154" s="220"/>
      <c r="X154" s="220"/>
      <c r="Y154" s="220"/>
      <c r="Z154" s="220"/>
      <c r="AA154" s="1533"/>
      <c r="AB154" s="403" t="str">
        <f>AB153&amp;".1"</f>
        <v>2.3.0.3.1</v>
      </c>
      <c r="AC154" s="603" t="s">
        <v>985</v>
      </c>
      <c r="AD154" s="151" t="s">
        <v>690</v>
      </c>
      <c r="AE154" s="64"/>
      <c r="AF154" s="64"/>
      <c r="AG154" s="64"/>
      <c r="AH154" s="64"/>
      <c r="AI154" s="583"/>
      <c r="AJ154" s="583"/>
      <c r="AK154" s="583"/>
      <c r="AL154" s="583"/>
      <c r="AM154" s="583"/>
      <c r="AN154" s="64"/>
      <c r="AO154" s="64"/>
      <c r="AP154" s="64"/>
      <c r="AQ154" s="64"/>
      <c r="AR154" s="64"/>
      <c r="AS154" s="583"/>
      <c r="AT154" s="583"/>
      <c r="AU154" s="583"/>
      <c r="AV154" s="583"/>
      <c r="AW154" s="583"/>
      <c r="AX154" s="64"/>
      <c r="AY154" s="64"/>
      <c r="AZ154" s="64"/>
      <c r="BA154" s="64"/>
      <c r="BB154" s="64"/>
      <c r="BC154" s="73"/>
      <c r="BD154" s="220"/>
      <c r="BE154" s="220"/>
      <c r="BF154" s="1189" t="s">
        <v>986</v>
      </c>
      <c r="BG154" s="1189" t="s">
        <v>979</v>
      </c>
      <c r="BH154" s="1189" cm="1" t="str">
        <f t="array" ref="BH154:BH154">BH153</f>
        <v>0</v>
      </c>
      <c r="BI154" s="1190"/>
      <c r="BJ154" s="1190"/>
    </row>
    <row s="220" customFormat="1" customHeight="1" ht="10.5">
      <c r="A155" s="220"/>
      <c r="B155" s="220"/>
      <c r="C155" s="220"/>
      <c r="D155" s="220"/>
      <c r="E155" s="921">
        <v>11.4</v>
      </c>
      <c r="F155" s="919" cm="1" t="str">
        <f t="array" ref="F155:F155">OFFSET(G155,-1,-1)</f>
        <v>2</v>
      </c>
      <c r="G155" s="220"/>
      <c r="H155" s="220"/>
      <c r="I155" s="220"/>
      <c r="J155" s="220"/>
      <c r="K155" s="220"/>
      <c r="L155" s="220"/>
      <c r="M155" s="220"/>
      <c r="N155" s="220"/>
      <c r="O155" s="220"/>
      <c r="P155" s="220"/>
      <c r="Q155" s="220"/>
      <c r="R155" s="220"/>
      <c r="S155" s="220"/>
      <c r="T155" s="920">
        <f>F155&gt;0</f>
        <v>1</v>
      </c>
      <c r="U155" s="220"/>
      <c r="V155" s="220"/>
      <c r="W155" s="371" t="s">
        <v>987</v>
      </c>
      <c r="X155" s="220"/>
      <c r="Y155" s="220"/>
      <c r="Z155" s="220"/>
      <c r="AA155" s="220"/>
      <c r="AB155" s="586"/>
      <c r="AC155" s="573" t="s">
        <v>978</v>
      </c>
      <c r="AD155" s="573"/>
      <c r="AE155" s="300"/>
      <c r="AF155" s="300"/>
      <c r="AG155" s="300"/>
      <c r="AH155" s="300"/>
      <c r="AI155" s="300"/>
      <c r="AJ155" s="300"/>
      <c r="AK155" s="300"/>
      <c r="AL155" s="300"/>
      <c r="AM155" s="300"/>
      <c r="AN155" s="300"/>
      <c r="AO155" s="300"/>
      <c r="AP155" s="300"/>
      <c r="AQ155" s="300"/>
      <c r="AR155" s="300"/>
      <c r="AS155" s="300"/>
      <c r="AT155" s="300"/>
      <c r="AU155" s="300"/>
      <c r="AV155" s="300"/>
      <c r="AW155" s="300"/>
      <c r="AX155" s="300"/>
      <c r="AY155" s="300"/>
      <c r="AZ155" s="300"/>
      <c r="BA155" s="300"/>
      <c r="BB155" s="300"/>
      <c r="BC155" s="1098"/>
      <c r="BD155" s="220"/>
      <c r="BE155" s="220"/>
      <c r="BF155" s="1189"/>
      <c r="BG155" s="1189"/>
      <c r="BH155" s="1189"/>
      <c r="BI155" s="1190" t="s">
        <v>979</v>
      </c>
      <c r="BJ155" s="1190"/>
    </row>
    <row s="962" customFormat="1" customHeight="1" ht="11.115">
      <c r="A156" s="400"/>
      <c r="B156" s="785"/>
      <c r="C156" s="176"/>
      <c r="D156" s="176"/>
      <c r="E156" s="922">
        <v>11.4</v>
      </c>
      <c r="F156" s="919"/>
      <c r="Q156" s="736"/>
      <c r="R156" s="736"/>
      <c r="T156" s="176"/>
      <c r="U156" s="176" t="s">
        <v>235</v>
      </c>
      <c r="V156" s="168" t="s">
        <v>989</v>
      </c>
      <c r="W156" s="176"/>
      <c r="X156" s="176"/>
      <c r="Y156" s="176"/>
      <c r="Z156" s="176"/>
      <c r="AB156" s="210"/>
      <c r="AC156" s="210"/>
      <c r="AD156" s="210"/>
      <c r="AE156" s="210"/>
      <c r="AF156" s="210"/>
      <c r="AG156" s="210"/>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F156" s="1177"/>
      <c r="BG156" s="1177"/>
      <c r="BH156" s="1177"/>
      <c r="BI156" s="1186"/>
      <c r="BJ156" s="1186"/>
    </row>
    <row s="962" customFormat="1" customHeight="1" ht="11.25" hidden="1">
      <c r="A157" s="400"/>
      <c r="B157" s="785"/>
      <c r="C157" s="176"/>
      <c r="D157" s="176"/>
      <c r="E157" s="922">
        <v>0</v>
      </c>
      <c r="F157" s="176"/>
      <c r="Q157" s="736"/>
      <c r="R157" s="736"/>
      <c r="T157" s="176"/>
      <c r="U157" s="176"/>
      <c r="V157" s="168"/>
      <c r="W157" s="176"/>
      <c r="X157" s="176"/>
      <c r="Y157" s="176"/>
      <c r="Z157" s="176"/>
      <c r="AB157" s="210"/>
      <c r="AC157" s="210"/>
      <c r="AD157" s="210"/>
      <c r="AE157" s="210"/>
      <c r="AF157" s="210"/>
      <c r="AG157" s="210"/>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F157" s="1177"/>
      <c r="BG157" s="1177"/>
      <c r="BH157" s="1177"/>
      <c r="BI157" s="1186"/>
      <c r="BJ157" s="1186"/>
    </row>
    <row customHeight="1" ht="14.625">
      <c r="E158" s="794">
        <v>15</v>
      </c>
      <c r="AB158" s="1527" t="s">
        <v>700</v>
      </c>
      <c r="AC158" s="1527"/>
      <c r="AD158" s="1527"/>
      <c r="AE158" s="1527"/>
      <c r="AF158" s="1527"/>
      <c r="AG158" s="1527"/>
      <c r="AH158" s="1527"/>
      <c r="AI158" s="1528"/>
      <c r="AJ158" s="1528"/>
      <c r="AK158" s="1528"/>
      <c r="AL158" s="1528"/>
      <c r="AM158" s="1528"/>
      <c r="AN158" s="1528"/>
      <c r="AO158" s="1528"/>
      <c r="AP158" s="1528"/>
      <c r="AQ158" s="1528"/>
      <c r="AR158" s="1528"/>
      <c r="AS158" s="1528"/>
      <c r="AT158" s="1528"/>
      <c r="AU158" s="1528"/>
      <c r="AV158" s="1528"/>
      <c r="AW158" s="1528"/>
      <c r="AX158" s="1528"/>
      <c r="AY158" s="1528"/>
      <c r="AZ158" s="1528"/>
      <c r="BA158" s="1528"/>
      <c r="BB158" s="1528"/>
      <c r="BC158" s="1528"/>
    </row>
    <row customHeight="1" ht="14.625">
      <c r="E159" s="794">
        <v>15</v>
      </c>
      <c r="AA159" s="918"/>
      <c r="AB159" s="1529"/>
      <c r="AC159" s="1529"/>
      <c r="AD159" s="1529"/>
      <c r="AE159" s="1529"/>
      <c r="AF159" s="1529"/>
      <c r="AG159" s="1529"/>
      <c r="AH159" s="1529"/>
      <c r="AI159" s="1530"/>
      <c r="AJ159" s="1530"/>
      <c r="AK159" s="1530"/>
      <c r="AL159" s="1530"/>
      <c r="AM159" s="1530"/>
      <c r="AN159" s="1796"/>
      <c r="AO159" s="1796"/>
      <c r="AP159" s="1796"/>
      <c r="AQ159" s="1796"/>
      <c r="AR159" s="1796"/>
      <c r="AS159" s="1530"/>
      <c r="AT159" s="1530"/>
      <c r="AU159" s="1530"/>
      <c r="AV159" s="1530"/>
      <c r="AW159" s="1530"/>
      <c r="AX159" s="1796"/>
      <c r="AY159" s="1796"/>
      <c r="AZ159" s="1796"/>
      <c r="BA159" s="1796"/>
      <c r="BB159" s="1796"/>
      <c r="BC159" s="1530"/>
    </row>
    <row customHeight="1" ht="14.625" hidden="1">
      <c r="A160" s="1183"/>
      <c r="B160" s="924"/>
      <c r="C160" s="1461"/>
      <c r="D160" s="1461"/>
      <c r="E160" s="794">
        <v>15</v>
      </c>
      <c r="F160" s="1461"/>
      <c r="G160" s="497"/>
      <c r="H160" s="497"/>
      <c r="I160" s="497"/>
      <c r="J160" s="497"/>
      <c r="K160" s="497"/>
      <c r="L160" s="497"/>
      <c r="M160" s="497"/>
      <c r="N160" s="497"/>
      <c r="O160" s="497"/>
      <c r="P160" s="497"/>
      <c r="Q160" s="925"/>
      <c r="R160" s="925"/>
      <c r="S160" s="497"/>
      <c r="T160" s="805">
        <f>ROW(W160)&gt;ROW(W$160)</f>
        <v>0</v>
      </c>
      <c r="U160" s="1461"/>
      <c r="V160" s="1461"/>
      <c r="W160" s="172" t="s">
        <v>233</v>
      </c>
      <c r="X160" s="1461"/>
      <c r="Y160" s="1461"/>
      <c r="Z160" s="1461"/>
      <c r="AA160" s="914" t="s">
        <v>217</v>
      </c>
      <c r="AB160" s="1797"/>
      <c r="AC160" s="1797"/>
      <c r="AD160" s="1797"/>
      <c r="AE160" s="1797"/>
      <c r="AF160" s="1797"/>
      <c r="AG160" s="1797"/>
      <c r="AH160" s="1797"/>
      <c r="AI160" s="1530"/>
      <c r="AJ160" s="1530"/>
      <c r="AK160" s="1530"/>
      <c r="AL160" s="1530"/>
      <c r="AM160" s="1530"/>
      <c r="AN160" s="1796"/>
      <c r="AO160" s="1796"/>
      <c r="AP160" s="1796"/>
      <c r="AQ160" s="1796"/>
      <c r="AR160" s="1796"/>
      <c r="AS160" s="1530"/>
      <c r="AT160" s="1530"/>
      <c r="AU160" s="1530"/>
      <c r="AV160" s="1530"/>
      <c r="AW160" s="1530"/>
      <c r="AX160" s="1796"/>
      <c r="AY160" s="1796"/>
      <c r="AZ160" s="1796"/>
      <c r="BA160" s="1796"/>
      <c r="BB160" s="1796"/>
      <c r="BC160" s="1796"/>
      <c r="BD160" s="497"/>
      <c r="BE160" s="497"/>
      <c r="BF160" s="1216"/>
      <c r="BG160" s="1216"/>
      <c r="BH160" s="1216"/>
      <c r="BI160" s="1227"/>
      <c r="BJ160" s="1227"/>
    </row>
    <row customHeight="1" ht="14.625">
      <c r="E161" s="794">
        <v>15</v>
      </c>
      <c r="W161" s="168" t="s">
        <v>990</v>
      </c>
      <c r="AB161" s="983" t="s">
        <v>701</v>
      </c>
      <c r="AC161" s="984"/>
      <c r="AD161" s="380"/>
      <c r="AE161" s="380"/>
      <c r="AF161" s="381"/>
      <c r="AG161" s="381"/>
      <c r="AH161" s="381"/>
      <c r="AI161" s="381"/>
      <c r="AJ161" s="381"/>
      <c r="AK161" s="381"/>
      <c r="AL161" s="381"/>
      <c r="AM161" s="381"/>
      <c r="AN161" s="381"/>
      <c r="AO161" s="381"/>
      <c r="AP161" s="381"/>
      <c r="AQ161" s="381"/>
      <c r="AR161" s="381"/>
      <c r="AS161" s="381"/>
      <c r="AT161" s="381"/>
      <c r="AU161" s="381"/>
      <c r="AV161" s="381"/>
      <c r="AW161" s="381"/>
      <c r="AX161" s="381"/>
      <c r="AY161" s="381"/>
      <c r="AZ161" s="381"/>
      <c r="BA161" s="381"/>
      <c r="BB161" s="381"/>
      <c r="BC161" s="382"/>
    </row>
    <row customHeight="1" ht="11.25">
      <c r="AI162" s="497"/>
      <c r="AJ162" s="497"/>
      <c r="AK162" s="497"/>
      <c r="AL162" s="497"/>
      <c r="AM162" s="497"/>
      <c r="AN162" s="497"/>
      <c r="AO162" s="497"/>
      <c r="AP162" s="497"/>
      <c r="AQ162" s="497"/>
      <c r="AR162" s="497"/>
      <c r="AS162" s="497"/>
      <c r="AT162" s="497"/>
      <c r="AU162" s="497"/>
      <c r="AV162" s="497"/>
      <c r="AW162" s="497"/>
      <c r="AX162" s="497"/>
      <c r="AY162" s="497"/>
      <c r="AZ162" s="497"/>
      <c r="BA162" s="497"/>
      <c r="BB162" s="497"/>
      <c r="BD162" s="210"/>
    </row>
  </sheetData>
  <sheetProtection formatColumns="0" formatRows="0" insertRows="0" deleteColumns="0" deleteRows="0" sort="0" autoFilter="0" insertColumns="1"/>
  <mergeCells count="55">
    <mergeCell ref="AB160:BC160"/>
    <mergeCell ref="Z27:Z67"/>
    <mergeCell ref="X27:X67"/>
    <mergeCell ref="Y34:Y36"/>
    <mergeCell ref="Y39:Y44"/>
    <mergeCell ref="Y53:Y56"/>
    <mergeCell ref="Y60:Y66"/>
    <mergeCell ref="S39:S44"/>
    <mergeCell ref="AB158:BC158"/>
    <mergeCell ref="AB159:BC159"/>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 ref="Z112:Z155"/>
    <mergeCell ref="X112:X155"/>
    <mergeCell ref="Y119:Y121"/>
    <mergeCell ref="Y127:Y132"/>
    <mergeCell ref="Y141:Y144"/>
    <mergeCell ref="Y148:Y154"/>
    <mergeCell ref="S127:S132"/>
    <mergeCell ref="S119:S121"/>
    <mergeCell ref="S141:S144"/>
    <mergeCell ref="S148:S154"/>
    <mergeCell ref="AA148:AA154"/>
    <mergeCell ref="AA141:AA144"/>
    <mergeCell ref="AA127:AA132"/>
    <mergeCell ref="AA119:AA121"/>
    <mergeCell ref="Y122:Y124"/>
    <mergeCell ref="S122:S124"/>
    <mergeCell ref="AA122:AA124"/>
  </mergeCells>
  <conditionalFormatting sqref="BF53:BF55">
    <cfRule type="duplicateValues" dxfId="0" priority="12">
      <formula>AND(COUNTIF($BF$53:$BF$55,BF53)&gt;1,NOT(ISBLANK(BF53)))</formula>
    </cfRule>
  </conditionalFormatting>
  <conditionalFormatting sqref="BF60:BF62">
    <cfRule type="duplicateValues" dxfId="1" priority="11">
      <formula>AND(COUNTIF($BF$60:$BF$62,BF60)&gt;1,NOT(ISBLANK(BF60)))</formula>
    </cfRule>
  </conditionalFormatting>
  <conditionalFormatting sqref="BF63">
    <cfRule type="duplicateValues" dxfId="2" priority="10">
      <formula>AND(COUNTIF($BF$63:$BF$63,BF63)&gt;1,NOT(ISBLANK(BF63)))</formula>
    </cfRule>
  </conditionalFormatting>
  <conditionalFormatting sqref="BF62">
    <cfRule type="duplicateValues" dxfId="3" priority="9">
      <formula>AND(COUNTIF($BF$62:$BF$62,BF62)&gt;1,NOT(ISBLANK(BF62)))</formula>
    </cfRule>
  </conditionalFormatting>
  <conditionalFormatting sqref="BF97:BF99">
    <cfRule type="duplicateValues" dxfId="4" priority="8">
      <formula>AND(COUNTIF($BF$97:$BF$99,BF97)&gt;1,NOT(ISBLANK(BF97)))</formula>
    </cfRule>
  </conditionalFormatting>
  <conditionalFormatting sqref="BF104:BF106">
    <cfRule type="duplicateValues" dxfId="5" priority="7">
      <formula>AND(COUNTIF($BF$104:$BF$106,BF104)&gt;1,NOT(ISBLANK(BF104)))</formula>
    </cfRule>
  </conditionalFormatting>
  <conditionalFormatting sqref="BF106">
    <cfRule type="duplicateValues" dxfId="6" priority="6">
      <formula>AND(COUNTIF($BF$106:$BF$106,BF106)&gt;1,NOT(ISBLANK(BF106)))</formula>
    </cfRule>
  </conditionalFormatting>
  <conditionalFormatting sqref="BF107">
    <cfRule type="duplicateValues" dxfId="7" priority="5">
      <formula>AND(COUNTIF($BF$107:$BF$107,BF107)&gt;1,NOT(ISBLANK(BF107)))</formula>
    </cfRule>
  </conditionalFormatting>
  <conditionalFormatting sqref="BF141:BF143">
    <cfRule type="duplicateValues" dxfId="8" priority="4">
      <formula>AND(COUNTIF($BF$141:$BF$143,BF141)&gt;1,NOT(ISBLANK(BF141)))</formula>
    </cfRule>
  </conditionalFormatting>
  <conditionalFormatting sqref="BF148:BF150">
    <cfRule type="duplicateValues" dxfId="9" priority="3">
      <formula>AND(COUNTIF($BF$148:$BF$150,BF148)&gt;1,NOT(ISBLANK(BF148)))</formula>
    </cfRule>
  </conditionalFormatting>
  <conditionalFormatting sqref="BF150">
    <cfRule type="duplicateValues" dxfId="10" priority="2">
      <formula>AND(COUNTIF($BF$150:$BF$150,BF150)&gt;1,NOT(ISBLANK(BF150)))</formula>
    </cfRule>
  </conditionalFormatting>
  <conditionalFormatting sqref="BF151">
    <cfRule type="duplicateValues" dxfId="11" priority="1">
      <formula>AND(COUNTIF($BF$151:$BF$151,BF151)&gt;1,NOT(ISBLANK(BF151)))</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9 AF119 AG119 AH119 AI119 AJ119 AK119 AL119 AM119 AN119 AO119 AP119 AQ119 AR119 AS119 AT119 AU119 AV119 AW119 AX119 AY119 AZ119 BA119 BB119 AE120 AF120 AG120 AH120 AI120 AJ120 AK120 AL120 AM120 AN120 AO120 AP120 AQ120 AR120 AS120 AT120 AU120 AV120 AW120 AX120 AY120 AZ120 BA120 BB120 AE121:AE124 AF121:AF124 AG121:AG124 AH121:AH124 AI121:AI124 AJ121:AJ124 AK121:AK124 AL121:AL124 AM121:AM124 AN121:AN124 AO121:AO124 AP121:AP124 AQ121:AQ124 AR121:AR124 AS121:AS124 AT121:AT124 AU121:AU124 AV121:AV124 AW121:AW124 AX121:AX124 AY121:AY124 AZ121:AZ124 BA121:BA124 BB121:BB124 AE128 AF128 AG128 AH128 AI128 AJ128 AK128 AL128 AM128 AN128 AO128 AP128 AQ128 AR128 AS128 AT128 AU128 AV128 AW128 AX128 AY128 AZ128 BA128 BB128 AE129 AF129 AG129 AH129 AI129 AJ129 AK129 AL129 AM129 AN129 AO129 AP129 AQ129 AR129 AS129 AT129 AU129 AV129 AW129 AX129 AY129 AZ129 BA129 BB129 AE130 AF130 AG130 AH130 AI130 AJ130 AK130 AL130 AM130 AN130 AO130 AP130 AQ130 AR130 AS130 AT130 AU130 AV130 AW130 AX130 AY130 AZ130 BA130 BB130 AE131 AF131 AG131 AH131 AI131 AJ131 AK131 AL131 AM131 AN131 AO131 AP131 AQ131 AR131 AS131 AT131 AU131 AV131 AW131 AX131 AY131 AZ131 BA131 BB131 AE132 AF132 AG132 AH132 AI132 AJ132 AK132 AL132 AM132 AN132 AO132 AP132 AQ132 AR132 AS132 AT132 AU132 AV132 AW132 AX132 AY132 AZ132 BA132 BB132 AE136 AF136 AG136 AH136 AI136 AJ136 AK136 AL136 AM136 AN136 AO136 AP136 AQ136 AR136 AS136 AT136 AU136 AV136 AW136 AX136 AY136 AZ136 BA136 BB136 AE141 AF141 AG141 AH141 AI141 AJ141 AK141 AL141 AM141 AN141 AO141 AP141 AQ141 AR141 AS141 AT141 AU141 AV141 AW141 AX141 AY141 AZ141 BA141 BB141 AE142 AF142 AG142 AH142 AI142 AJ142 AK142 AL142 AM142 AN142 AO142 AP142 AQ142 AR142 AS142 AT142 AU142 AV142 AW142 AX142 AY142 AZ142 BA142 BB142 AE143 AF143 AG143 AH143 AI143 AJ143 AK143 AL143 AM143 AN143 AO143 AP143 AQ143 AR143 AS143 AT143 AU143 AV143 AW143 AX143 AY143 AZ143 BA143 BB143 AE144 AF144 AG144 AH144 AI144 AJ144 AK144 AL144 AM144 AN144 AO144 AP144 AQ144 AR144 AS144 AT144 AU144 AV144 AW144 AX144 AY144 AZ144 BA144 BB144 AE148 AF148 AG148 AH148 AI148 AJ148 AK148 AL148 AM148 AN148 AO148 AP148 AQ148 AR148 AS148 AT148 AU148 AV148 AW148 AX148 AY148 AZ148 BA148 BB148 AE149 AF149 AG149 AH149 AI149 AJ149 AK149 AL149 AM149 AN149 AO149 AP149 AQ149 AR149 AS149 AT149 AU149 AV149 AW149 AX149 AY149 AZ149 BA149 BB149 AE150 AF150 AG150 AH150 AI150 AJ150 AK150 AL150 AM150 AN150 AO150 AP150 AQ150 AR150 AS150 AT150 AU150 AV150 AW150 AX150 AY150 AZ150 BA150 BB150 AE151 AF151 AG151 AH151 AI151 AJ151 AK151 AL151 AM151 AN151 AO151 AP151 AQ151 AR151 AS151 AT151 AU151 AV151 AW151 AX151 AY151 AZ151 BA151 BB151 AE152 AF152 AG152 AH152 AI152 AJ152 AK152 AL152 AM152 AN152 AO152 AP152 AQ152 AR152 AS152 AT152 AU152 AV152 AW152 AX152 AY152 AZ152 BA152 BB152 AE153 AF153 AG153 AH153 AI153 AJ153 AK153 AL153 AM153 AN153 AO153 AP153 AQ153 AR153 AS153 AT153 AU153 AV153 AW153 AX153 AY153 AZ153 BA153 BB153 AE154 AF154 AG154 AH154 AI154 AJ154 AK154 AL154 AM154 AN154 AO154 AP154 AQ154 AR154 AS154 AT154 AU154 AV154 AW154 AX154 AY154 AZ154 BA154 BB15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AC119 AC127 AC122">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31687C-905D-0046-6148-712A408D94B2}" mc:Ignorable="x14ac xr xr2 xr3">
  <sheetPr>
    <tabColor rgb="FFFFC000"/>
    <outlinePr summaryRight="0" summaryBelow="0"/>
    <pageSetUpPr fitToPage="1"/>
  </sheetPr>
  <dimension ref="A1:BJ78"/>
  <sheetViews>
    <sheetView showGridLines="0" workbookViewId="0">
      <pane xSplit="30" ySplit="26" topLeftCell="AI40" activePane="bottomRight" state="frozen"/>
      <selection pane="bottomLeft" activeCell="A27" sqref="A27"/>
      <selection pane="topRight" activeCell="AE1" sqref="AE1"/>
      <selection pane="bottomRight" activeCell="AS63" sqref="AS63:AW63"/>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376</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377</v>
      </c>
      <c r="BG1" s="1189" t="s">
        <v>378</v>
      </c>
      <c r="BH1" s="1189" t="s">
        <v>379</v>
      </c>
      <c r="BI1" s="1190" t="s">
        <v>382</v>
      </c>
      <c r="BJ1" s="1190" t="s">
        <v>383</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430</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431</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432</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388</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379</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487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224</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991</v>
      </c>
      <c r="AC24" s="1535" t="s">
        <v>224</v>
      </c>
      <c r="AD24" s="1527" t="s">
        <v>434</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587</v>
      </c>
    </row>
    <row customHeight="1" ht="48.847500000000004">
      <c r="E25" s="794">
        <v>50.1</v>
      </c>
      <c r="AB25" s="1534"/>
      <c r="AC25" s="1534"/>
      <c r="AD25" s="1534"/>
      <c r="AE25" s="167" t="s">
        <v>407</v>
      </c>
      <c r="AF25" s="1353" t="s">
        <v>588</v>
      </c>
      <c r="AG25" s="167" t="s">
        <v>589</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309</v>
      </c>
      <c r="X27" s="156">
        <v>0</v>
      </c>
      <c r="AB27" s="287" cm="1" t="str">
        <f t="array" ref="AB27:AB27">INDEX('Общие сведения'!$AG$169:$AG$218,MATCH($F27,'Общие сведения'!$Z$169:$Z$218,0))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992</v>
      </c>
      <c r="T28" s="816" cm="1" t="str">
        <f t="array" ref="T28:T28">T27</f>
        <v>false</v>
      </c>
      <c r="AB28" s="283">
        <v>1</v>
      </c>
      <c r="AC28" s="278" t="s">
        <v>993</v>
      </c>
      <c r="AD28" s="277" t="s">
        <v>805</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0" t="s">
        <v>994</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233</v>
      </c>
      <c r="Y30" s="156">
        <v>0</v>
      </c>
      <c r="AA30" s="1533" t="s">
        <v>217</v>
      </c>
      <c r="AB30" s="285" t="str">
        <f>"1."&amp;Y30</f>
        <v>1.0</v>
      </c>
      <c r="AC30" s="460"/>
      <c r="AD30" s="277" t="s">
        <v>805</v>
      </c>
      <c r="AE30" s="332">
        <f>AE31*AE32</f>
        <v>0</v>
      </c>
      <c r="AF30" s="61"/>
      <c r="AG30" s="61"/>
      <c r="AH30" s="332">
        <f>AH31*AH32</f>
        <v>0</v>
      </c>
      <c r="AI30" s="280"/>
      <c r="AJ30" s="280"/>
      <c r="AK30" s="280"/>
      <c r="AL30" s="280"/>
      <c r="AM30" s="280"/>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3"/>
      <c r="BF30" s="1170" t="s">
        <v>995</v>
      </c>
      <c r="BG30" s="1189" t="s">
        <v>996</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942</v>
      </c>
      <c r="AD31" s="151" t="s">
        <v>997</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280"/>
      <c r="AU31" s="280"/>
      <c r="AV31" s="280"/>
      <c r="AW31" s="280"/>
      <c r="AX31" s="61"/>
      <c r="AY31" s="61"/>
      <c r="AZ31" s="61"/>
      <c r="BA31" s="61"/>
      <c r="BB31" s="61"/>
      <c r="BC31" s="73"/>
      <c r="BF31" s="1170" t="s">
        <v>998</v>
      </c>
      <c r="BG31" s="1189" t="s">
        <v>996</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999</v>
      </c>
      <c r="AD32" s="151" t="s">
        <v>1000</v>
      </c>
      <c r="AE32" s="61"/>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73"/>
      <c r="BF32" s="1170" t="s">
        <v>1001</v>
      </c>
      <c r="BG32" s="1189" t="s">
        <v>996</v>
      </c>
      <c r="BH32" s="1189" cm="1" t="str">
        <f t="array" ref="BH32:BH32">BH30</f>
        <v>0</v>
      </c>
    </row>
    <row customHeight="1" ht="14.625" hidden="1">
      <c r="E33" s="794">
        <v>15</v>
      </c>
      <c r="F33" s="919" cm="1" t="str">
        <f t="array" ref="F33:F33">F29</f>
        <v>0</v>
      </c>
      <c r="T33" s="816">
        <f>F33&gt;0</f>
        <v>0</v>
      </c>
      <c r="W33" s="371" t="s">
        <v>1002</v>
      </c>
      <c r="AB33" s="299"/>
      <c r="AC33" s="300" t="s">
        <v>978</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996</v>
      </c>
    </row>
    <row customHeight="1" ht="14.625" hidden="1">
      <c r="E34" s="794">
        <v>15</v>
      </c>
      <c r="F34" s="919" cm="1" t="str">
        <f t="array" ref="F34:F34">F33</f>
        <v>0</v>
      </c>
      <c r="G34" s="190" t="s">
        <v>1003</v>
      </c>
      <c r="T34" s="816">
        <f>F34&gt;0</f>
        <v>0</v>
      </c>
      <c r="AB34" s="283">
        <v>2</v>
      </c>
      <c r="AC34" s="278" t="s">
        <v>1004</v>
      </c>
      <c r="AD34" s="277" t="s">
        <v>805</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0" t="s">
        <v>1005</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233</v>
      </c>
      <c r="Y36" s="156">
        <v>0</v>
      </c>
      <c r="AA36" s="1533" t="s">
        <v>217</v>
      </c>
      <c r="AB36" s="285" t="str">
        <f>"2."&amp;Y36</f>
        <v>2.0</v>
      </c>
      <c r="AC36" s="460"/>
      <c r="AD36" s="277" t="s">
        <v>805</v>
      </c>
      <c r="AE36" s="332">
        <f>AE37*AE38</f>
        <v>0</v>
      </c>
      <c r="AF36" s="61"/>
      <c r="AG36" s="61"/>
      <c r="AH36" s="332">
        <f>AH37*AH38</f>
        <v>0</v>
      </c>
      <c r="AI36" s="280"/>
      <c r="AJ36" s="280"/>
      <c r="AK36" s="280"/>
      <c r="AL36" s="280"/>
      <c r="AM36" s="280"/>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3"/>
      <c r="BF36" s="1170" t="s">
        <v>1006</v>
      </c>
      <c r="BG36" s="1189" t="s">
        <v>1007</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942</v>
      </c>
      <c r="AD37" s="151" t="s">
        <v>997</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280"/>
      <c r="AX37" s="61"/>
      <c r="AY37" s="61"/>
      <c r="AZ37" s="61"/>
      <c r="BA37" s="61"/>
      <c r="BB37" s="61"/>
      <c r="BC37" s="73"/>
      <c r="BF37" s="1170" t="s">
        <v>1008</v>
      </c>
      <c r="BG37" s="1189" t="s">
        <v>1007</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1009</v>
      </c>
      <c r="AD38" s="151" t="s">
        <v>1000</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170" t="s">
        <v>1010</v>
      </c>
      <c r="BG38" s="1189" t="s">
        <v>1007</v>
      </c>
      <c r="BH38" s="1189" cm="1" t="str">
        <f t="array" ref="BH38:BH38">BH36</f>
        <v>0</v>
      </c>
    </row>
    <row customHeight="1" ht="14.625" hidden="1">
      <c r="E39" s="794">
        <v>15</v>
      </c>
      <c r="F39" s="919" cm="1" t="str">
        <f t="array" ref="F39:F39">OFFSET(G39,-1,-1)</f>
        <v>0</v>
      </c>
      <c r="T39" s="816">
        <f>F39&gt;0</f>
        <v>0</v>
      </c>
      <c r="W39" s="371" t="s">
        <v>1011</v>
      </c>
      <c r="AB39" s="299"/>
      <c r="AC39" s="300" t="s">
        <v>978</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1007</v>
      </c>
    </row>
    <row s="1619"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W40" s="1440"/>
      <c r="X40" s="156" t="s">
        <v>335</v>
      </c>
      <c r="Y40" s="1440"/>
      <c r="Z40" s="1440"/>
      <c r="AA40" s="220"/>
      <c r="AB40" s="287" cm="1" t="str">
        <f t="array" ref="AB40:AB40">IF(ISBLANK(ЭнергоРесурсы!$AB$68),"",ЭнергоРесурсы!$AB$68)</f>
        <v>Тариф 1 (Теплоснабжение) - Тариф на тепловую энергию (мощность), поставляемую потребителям (Тариф: Носитель - горячая вода (Т); Носитель - горячая вода (Т))</v>
      </c>
      <c r="AC40" s="257"/>
      <c r="AD40" s="257"/>
      <c r="AE40" s="377">
        <f>AE41+AE50</f>
        <v>0</v>
      </c>
      <c r="AF40" s="377">
        <f>AF41+AF50</f>
        <v>0</v>
      </c>
      <c r="AG40" s="377">
        <f>AG41+AG50</f>
        <v>0</v>
      </c>
      <c r="AH40" s="377">
        <f>AH41+AH50</f>
        <v>0</v>
      </c>
      <c r="AI40" s="377">
        <f>AI41+AI50</f>
        <v>159</v>
      </c>
      <c r="AJ40" s="377">
        <f>AJ41+AJ50</f>
        <v>166</v>
      </c>
      <c r="AK40" s="377">
        <f>AK41+AK50</f>
        <v>172</v>
      </c>
      <c r="AL40" s="377">
        <f>AL41+AL50</f>
        <v>179</v>
      </c>
      <c r="AM40" s="377">
        <f>AM41+AM50</f>
        <v>186</v>
      </c>
      <c r="AN40" s="377">
        <f>AN41+AN50</f>
        <v>0</v>
      </c>
      <c r="AO40" s="377">
        <f>AO41+AO50</f>
        <v>0</v>
      </c>
      <c r="AP40" s="377">
        <f>AP41+AP50</f>
        <v>0</v>
      </c>
      <c r="AQ40" s="377">
        <f>AQ41+AQ50</f>
        <v>0</v>
      </c>
      <c r="AR40" s="377">
        <f>AR41+AR50</f>
        <v>0</v>
      </c>
      <c r="AS40" s="377">
        <f>AS41+AS50</f>
        <v>127</v>
      </c>
      <c r="AT40" s="377">
        <f>AT41+AT50</f>
        <v>132</v>
      </c>
      <c r="AU40" s="377">
        <f>AU41+AU50</f>
        <v>137</v>
      </c>
      <c r="AV40" s="377">
        <f>AV41+AV50</f>
        <v>142</v>
      </c>
      <c r="AW40" s="377">
        <f>AW41+AW50</f>
        <v>148</v>
      </c>
      <c r="AX40" s="377">
        <f>AX41+AX50</f>
        <v>0</v>
      </c>
      <c r="AY40" s="377">
        <f>AY41+AY50</f>
        <v>0</v>
      </c>
      <c r="AZ40" s="377">
        <f>AZ41+AZ50</f>
        <v>0</v>
      </c>
      <c r="BA40" s="377">
        <f>BA41+BA50</f>
        <v>0</v>
      </c>
      <c r="BB40" s="377">
        <f>BB41+BB50</f>
        <v>0</v>
      </c>
      <c r="BC40" s="289"/>
      <c r="BD40" s="220"/>
      <c r="BE40" s="220"/>
      <c r="BF40" s="1189"/>
      <c r="BG40" s="1189"/>
      <c r="BH40" s="1189"/>
      <c r="BI40" s="1190"/>
      <c r="BJ40" s="1190"/>
    </row>
    <row s="1619" customFormat="1" customHeight="1" ht="14.25">
      <c r="A41" s="1425"/>
      <c r="B41" s="924"/>
      <c r="C41" s="1425"/>
      <c r="D41" s="1425"/>
      <c r="E41" s="794">
        <v>15</v>
      </c>
      <c r="F41" s="919" cm="1" t="str">
        <f t="array" ref="F41:F41">F40</f>
        <v>1</v>
      </c>
      <c r="G41" s="190" t="s">
        <v>992</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993</v>
      </c>
      <c r="AD41" s="277" t="s">
        <v>805</v>
      </c>
      <c r="AE41" s="279">
        <f>SUMIF($AD42:$AD49,$AD41,AE42:AE49)</f>
        <v>0</v>
      </c>
      <c r="AF41" s="279">
        <f>SUMIF($AD42:$AD49,$AD41,AF42:AF49)</f>
        <v>0</v>
      </c>
      <c r="AG41" s="279">
        <f>SUMIF($AD42:$AD49,$AD41,AG42:AG49)</f>
        <v>0</v>
      </c>
      <c r="AH41" s="279">
        <f>SUMIF($AD42:$AD49,$AD41,AH42:AH49)</f>
        <v>0</v>
      </c>
      <c r="AI41" s="279">
        <f>SUMIF($AD42:$AD49,$AD41,AI42:AI49)</f>
        <v>159</v>
      </c>
      <c r="AJ41" s="292">
        <f>SUMIF($AD42:$AD49,$AD41,AJ42:AJ49)</f>
        <v>166</v>
      </c>
      <c r="AK41" s="292">
        <f>SUMIF($AD42:$AD49,$AD41,AK42:AK49)</f>
        <v>172</v>
      </c>
      <c r="AL41" s="292">
        <f>SUMIF($AD42:$AD49,$AD41,AL42:AL49)</f>
        <v>179</v>
      </c>
      <c r="AM41" s="292">
        <f>SUMIF($AD42:$AD49,$AD41,AM42:AM49)</f>
        <v>186</v>
      </c>
      <c r="AN41" s="1793">
        <f>SUMIF($AD42:$AD49,$AD41,AN42:AN49)</f>
        <v>0</v>
      </c>
      <c r="AO41" s="1793">
        <f>SUMIF($AD42:$AD49,$AD41,AO42:AO49)</f>
        <v>0</v>
      </c>
      <c r="AP41" s="1793">
        <f>SUMIF($AD42:$AD49,$AD41,AP42:AP49)</f>
        <v>0</v>
      </c>
      <c r="AQ41" s="1793">
        <f>SUMIF($AD42:$AD49,$AD41,AQ42:AQ49)</f>
        <v>0</v>
      </c>
      <c r="AR41" s="1793">
        <f>SUMIF($AD42:$AD49,$AD41,AR42:AR49)</f>
        <v>0</v>
      </c>
      <c r="AS41" s="279">
        <f>SUMIF($AD42:$AD49,$AD41,AS42:AS49)</f>
        <v>127</v>
      </c>
      <c r="AT41" s="292">
        <f>SUMIF($AD42:$AD49,$AD41,AT42:AT49)</f>
        <v>132</v>
      </c>
      <c r="AU41" s="292">
        <f>SUMIF($AD42:$AD49,$AD41,AU42:AU49)</f>
        <v>137</v>
      </c>
      <c r="AV41" s="292">
        <f>SUMIF($AD42:$AD49,$AD41,AV42:AV49)</f>
        <v>142</v>
      </c>
      <c r="AW41" s="292">
        <f>SUMIF($AD42:$AD49,$AD41,AW42:AW49)</f>
        <v>148</v>
      </c>
      <c r="AX41" s="1793">
        <f>SUMIF($AD42:$AD49,$AD41,AX42:AX49)</f>
        <v>0</v>
      </c>
      <c r="AY41" s="1793">
        <f>SUMIF($AD42:$AD49,$AD41,AY42:AY49)</f>
        <v>0</v>
      </c>
      <c r="AZ41" s="1793">
        <f>SUMIF($AD42:$AD49,$AD41,AZ42:AZ49)</f>
        <v>0</v>
      </c>
      <c r="BA41" s="1793">
        <f>SUMIF($AD42:$AD49,$AD41,BA42:BA49)</f>
        <v>0</v>
      </c>
      <c r="BB41" s="1793">
        <f>SUMIF($AD42:$AD49,$AD41,BB42:BB49)</f>
        <v>0</v>
      </c>
      <c r="BC41" s="1730"/>
      <c r="BD41" s="220"/>
      <c r="BE41" s="220"/>
      <c r="BF41" s="1170" t="s">
        <v>994</v>
      </c>
      <c r="BG41" s="1189"/>
      <c r="BH41" s="1189"/>
      <c r="BI41" s="1190"/>
      <c r="BJ41" s="1190"/>
    </row>
    <row s="1619"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19" customFormat="1" customHeight="1" ht="14.25" hidden="1">
      <c r="A43" s="1122" t="str">
        <f>"checkCosts_1."&amp;F43&amp;"."&amp;Y43</f>
        <v>checkCosts_1.1.0</v>
      </c>
      <c r="E43" s="794">
        <v>15</v>
      </c>
      <c r="F43" s="919" cm="1" t="str">
        <f t="array" ref="F43:F43">OFFSET(G43,-1,-1)</f>
        <v>1</v>
      </c>
      <c r="H43" s="152" cm="1" t="str">
        <f t="array" ref="H43:H43">AC43</f>
        <v>0</v>
      </c>
      <c r="T43" s="920">
        <f>AND(F43&gt;0,Y43&gt;0)</f>
        <v>0</v>
      </c>
      <c r="W43" s="156" t="s">
        <v>233</v>
      </c>
      <c r="Y43" s="156">
        <v>0</v>
      </c>
      <c r="AA43" s="1533" t="s">
        <v>217</v>
      </c>
      <c r="AB43" s="285" t="str">
        <f>"1."&amp;Y43</f>
        <v>1.0</v>
      </c>
      <c r="AC43" s="460"/>
      <c r="AD43" s="277" t="s">
        <v>805</v>
      </c>
      <c r="AE43" s="332">
        <f>AE44*AE45</f>
        <v>0</v>
      </c>
      <c r="AF43" s="61"/>
      <c r="AG43" s="61"/>
      <c r="AH43" s="332">
        <f>AH44*AH45</f>
        <v>0</v>
      </c>
      <c r="AI43" s="280"/>
      <c r="AJ43" s="280"/>
      <c r="AK43" s="280"/>
      <c r="AL43" s="280"/>
      <c r="AM43" s="280"/>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3"/>
      <c r="BF43" s="1170" t="s">
        <v>995</v>
      </c>
      <c r="BG43" s="1189" t="s">
        <v>996</v>
      </c>
      <c r="BH43" s="1189" cm="1" t="str">
        <f t="array" ref="BH43:BH43">AC43</f>
        <v>0</v>
      </c>
      <c r="BI43" s="1190"/>
      <c r="BJ43" s="1190" t="b">
        <v>1</v>
      </c>
    </row>
    <row s="1387" customFormat="1" customHeight="1" ht="14.25" hidden="1">
      <c r="E44" s="794">
        <v>15</v>
      </c>
      <c r="F44" s="919" cm="1" t="str">
        <f t="array" ref="F44:F44">F42</f>
        <v>1</v>
      </c>
      <c r="H44" s="152" cm="1" t="str">
        <f t="array" ref="H44:H44">H43</f>
        <v>0</v>
      </c>
      <c r="T44" s="920" cm="1" t="str">
        <f t="array" ref="T44:T44">T43</f>
        <v>false</v>
      </c>
      <c r="AA44" s="1533"/>
      <c r="AB44" s="285" t="str">
        <f>AB43&amp;".1"</f>
        <v>1.0.1</v>
      </c>
      <c r="AC44" s="291" t="s">
        <v>942</v>
      </c>
      <c r="AD44" s="151" t="s">
        <v>997</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280"/>
      <c r="AU44" s="280"/>
      <c r="AV44" s="280"/>
      <c r="AW44" s="280"/>
      <c r="AX44" s="61"/>
      <c r="AY44" s="61"/>
      <c r="AZ44" s="61"/>
      <c r="BA44" s="61"/>
      <c r="BB44" s="61"/>
      <c r="BC44" s="73"/>
      <c r="BF44" s="1170" t="s">
        <v>998</v>
      </c>
      <c r="BG44" s="1189" t="s">
        <v>996</v>
      </c>
      <c r="BH44" s="1189" cm="1" t="str">
        <f t="array" ref="BH44:BH44">BH43</f>
        <v>0</v>
      </c>
      <c r="BI44" s="1190"/>
      <c r="BJ44" s="1190"/>
    </row>
    <row s="1619" customFormat="1" customHeight="1" ht="14.25" hidden="1">
      <c r="A45" s="1122" t="str">
        <f>"checkVolume_1."&amp;F45&amp;"."&amp;Y43</f>
        <v>checkVolume_1.1.0</v>
      </c>
      <c r="E45" s="794">
        <v>15</v>
      </c>
      <c r="F45" s="919" cm="1" t="str">
        <f t="array" ref="F45:F45">F43</f>
        <v>1</v>
      </c>
      <c r="H45" s="152" cm="1" t="str">
        <f t="array" ref="H45:H45">H43</f>
        <v>0</v>
      </c>
      <c r="T45" s="920" cm="1" t="str">
        <f t="array" ref="T45:T45">T43</f>
        <v>false</v>
      </c>
      <c r="AA45" s="1533"/>
      <c r="AB45" s="285" t="str">
        <f>AB43&amp;".2"</f>
        <v>1.0.2</v>
      </c>
      <c r="AC45" s="291" t="s">
        <v>999</v>
      </c>
      <c r="AD45" s="151" t="s">
        <v>1000</v>
      </c>
      <c r="AE45" s="61"/>
      <c r="AF45" s="61"/>
      <c r="AG45" s="61"/>
      <c r="AH45" s="61"/>
      <c r="AI45" s="280"/>
      <c r="AJ45" s="280"/>
      <c r="AK45" s="280"/>
      <c r="AL45" s="280"/>
      <c r="AM45" s="280"/>
      <c r="AN45" s="61"/>
      <c r="AO45" s="61"/>
      <c r="AP45" s="61"/>
      <c r="AQ45" s="61"/>
      <c r="AR45" s="61"/>
      <c r="AS45" s="280"/>
      <c r="AT45" s="280"/>
      <c r="AU45" s="280"/>
      <c r="AV45" s="280"/>
      <c r="AW45" s="280"/>
      <c r="AX45" s="61"/>
      <c r="AY45" s="61"/>
      <c r="AZ45" s="61"/>
      <c r="BA45" s="61"/>
      <c r="BB45" s="61"/>
      <c r="BC45" s="73"/>
      <c r="BF45" s="1170" t="s">
        <v>1001</v>
      </c>
      <c r="BG45" s="1189" t="s">
        <v>996</v>
      </c>
      <c r="BH45" s="1189" cm="1" t="str">
        <f t="array" ref="BH45:BH45">BH43</f>
        <v>0</v>
      </c>
      <c r="BI45" s="1190"/>
      <c r="BJ45" s="1190"/>
    </row>
    <row s="1619" customFormat="1" customHeight="1" ht="14.25">
      <c r="A46" s="1122" t="str">
        <f>"checkCosts_1."&amp;F46&amp;"."&amp;Y46</f>
        <v>checkCosts_1.1.1</v>
      </c>
      <c r="B46" s="1619"/>
      <c r="C46" s="1619"/>
      <c r="D46" s="1619"/>
      <c r="E46" s="794">
        <v>15</v>
      </c>
      <c r="F46" s="919" cm="1" t="str">
        <f t="array" ref="F46:F46">OFFSET(G46,-1,-1)</f>
        <v>1</v>
      </c>
      <c r="G46" s="1619"/>
      <c r="H46" s="152" cm="1" t="str">
        <f t="array" ref="H46:H46">AC46</f>
        <v>ООО "Водоканал"::4217166136::421701001</v>
      </c>
      <c r="I46" s="1619"/>
      <c r="J46" s="1619"/>
      <c r="K46" s="1619"/>
      <c r="L46" s="1619"/>
      <c r="M46" s="1619"/>
      <c r="N46" s="1619"/>
      <c r="O46" s="1619"/>
      <c r="P46" s="1619"/>
      <c r="Q46" s="1619"/>
      <c r="R46" s="1619"/>
      <c r="S46" s="1619"/>
      <c r="T46" s="920">
        <f>AND(F46&gt;0,Y46&gt;0)</f>
        <v>1</v>
      </c>
      <c r="U46" s="1619"/>
      <c r="V46" s="1619"/>
      <c r="W46" s="156"/>
      <c r="X46" s="1619"/>
      <c r="Y46" s="156" t="s">
        <v>335</v>
      </c>
      <c r="Z46" s="1619"/>
      <c r="AA46" s="1533" t="s">
        <v>217</v>
      </c>
      <c r="AB46" s="285" t="str">
        <f>"1."&amp;Y46</f>
        <v>1.1</v>
      </c>
      <c r="AC46" s="460" t="s">
        <v>1012</v>
      </c>
      <c r="AD46" s="277" t="s">
        <v>805</v>
      </c>
      <c r="AE46" s="332">
        <f>AE47*AE48</f>
        <v>0</v>
      </c>
      <c r="AF46" s="1666"/>
      <c r="AG46" s="1666"/>
      <c r="AH46" s="332">
        <f>AH47*AH48</f>
        <v>0</v>
      </c>
      <c r="AI46" s="280">
        <v>159</v>
      </c>
      <c r="AJ46" s="280">
        <v>166</v>
      </c>
      <c r="AK46" s="280">
        <v>172</v>
      </c>
      <c r="AL46" s="280">
        <v>179</v>
      </c>
      <c r="AM46" s="280">
        <v>186</v>
      </c>
      <c r="AN46" s="1666"/>
      <c r="AO46" s="1666"/>
      <c r="AP46" s="1666"/>
      <c r="AQ46" s="1666"/>
      <c r="AR46" s="1666"/>
      <c r="AS46" s="332">
        <f>AS47*AS48</f>
        <v>127</v>
      </c>
      <c r="AT46" s="332">
        <f>AT47*AT48</f>
        <v>132</v>
      </c>
      <c r="AU46" s="332">
        <f>AU47*AU48</f>
        <v>137</v>
      </c>
      <c r="AV46" s="332">
        <f>AV47*AV48</f>
        <v>142</v>
      </c>
      <c r="AW46" s="332">
        <f>AW47*AW48</f>
        <v>148</v>
      </c>
      <c r="AX46" s="332">
        <f>AX47*AX48</f>
        <v>0</v>
      </c>
      <c r="AY46" s="332">
        <f>AY47*AY48</f>
        <v>0</v>
      </c>
      <c r="AZ46" s="332">
        <f>AZ47*AZ48</f>
        <v>0</v>
      </c>
      <c r="BA46" s="332">
        <f>BA47*BA48</f>
        <v>0</v>
      </c>
      <c r="BB46" s="332">
        <f>BB47*BB48</f>
        <v>0</v>
      </c>
      <c r="BC46" s="1730"/>
      <c r="BD46" s="1619"/>
      <c r="BE46" s="1619"/>
      <c r="BF46" s="1170" t="s">
        <v>995</v>
      </c>
      <c r="BG46" s="1189" t="s">
        <v>996</v>
      </c>
      <c r="BH46" s="1189" cm="1" t="str">
        <f t="array" ref="BH46:BH46">AC46</f>
        <v>ООО "Водоканал"::4217166136::421701001</v>
      </c>
      <c r="BI46" s="1190"/>
      <c r="BJ46" s="1190" t="b">
        <v>1</v>
      </c>
    </row>
    <row s="1387" customFormat="1" customHeight="1" ht="14.25">
      <c r="A47" s="1387"/>
      <c r="B47" s="1387"/>
      <c r="C47" s="1387"/>
      <c r="D47" s="1387"/>
      <c r="E47" s="794">
        <v>15</v>
      </c>
      <c r="F47" s="919" cm="1" t="str">
        <f t="array" ref="F47:F47">F45</f>
        <v>1</v>
      </c>
      <c r="G47" s="1387"/>
      <c r="H47" s="152" cm="1" t="str">
        <f t="array" ref="H47:H47">H46</f>
        <v>ООО "Водоканал"::4217166136::421701001</v>
      </c>
      <c r="I47" s="1387"/>
      <c r="J47" s="1387"/>
      <c r="K47" s="1387"/>
      <c r="L47" s="1387"/>
      <c r="M47" s="1387"/>
      <c r="N47" s="1387"/>
      <c r="O47" s="1387"/>
      <c r="P47" s="1387"/>
      <c r="Q47" s="1387"/>
      <c r="R47" s="1387"/>
      <c r="S47" s="1387"/>
      <c r="T47" s="920" cm="1" t="str">
        <f t="array" ref="T47:T47">T46</f>
        <v>true</v>
      </c>
      <c r="U47" s="1387"/>
      <c r="V47" s="1387"/>
      <c r="W47" s="1387"/>
      <c r="X47" s="1387"/>
      <c r="Y47" s="1387"/>
      <c r="Z47" s="1387"/>
      <c r="AA47" s="1533"/>
      <c r="AB47" s="285" t="str">
        <f>AB46&amp;".1"</f>
        <v>1.1.1</v>
      </c>
      <c r="AC47" s="291" t="s">
        <v>942</v>
      </c>
      <c r="AD47" s="151" t="s">
        <v>997</v>
      </c>
      <c r="AE47" s="1666"/>
      <c r="AF47" s="332">
        <f>IF(AF48=0,0,AF46/AF48)</f>
        <v>0</v>
      </c>
      <c r="AG47" s="332">
        <f>IF(AG48=0,0,AG46/AG48)</f>
        <v>0</v>
      </c>
      <c r="AH47" s="1666"/>
      <c r="AI47" s="332">
        <f>IF(AI48=0,0,AI46/AI48)</f>
        <v>73.2718894009217</v>
      </c>
      <c r="AJ47" s="332">
        <f>IF(AJ48=0,0,AJ46/AJ48)</f>
        <v>76.4976958525346</v>
      </c>
      <c r="AK47" s="332">
        <f>IF(AK48=0,0,AK46/AK48)</f>
        <v>79.2626728110599</v>
      </c>
      <c r="AL47" s="332">
        <f>IF(AL48=0,0,AL46/AL48)</f>
        <v>82.4884792626728</v>
      </c>
      <c r="AM47" s="332">
        <f>IF(AM48=0,0,AM46/AM48)</f>
        <v>85.7142857142857</v>
      </c>
      <c r="AN47" s="332">
        <f>IF(AN48=0,0,AN46/AN48)</f>
        <v>0</v>
      </c>
      <c r="AO47" s="332">
        <f>IF(AO48=0,0,AO46/AO48)</f>
        <v>0</v>
      </c>
      <c r="AP47" s="332">
        <f>IF(AP48=0,0,AP46/AP48)</f>
        <v>0</v>
      </c>
      <c r="AQ47" s="332">
        <f>IF(AQ48=0,0,AQ46/AQ48)</f>
        <v>0</v>
      </c>
      <c r="AR47" s="332">
        <f>IF(AR48=0,0,AR46/AR48)</f>
        <v>0</v>
      </c>
      <c r="AS47" s="280">
        <f>127/AS48</f>
        <v>58.5253456221198</v>
      </c>
      <c r="AT47" s="280">
        <f>132/AT48</f>
        <v>60.8294930875576</v>
      </c>
      <c r="AU47" s="280">
        <f>137/AU48</f>
        <v>63.1336405529954</v>
      </c>
      <c r="AV47" s="280">
        <f>142/AV48</f>
        <v>65.4377880184332</v>
      </c>
      <c r="AW47" s="280">
        <f>148/AW48</f>
        <v>68.2027649769585</v>
      </c>
      <c r="AX47" s="1666"/>
      <c r="AY47" s="1666"/>
      <c r="AZ47" s="1666"/>
      <c r="BA47" s="1666"/>
      <c r="BB47" s="1666"/>
      <c r="BC47" s="1730"/>
      <c r="BD47" s="1387"/>
      <c r="BE47" s="1387"/>
      <c r="BF47" s="1170" t="s">
        <v>998</v>
      </c>
      <c r="BG47" s="1189" t="s">
        <v>996</v>
      </c>
      <c r="BH47" s="1189" cm="1" t="str">
        <f t="array" ref="BH47:BH47">BH46</f>
        <v>ООО "Водоканал"::4217166136::421701001</v>
      </c>
      <c r="BI47" s="1190"/>
      <c r="BJ47" s="1190"/>
    </row>
    <row s="1619" customFormat="1" customHeight="1" ht="14.25">
      <c r="A48" s="1122" t="str">
        <f>"checkVolume_1."&amp;F48&amp;"."&amp;Y46</f>
        <v>checkVolume_1.1.1</v>
      </c>
      <c r="B48" s="1619"/>
      <c r="C48" s="1619"/>
      <c r="D48" s="1619"/>
      <c r="E48" s="794">
        <v>15</v>
      </c>
      <c r="F48" s="919" cm="1" t="str">
        <f t="array" ref="F48:F48">F46</f>
        <v>1</v>
      </c>
      <c r="G48" s="1619"/>
      <c r="H48" s="152" cm="1" t="str">
        <f t="array" ref="H48:H48">H46</f>
        <v>ООО "Водоканал"::4217166136::421701001</v>
      </c>
      <c r="I48" s="1619"/>
      <c r="J48" s="1619"/>
      <c r="K48" s="1619"/>
      <c r="L48" s="1619"/>
      <c r="M48" s="1619"/>
      <c r="N48" s="1619"/>
      <c r="O48" s="1619"/>
      <c r="P48" s="1619"/>
      <c r="Q48" s="1619"/>
      <c r="R48" s="1619"/>
      <c r="S48" s="1619"/>
      <c r="T48" s="920" cm="1" t="str">
        <f t="array" ref="T48:T48">T46</f>
        <v>true</v>
      </c>
      <c r="U48" s="1619"/>
      <c r="V48" s="1619"/>
      <c r="W48" s="1619"/>
      <c r="X48" s="1619"/>
      <c r="Y48" s="1619"/>
      <c r="Z48" s="1619"/>
      <c r="AA48" s="1533"/>
      <c r="AB48" s="285" t="str">
        <f>AB46&amp;".2"</f>
        <v>1.1.2</v>
      </c>
      <c r="AC48" s="291" t="s">
        <v>999</v>
      </c>
      <c r="AD48" s="151" t="s">
        <v>1000</v>
      </c>
      <c r="AE48" s="1666"/>
      <c r="AF48" s="1666"/>
      <c r="AG48" s="1666"/>
      <c r="AH48" s="1666"/>
      <c r="AI48" s="280">
        <v>2.17</v>
      </c>
      <c r="AJ48" s="280">
        <v>2.17</v>
      </c>
      <c r="AK48" s="280">
        <v>2.17</v>
      </c>
      <c r="AL48" s="280">
        <v>2.17</v>
      </c>
      <c r="AM48" s="280">
        <v>2.17</v>
      </c>
      <c r="AN48" s="1666"/>
      <c r="AO48" s="1666"/>
      <c r="AP48" s="1666"/>
      <c r="AQ48" s="1666"/>
      <c r="AR48" s="1666"/>
      <c r="AS48" s="280">
        <v>2.17</v>
      </c>
      <c r="AT48" s="280">
        <v>2.17</v>
      </c>
      <c r="AU48" s="280">
        <v>2.17</v>
      </c>
      <c r="AV48" s="280">
        <v>2.17</v>
      </c>
      <c r="AW48" s="280">
        <v>2.17</v>
      </c>
      <c r="AX48" s="1666"/>
      <c r="AY48" s="1666"/>
      <c r="AZ48" s="1666"/>
      <c r="BA48" s="1666"/>
      <c r="BB48" s="1666"/>
      <c r="BC48" s="1730"/>
      <c r="BD48" s="1619"/>
      <c r="BE48" s="1619"/>
      <c r="BF48" s="1170" t="s">
        <v>1001</v>
      </c>
      <c r="BG48" s="1189" t="s">
        <v>996</v>
      </c>
      <c r="BH48" s="1189" cm="1" t="str">
        <f t="array" ref="BH48:BH48">BH46</f>
        <v>ООО "Водоканал"::4217166136::421701001</v>
      </c>
      <c r="BI48" s="1190"/>
      <c r="BJ48" s="1190"/>
    </row>
    <row s="1619" customFormat="1" customHeight="1" ht="14.25">
      <c r="A49" s="1425"/>
      <c r="B49" s="924"/>
      <c r="C49" s="1425"/>
      <c r="D49" s="1425"/>
      <c r="E49" s="794">
        <v>15</v>
      </c>
      <c r="F49" s="919" cm="1" t="str">
        <f t="array" ref="F49:F49">F42</f>
        <v>1</v>
      </c>
      <c r="G49" s="1532"/>
      <c r="H49" s="1532"/>
      <c r="I49" s="1532"/>
      <c r="J49" s="1532"/>
      <c r="K49" s="1532"/>
      <c r="L49" s="1532"/>
      <c r="M49" s="1532"/>
      <c r="N49" s="1532"/>
      <c r="O49" s="1532"/>
      <c r="P49" s="1532"/>
      <c r="Q49" s="190"/>
      <c r="R49" s="190"/>
      <c r="S49" s="1532"/>
      <c r="T49" s="816">
        <f>F49&gt;0</f>
        <v>1</v>
      </c>
      <c r="U49" s="1440"/>
      <c r="V49" s="1440"/>
      <c r="W49" s="371" t="s">
        <v>1002</v>
      </c>
      <c r="X49" s="1440"/>
      <c r="Y49" s="1440"/>
      <c r="Z49" s="1440"/>
      <c r="AA49" s="220"/>
      <c r="AB49" s="299"/>
      <c r="AC49" s="300" t="s">
        <v>978</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8"/>
      <c r="BD49" s="220"/>
      <c r="BE49" s="220"/>
      <c r="BF49" s="1170" t="str">
        <f>IF(AND(ISNUMBER(VALUE(TRIM(SUBSTITUTE(AB49,".","")))),TRIM(SUBSTITUTE(AB49,".",""))&lt;&gt;""),"P"&amp;SUBSTITUTE(AB49,".",""),"")</f>
        <v/>
      </c>
      <c r="BG49" s="1189"/>
      <c r="BH49" s="1189"/>
      <c r="BI49" s="1190" t="s">
        <v>996</v>
      </c>
      <c r="BJ49" s="1190"/>
    </row>
    <row s="1619" customFormat="1" customHeight="1" ht="14.25">
      <c r="A50" s="1425"/>
      <c r="B50" s="924"/>
      <c r="C50" s="1425"/>
      <c r="D50" s="1425"/>
      <c r="E50" s="794">
        <v>15</v>
      </c>
      <c r="F50" s="919" cm="1" t="str">
        <f t="array" ref="F50:F50">F49</f>
        <v>1</v>
      </c>
      <c r="G50" s="190" t="s">
        <v>1003</v>
      </c>
      <c r="H50" s="1532"/>
      <c r="I50" s="1532"/>
      <c r="J50" s="1532"/>
      <c r="K50" s="1532"/>
      <c r="L50" s="1532"/>
      <c r="M50" s="1532"/>
      <c r="N50" s="1532"/>
      <c r="O50" s="1532"/>
      <c r="P50" s="1532"/>
      <c r="Q50" s="190"/>
      <c r="R50" s="190"/>
      <c r="S50" s="1532"/>
      <c r="T50" s="816">
        <f>F50&gt;0</f>
        <v>1</v>
      </c>
      <c r="U50" s="1440"/>
      <c r="V50" s="1440"/>
      <c r="W50" s="1440"/>
      <c r="X50" s="1440"/>
      <c r="Y50" s="1440"/>
      <c r="Z50" s="1440"/>
      <c r="AA50" s="220"/>
      <c r="AB50" s="283">
        <v>2</v>
      </c>
      <c r="AC50" s="278" t="s">
        <v>1004</v>
      </c>
      <c r="AD50" s="277" t="s">
        <v>805</v>
      </c>
      <c r="AE50" s="279">
        <f>SUMIF($AD51:$AD55,$AD50,AE51:AE55)</f>
        <v>0</v>
      </c>
      <c r="AF50" s="279">
        <f>SUMIF($AD51:$AD55,$AD50,AF51:AF55)</f>
        <v>0</v>
      </c>
      <c r="AG50" s="279">
        <f>SUMIF($AD51:$AD55,$AD50,AG51:AG55)</f>
        <v>0</v>
      </c>
      <c r="AH50" s="279">
        <f>SUMIF($AD51:$AD55,$AD50,AH51:AH55)</f>
        <v>0</v>
      </c>
      <c r="AI50" s="279">
        <f>SUMIF($AD51:$AD55,$AD50,AI51:AI55)</f>
        <v>0</v>
      </c>
      <c r="AJ50" s="292">
        <f>SUMIF($AD51:$AD55,$AD50,AJ51:AJ55)</f>
        <v>0</v>
      </c>
      <c r="AK50" s="292">
        <f>SUMIF($AD51:$AD55,$AD50,AK51:AK55)</f>
        <v>0</v>
      </c>
      <c r="AL50" s="292">
        <f>SUMIF($AD51:$AD55,$AD50,AL51:AL55)</f>
        <v>0</v>
      </c>
      <c r="AM50" s="292">
        <f>SUMIF($AD51:$AD55,$AD50,AM51:AM55)</f>
        <v>0</v>
      </c>
      <c r="AN50" s="1793">
        <f>SUMIF($AD51:$AD55,$AD50,AN51:AN55)</f>
        <v>0</v>
      </c>
      <c r="AO50" s="1793">
        <f>SUMIF($AD51:$AD55,$AD50,AO51:AO55)</f>
        <v>0</v>
      </c>
      <c r="AP50" s="1793">
        <f>SUMIF($AD51:$AD55,$AD50,AP51:AP55)</f>
        <v>0</v>
      </c>
      <c r="AQ50" s="1793">
        <f>SUMIF($AD51:$AD55,$AD50,AQ51:AQ55)</f>
        <v>0</v>
      </c>
      <c r="AR50" s="1793">
        <f>SUMIF($AD51:$AD55,$AD50,AR51:AR55)</f>
        <v>0</v>
      </c>
      <c r="AS50" s="279">
        <f>SUMIF($AD51:$AD55,$AD50,AS51:AS55)</f>
        <v>0</v>
      </c>
      <c r="AT50" s="292">
        <f>SUMIF($AD51:$AD55,$AD50,AT51:AT55)</f>
        <v>0</v>
      </c>
      <c r="AU50" s="292">
        <f>SUMIF($AD51:$AD55,$AD50,AU51:AU55)</f>
        <v>0</v>
      </c>
      <c r="AV50" s="292">
        <f>SUMIF($AD51:$AD55,$AD50,AV51:AV55)</f>
        <v>0</v>
      </c>
      <c r="AW50" s="292">
        <f>SUMIF($AD51:$AD55,$AD50,AW51:AW55)</f>
        <v>0</v>
      </c>
      <c r="AX50" s="1793">
        <f>SUMIF($AD51:$AD55,$AD50,AX51:AX55)</f>
        <v>0</v>
      </c>
      <c r="AY50" s="1793">
        <f>SUMIF($AD51:$AD55,$AD50,AY51:AY55)</f>
        <v>0</v>
      </c>
      <c r="AZ50" s="1793">
        <f>SUMIF($AD51:$AD55,$AD50,AZ51:AZ55)</f>
        <v>0</v>
      </c>
      <c r="BA50" s="1793">
        <f>SUMIF($AD51:$AD55,$AD50,BA51:BA55)</f>
        <v>0</v>
      </c>
      <c r="BB50" s="1793">
        <f>SUMIF($AD51:$AD55,$AD50,BB51:BB55)</f>
        <v>0</v>
      </c>
      <c r="BC50" s="1730"/>
      <c r="BD50" s="220"/>
      <c r="BE50" s="220"/>
      <c r="BF50" s="1170" t="s">
        <v>1005</v>
      </c>
      <c r="BG50" s="1189"/>
      <c r="BH50" s="1189"/>
      <c r="BI50" s="1190"/>
      <c r="BJ50" s="1190"/>
    </row>
    <row s="1619" customFormat="1" customHeight="1" ht="0">
      <c r="A51" s="1425"/>
      <c r="B51" s="924"/>
      <c r="C51" s="1425"/>
      <c r="D51" s="1425"/>
      <c r="E51" s="794">
        <v>0.2</v>
      </c>
      <c r="F51" s="919" cm="1" t="str">
        <f t="array" ref="F51:F51">OFFSET(G51,-1,-1)</f>
        <v>1</v>
      </c>
      <c r="G51" s="1532"/>
      <c r="H51" s="1532"/>
      <c r="I51" s="1532"/>
      <c r="J51" s="1532"/>
      <c r="K51" s="1532"/>
      <c r="L51" s="1532"/>
      <c r="M51" s="1532"/>
      <c r="N51" s="1532"/>
      <c r="O51" s="1532"/>
      <c r="P51" s="1532"/>
      <c r="Q51" s="190"/>
      <c r="R51" s="190"/>
      <c r="S51" s="1532"/>
      <c r="T51" s="816">
        <f>F51&gt;0</f>
        <v>1</v>
      </c>
      <c r="U51" s="1440"/>
      <c r="V51" s="1440"/>
      <c r="W51" s="1440"/>
      <c r="X51" s="1440"/>
      <c r="Y51" s="1440"/>
      <c r="Z51" s="1440"/>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0" t="str">
        <f>IF(AND(ISNUMBER(VALUE(TRIM(SUBSTITUTE(AB51,".","")))),TRIM(SUBSTITUTE(AB51,".",""))&lt;&gt;""),"P"&amp;SUBSTITUTE(AB51,".",""),"")</f>
        <v/>
      </c>
      <c r="BG51" s="1189"/>
      <c r="BH51" s="1189"/>
      <c r="BI51" s="1190"/>
      <c r="BJ51" s="1190"/>
    </row>
    <row s="1619" customFormat="1" customHeight="1" ht="14.25" hidden="1">
      <c r="A52" s="1122" t="str">
        <f>"checkCosts_2."&amp;F52&amp;"."&amp;Y52</f>
        <v>checkCosts_2.1.0</v>
      </c>
      <c r="B52" s="924"/>
      <c r="C52" s="1425"/>
      <c r="D52" s="1425"/>
      <c r="E52" s="794">
        <v>15</v>
      </c>
      <c r="F52" s="919" cm="1" t="str">
        <f t="array" ref="F52:F52">OFFSET(G52,-1,-1)</f>
        <v>1</v>
      </c>
      <c r="G52" s="1532"/>
      <c r="H52" s="152" cm="1" t="str">
        <f t="array" ref="H52:H52">AC52</f>
        <v>0</v>
      </c>
      <c r="I52" s="1532"/>
      <c r="J52" s="1532"/>
      <c r="K52" s="1532"/>
      <c r="L52" s="1532"/>
      <c r="M52" s="1532"/>
      <c r="N52" s="1532"/>
      <c r="O52" s="1532"/>
      <c r="P52" s="1532"/>
      <c r="Q52" s="190"/>
      <c r="R52" s="190"/>
      <c r="S52" s="1532"/>
      <c r="T52" s="920">
        <f>AND(F52&gt;0,Y52&gt;0)</f>
        <v>0</v>
      </c>
      <c r="U52" s="1440"/>
      <c r="V52" s="1440"/>
      <c r="W52" s="156" t="s">
        <v>233</v>
      </c>
      <c r="X52" s="1440"/>
      <c r="Y52" s="156">
        <v>0</v>
      </c>
      <c r="Z52" s="1440"/>
      <c r="AA52" s="1533" t="s">
        <v>217</v>
      </c>
      <c r="AB52" s="285" t="str">
        <f>"2."&amp;Y52</f>
        <v>2.0</v>
      </c>
      <c r="AC52" s="460"/>
      <c r="AD52" s="277" t="s">
        <v>805</v>
      </c>
      <c r="AE52" s="332">
        <f>AE53*AE54</f>
        <v>0</v>
      </c>
      <c r="AF52" s="61"/>
      <c r="AG52" s="61"/>
      <c r="AH52" s="332">
        <f>AH53*AH54</f>
        <v>0</v>
      </c>
      <c r="AI52" s="280"/>
      <c r="AJ52" s="280"/>
      <c r="AK52" s="280"/>
      <c r="AL52" s="280"/>
      <c r="AM52" s="280"/>
      <c r="AN52" s="61"/>
      <c r="AO52" s="61"/>
      <c r="AP52" s="61"/>
      <c r="AQ52" s="61"/>
      <c r="AR52" s="61"/>
      <c r="AS52" s="332">
        <f>AS53*AS54</f>
        <v>0</v>
      </c>
      <c r="AT52" s="332">
        <f>AT53*AT54</f>
        <v>0</v>
      </c>
      <c r="AU52" s="332">
        <f>AU53*AU54</f>
        <v>0</v>
      </c>
      <c r="AV52" s="332">
        <f>AV53*AV54</f>
        <v>0</v>
      </c>
      <c r="AW52" s="332">
        <f>AW53*AW54</f>
        <v>0</v>
      </c>
      <c r="AX52" s="332">
        <f>AX53*AX54</f>
        <v>0</v>
      </c>
      <c r="AY52" s="332">
        <f>AY53*AY54</f>
        <v>0</v>
      </c>
      <c r="AZ52" s="332">
        <f>AZ53*AZ54</f>
        <v>0</v>
      </c>
      <c r="BA52" s="332">
        <f>BA53*BA54</f>
        <v>0</v>
      </c>
      <c r="BB52" s="332">
        <f>BB53*BB54</f>
        <v>0</v>
      </c>
      <c r="BC52" s="73"/>
      <c r="BD52" s="220"/>
      <c r="BE52" s="220"/>
      <c r="BF52" s="1170" t="s">
        <v>1006</v>
      </c>
      <c r="BG52" s="1189" t="s">
        <v>1007</v>
      </c>
      <c r="BH52" s="1189" cm="1" t="str">
        <f t="array" ref="BH52:BH52">AC52</f>
        <v>0</v>
      </c>
      <c r="BI52" s="1190"/>
      <c r="BJ52" s="1190" t="b">
        <v>1</v>
      </c>
    </row>
    <row s="1387" customFormat="1" customHeight="1" ht="14.25" hidden="1">
      <c r="A53" s="1387"/>
      <c r="B53" s="1387"/>
      <c r="C53" s="1387"/>
      <c r="D53" s="1387"/>
      <c r="E53" s="794">
        <v>15</v>
      </c>
      <c r="F53" s="919" cm="1" t="str">
        <f t="array" ref="F53:F53">OFFSET(G53,-1,-1)</f>
        <v>1</v>
      </c>
      <c r="G53" s="1387"/>
      <c r="H53" s="152" cm="1" t="str">
        <f t="array" ref="H53:H53">H52</f>
        <v>0</v>
      </c>
      <c r="I53" s="1387"/>
      <c r="J53" s="1387"/>
      <c r="K53" s="1387"/>
      <c r="L53" s="1387"/>
      <c r="M53" s="1387"/>
      <c r="N53" s="1387"/>
      <c r="O53" s="1387"/>
      <c r="P53" s="1387"/>
      <c r="Q53" s="1387"/>
      <c r="R53" s="1387"/>
      <c r="S53" s="1387"/>
      <c r="T53" s="920" cm="1" t="str">
        <f t="array" ref="T53:T53">T52</f>
        <v>false</v>
      </c>
      <c r="U53" s="1387"/>
      <c r="V53" s="1387"/>
      <c r="W53" s="1387"/>
      <c r="X53" s="1387"/>
      <c r="Y53" s="1387"/>
      <c r="Z53" s="1387"/>
      <c r="AA53" s="1533"/>
      <c r="AB53" s="285" t="str">
        <f>AB52&amp;".1"</f>
        <v>2.0.1</v>
      </c>
      <c r="AC53" s="291" t="s">
        <v>942</v>
      </c>
      <c r="AD53" s="151" t="s">
        <v>997</v>
      </c>
      <c r="AE53" s="61"/>
      <c r="AF53" s="332">
        <f>IF(AF54=0,0,AF52/AF54)</f>
        <v>0</v>
      </c>
      <c r="AG53" s="332">
        <f>IF(AG54=0,0,AG52/AG54)</f>
        <v>0</v>
      </c>
      <c r="AH53" s="61"/>
      <c r="AI53" s="332">
        <f>IF(AI54=0,0,AI52/AI54)</f>
        <v>0</v>
      </c>
      <c r="AJ53" s="332">
        <f>IF(AJ54=0,0,AJ52/AJ54)</f>
        <v>0</v>
      </c>
      <c r="AK53" s="332">
        <f>IF(AK54=0,0,AK52/AK54)</f>
        <v>0</v>
      </c>
      <c r="AL53" s="332">
        <f>IF(AL54=0,0,AL52/AL54)</f>
        <v>0</v>
      </c>
      <c r="AM53" s="332">
        <f>IF(AM54=0,0,AM52/AM54)</f>
        <v>0</v>
      </c>
      <c r="AN53" s="332">
        <f>IF(AN54=0,0,AN52/AN54)</f>
        <v>0</v>
      </c>
      <c r="AO53" s="332">
        <f>IF(AO54=0,0,AO52/AO54)</f>
        <v>0</v>
      </c>
      <c r="AP53" s="332">
        <f>IF(AP54=0,0,AP52/AP54)</f>
        <v>0</v>
      </c>
      <c r="AQ53" s="332">
        <f>IF(AQ54=0,0,AQ52/AQ54)</f>
        <v>0</v>
      </c>
      <c r="AR53" s="332">
        <f>IF(AR54=0,0,AR52/AR54)</f>
        <v>0</v>
      </c>
      <c r="AS53" s="280"/>
      <c r="AT53" s="280"/>
      <c r="AU53" s="280"/>
      <c r="AV53" s="280"/>
      <c r="AW53" s="280"/>
      <c r="AX53" s="61"/>
      <c r="AY53" s="61"/>
      <c r="AZ53" s="61"/>
      <c r="BA53" s="61"/>
      <c r="BB53" s="61"/>
      <c r="BC53" s="73"/>
      <c r="BD53" s="1387"/>
      <c r="BE53" s="1387"/>
      <c r="BF53" s="1170" t="s">
        <v>1008</v>
      </c>
      <c r="BG53" s="1189" t="s">
        <v>1007</v>
      </c>
      <c r="BH53" s="1189" cm="1" t="str">
        <f t="array" ref="BH53:BH53">BH52</f>
        <v>0</v>
      </c>
      <c r="BI53" s="1190"/>
      <c r="BJ53" s="1190"/>
    </row>
    <row s="1619" customFormat="1" customHeight="1" ht="14.25" hidden="1">
      <c r="A54" s="1122" t="str">
        <f>"checkVolume_2."&amp;F54&amp;"."&amp;Y52</f>
        <v>checkVolume_2.1.0</v>
      </c>
      <c r="B54" s="924"/>
      <c r="C54" s="1425"/>
      <c r="D54" s="1425"/>
      <c r="E54" s="794">
        <v>15</v>
      </c>
      <c r="F54" s="919" cm="1" t="str">
        <f t="array" ref="F54:F54">OFFSET(G54,-1,-1)</f>
        <v>1</v>
      </c>
      <c r="G54" s="1532"/>
      <c r="H54" s="152" cm="1" t="str">
        <f t="array" ref="H54:H54">H52</f>
        <v>0</v>
      </c>
      <c r="I54" s="1532"/>
      <c r="J54" s="1532"/>
      <c r="K54" s="1532"/>
      <c r="L54" s="1532"/>
      <c r="M54" s="1532"/>
      <c r="N54" s="1532"/>
      <c r="O54" s="1532"/>
      <c r="P54" s="1532"/>
      <c r="Q54" s="190"/>
      <c r="R54" s="190"/>
      <c r="S54" s="1532"/>
      <c r="T54" s="920" cm="1" t="str">
        <f t="array" ref="T54:T54">T52</f>
        <v>false</v>
      </c>
      <c r="U54" s="1440"/>
      <c r="V54" s="1440"/>
      <c r="W54" s="1440"/>
      <c r="X54" s="1440"/>
      <c r="Y54" s="1440"/>
      <c r="Z54" s="1440"/>
      <c r="AA54" s="1533"/>
      <c r="AB54" s="285" t="str">
        <f>AB52&amp;".2"</f>
        <v>2.0.2</v>
      </c>
      <c r="AC54" s="291" t="s">
        <v>1009</v>
      </c>
      <c r="AD54" s="151" t="s">
        <v>1000</v>
      </c>
      <c r="AE54" s="61"/>
      <c r="AF54" s="61"/>
      <c r="AG54" s="61"/>
      <c r="AH54" s="61"/>
      <c r="AI54" s="280"/>
      <c r="AJ54" s="280"/>
      <c r="AK54" s="280"/>
      <c r="AL54" s="280"/>
      <c r="AM54" s="280"/>
      <c r="AN54" s="61"/>
      <c r="AO54" s="61"/>
      <c r="AP54" s="61"/>
      <c r="AQ54" s="61"/>
      <c r="AR54" s="61"/>
      <c r="AS54" s="280"/>
      <c r="AT54" s="280"/>
      <c r="AU54" s="280"/>
      <c r="AV54" s="280"/>
      <c r="AW54" s="280"/>
      <c r="AX54" s="61"/>
      <c r="AY54" s="61"/>
      <c r="AZ54" s="61"/>
      <c r="BA54" s="61"/>
      <c r="BB54" s="61"/>
      <c r="BC54" s="73"/>
      <c r="BD54" s="220"/>
      <c r="BE54" s="220"/>
      <c r="BF54" s="1170" t="s">
        <v>1010</v>
      </c>
      <c r="BG54" s="1189" t="s">
        <v>1007</v>
      </c>
      <c r="BH54" s="1189" cm="1" t="str">
        <f t="array" ref="BH54:BH54">BH52</f>
        <v>0</v>
      </c>
      <c r="BI54" s="1190"/>
      <c r="BJ54" s="1190"/>
    </row>
    <row s="1619" customFormat="1" customHeight="1" ht="14.25">
      <c r="A55" s="1425"/>
      <c r="B55" s="924"/>
      <c r="C55" s="1425"/>
      <c r="D55" s="1425"/>
      <c r="E55" s="794">
        <v>15</v>
      </c>
      <c r="F55" s="919" cm="1" t="str">
        <f t="array" ref="F55:F55">OFFSET(G55,-1,-1)</f>
        <v>1</v>
      </c>
      <c r="G55" s="1532"/>
      <c r="H55" s="1532"/>
      <c r="I55" s="1532"/>
      <c r="J55" s="1532"/>
      <c r="K55" s="1532"/>
      <c r="L55" s="1532"/>
      <c r="M55" s="1532"/>
      <c r="N55" s="1532"/>
      <c r="O55" s="1532"/>
      <c r="P55" s="1532"/>
      <c r="Q55" s="190"/>
      <c r="R55" s="190"/>
      <c r="S55" s="1532"/>
      <c r="T55" s="816">
        <f>F55&gt;0</f>
        <v>1</v>
      </c>
      <c r="U55" s="1440"/>
      <c r="V55" s="1440"/>
      <c r="W55" s="371" t="s">
        <v>1011</v>
      </c>
      <c r="X55" s="1440"/>
      <c r="Y55" s="1440"/>
      <c r="Z55" s="1440"/>
      <c r="AA55" s="220"/>
      <c r="AB55" s="299"/>
      <c r="AC55" s="300" t="s">
        <v>978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89"/>
      <c r="BG55" s="1189"/>
      <c r="BH55" s="1189"/>
      <c r="BI55" s="1190" t="s">
        <v>1007</v>
      </c>
      <c r="BJ55" s="1190"/>
    </row>
    <row s="1619" customFormat="1" customHeight="1" ht="14.25">
      <c r="A56" s="1425"/>
      <c r="B56" s="924"/>
      <c r="C56" s="1425"/>
      <c r="D56" s="1425"/>
      <c r="E56" s="794">
        <v>15</v>
      </c>
      <c r="F56" s="919" cm="1" t="str">
        <f t="array" ref="F56:F56">X56</f>
        <v>2</v>
      </c>
      <c r="G56" s="1532"/>
      <c r="H56" s="1532"/>
      <c r="I56" s="1532"/>
      <c r="J56" s="1532"/>
      <c r="K56" s="1532"/>
      <c r="L56" s="1532"/>
      <c r="M56" s="1532"/>
      <c r="N56" s="1532"/>
      <c r="O56" s="1532"/>
      <c r="P56" s="1532"/>
      <c r="Q56" s="190"/>
      <c r="R56" s="190"/>
      <c r="S56" s="1532"/>
      <c r="T56" s="805">
        <f>X56&gt;0</f>
        <v>1</v>
      </c>
      <c r="U56" s="1440"/>
      <c r="V56" s="172" cm="1" t="str">
        <f t="array" ref="V56:V56">ЭнергоРесурсы!$AB$112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56" s="1440"/>
      <c r="X56" s="156" t="s">
        <v>343</v>
      </c>
      <c r="Y56" s="1440"/>
      <c r="Z56" s="1440"/>
      <c r="AA56" s="220"/>
      <c r="AB56" s="287" cm="1" t="str">
        <f t="array" ref="AB56:AB56">IF(ISBLANK(ЭнергоРесурсы!$AB$112),"",ЭнергоРесурсы!$AB$112)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56" s="257"/>
      <c r="AD56" s="257"/>
      <c r="AE56" s="377">
        <f>AE57+AE66</f>
        <v>0</v>
      </c>
      <c r="AF56" s="377">
        <f>AF57+AF66</f>
        <v>0</v>
      </c>
      <c r="AG56" s="377">
        <f>AG57+AG66</f>
        <v>0</v>
      </c>
      <c r="AH56" s="377">
        <f>AH57+AH66</f>
        <v>0</v>
      </c>
      <c r="AI56" s="377">
        <f>AI57+AI66</f>
        <v>159</v>
      </c>
      <c r="AJ56" s="377">
        <f>AJ57+AJ66</f>
        <v>166</v>
      </c>
      <c r="AK56" s="377">
        <f>AK57+AK66</f>
        <v>172</v>
      </c>
      <c r="AL56" s="377">
        <f>AL57+AL66</f>
        <v>179</v>
      </c>
      <c r="AM56" s="377">
        <f>AM57+AM66</f>
        <v>186</v>
      </c>
      <c r="AN56" s="377">
        <f>AN57+AN66</f>
        <v>0</v>
      </c>
      <c r="AO56" s="377">
        <f>AO57+AO66</f>
        <v>0</v>
      </c>
      <c r="AP56" s="377">
        <f>AP57+AP66</f>
        <v>0</v>
      </c>
      <c r="AQ56" s="377">
        <f>AQ57+AQ66</f>
        <v>0</v>
      </c>
      <c r="AR56" s="377">
        <f>AR57+AR66</f>
        <v>0</v>
      </c>
      <c r="AS56" s="377">
        <f>AS57+AS66</f>
        <v>127</v>
      </c>
      <c r="AT56" s="377">
        <f>AT57+AT66</f>
        <v>132</v>
      </c>
      <c r="AU56" s="377">
        <f>AU57+AU66</f>
        <v>137</v>
      </c>
      <c r="AV56" s="377">
        <f>AV57+AV66</f>
        <v>142</v>
      </c>
      <c r="AW56" s="377">
        <f>AW57+AW66</f>
        <v>148</v>
      </c>
      <c r="AX56" s="377">
        <f>AX57+AX66</f>
        <v>0</v>
      </c>
      <c r="AY56" s="377">
        <f>AY57+AY66</f>
        <v>0</v>
      </c>
      <c r="AZ56" s="377">
        <f>AZ57+AZ66</f>
        <v>0</v>
      </c>
      <c r="BA56" s="377">
        <f>BA57+BA66</f>
        <v>0</v>
      </c>
      <c r="BB56" s="377">
        <f>BB57+BB66</f>
        <v>0</v>
      </c>
      <c r="BC56" s="289"/>
      <c r="BD56" s="220"/>
      <c r="BE56" s="220"/>
      <c r="BF56" s="1189"/>
      <c r="BG56" s="1189"/>
      <c r="BH56" s="1189"/>
      <c r="BI56" s="1190"/>
      <c r="BJ56" s="1190"/>
    </row>
    <row s="1619" customFormat="1" customHeight="1" ht="14.25">
      <c r="A57" s="1425"/>
      <c r="B57" s="924"/>
      <c r="C57" s="1425"/>
      <c r="D57" s="1425"/>
      <c r="E57" s="794">
        <v>15</v>
      </c>
      <c r="F57" s="919" cm="1" t="str">
        <f t="array" ref="F57:F57">F56</f>
        <v>2</v>
      </c>
      <c r="G57" s="190" t="s">
        <v>992</v>
      </c>
      <c r="H57" s="1532"/>
      <c r="I57" s="1532"/>
      <c r="J57" s="1532"/>
      <c r="K57" s="1532"/>
      <c r="L57" s="1532"/>
      <c r="M57" s="1532"/>
      <c r="N57" s="1532"/>
      <c r="O57" s="1532"/>
      <c r="P57" s="1532"/>
      <c r="Q57" s="190"/>
      <c r="R57" s="190"/>
      <c r="S57" s="1532"/>
      <c r="T57" s="816" cm="1" t="str">
        <f t="array" ref="T57:T57">T56</f>
        <v>true</v>
      </c>
      <c r="U57" s="1440"/>
      <c r="V57" s="1440"/>
      <c r="W57" s="1440"/>
      <c r="X57" s="1440"/>
      <c r="Y57" s="1440"/>
      <c r="Z57" s="1440"/>
      <c r="AA57" s="220"/>
      <c r="AB57" s="283">
        <v>1</v>
      </c>
      <c r="AC57" s="278" t="s">
        <v>993</v>
      </c>
      <c r="AD57" s="277" t="s">
        <v>805</v>
      </c>
      <c r="AE57" s="279">
        <f>SUMIF($AD58:$AD65,$AD57,AE58:AE65)</f>
        <v>0</v>
      </c>
      <c r="AF57" s="279">
        <f>SUMIF($AD58:$AD65,$AD57,AF58:AF65)</f>
        <v>0</v>
      </c>
      <c r="AG57" s="279">
        <f>SUMIF($AD58:$AD65,$AD57,AG58:AG65)</f>
        <v>0</v>
      </c>
      <c r="AH57" s="279">
        <f>SUMIF($AD58:$AD65,$AD57,AH58:AH65)</f>
        <v>0</v>
      </c>
      <c r="AI57" s="279">
        <f>SUMIF($AD58:$AD65,$AD57,AI58:AI65)</f>
        <v>159</v>
      </c>
      <c r="AJ57" s="292">
        <f>SUMIF($AD58:$AD65,$AD57,AJ58:AJ65)</f>
        <v>166</v>
      </c>
      <c r="AK57" s="292">
        <f>SUMIF($AD58:$AD65,$AD57,AK58:AK65)</f>
        <v>172</v>
      </c>
      <c r="AL57" s="292">
        <f>SUMIF($AD58:$AD65,$AD57,AL58:AL65)</f>
        <v>179</v>
      </c>
      <c r="AM57" s="292">
        <f>SUMIF($AD58:$AD65,$AD57,AM58:AM65)</f>
        <v>186</v>
      </c>
      <c r="AN57" s="1793">
        <f>SUMIF($AD58:$AD65,$AD57,AN58:AN65)</f>
        <v>0</v>
      </c>
      <c r="AO57" s="1793">
        <f>SUMIF($AD58:$AD65,$AD57,AO58:AO65)</f>
        <v>0</v>
      </c>
      <c r="AP57" s="1793">
        <f>SUMIF($AD58:$AD65,$AD57,AP58:AP65)</f>
        <v>0</v>
      </c>
      <c r="AQ57" s="1793">
        <f>SUMIF($AD58:$AD65,$AD57,AQ58:AQ65)</f>
        <v>0</v>
      </c>
      <c r="AR57" s="1793">
        <f>SUMIF($AD58:$AD65,$AD57,AR58:AR65)</f>
        <v>0</v>
      </c>
      <c r="AS57" s="279">
        <f>SUMIF($AD58:$AD65,$AD57,AS58:AS65)</f>
        <v>127</v>
      </c>
      <c r="AT57" s="292">
        <f>SUMIF($AD58:$AD65,$AD57,AT58:AT65)</f>
        <v>132</v>
      </c>
      <c r="AU57" s="292">
        <f>SUMIF($AD58:$AD65,$AD57,AU58:AU65)</f>
        <v>137</v>
      </c>
      <c r="AV57" s="292">
        <f>SUMIF($AD58:$AD65,$AD57,AV58:AV65)</f>
        <v>142</v>
      </c>
      <c r="AW57" s="292">
        <f>SUMIF($AD58:$AD65,$AD57,AW58:AW65)</f>
        <v>148</v>
      </c>
      <c r="AX57" s="1793">
        <f>SUMIF($AD58:$AD65,$AD57,AX58:AX65)</f>
        <v>0</v>
      </c>
      <c r="AY57" s="1793">
        <f>SUMIF($AD58:$AD65,$AD57,AY58:AY65)</f>
        <v>0</v>
      </c>
      <c r="AZ57" s="1793">
        <f>SUMIF($AD58:$AD65,$AD57,AZ58:AZ65)</f>
        <v>0</v>
      </c>
      <c r="BA57" s="1793">
        <f>SUMIF($AD58:$AD65,$AD57,BA58:BA65)</f>
        <v>0</v>
      </c>
      <c r="BB57" s="1793">
        <f>SUMIF($AD58:$AD65,$AD57,BB58:BB65)</f>
        <v>0</v>
      </c>
      <c r="BC57" s="1730"/>
      <c r="BD57" s="220"/>
      <c r="BE57" s="220"/>
      <c r="BF57" s="1170" t="s">
        <v>994</v>
      </c>
      <c r="BG57" s="1189"/>
      <c r="BH57" s="1189"/>
      <c r="BI57" s="1190"/>
      <c r="BJ57" s="1190"/>
    </row>
    <row s="1619" customFormat="1" customHeight="1" ht="0">
      <c r="A58" s="1425"/>
      <c r="B58" s="924"/>
      <c r="C58" s="1425"/>
      <c r="D58" s="1425"/>
      <c r="E58" s="794">
        <v>0.2</v>
      </c>
      <c r="F58" s="919" cm="1" t="str">
        <f t="array" ref="F58:F58">F57</f>
        <v>2</v>
      </c>
      <c r="G58" s="1532"/>
      <c r="H58" s="1532"/>
      <c r="I58" s="1532"/>
      <c r="J58" s="1532"/>
      <c r="K58" s="1532"/>
      <c r="L58" s="1532"/>
      <c r="M58" s="1532"/>
      <c r="N58" s="1532"/>
      <c r="O58" s="1532"/>
      <c r="P58" s="1532"/>
      <c r="Q58" s="190"/>
      <c r="R58" s="190"/>
      <c r="S58" s="1532"/>
      <c r="T58" s="816" cm="1" t="str">
        <f t="array" ref="T58:T58">T57</f>
        <v>true</v>
      </c>
      <c r="U58" s="1440"/>
      <c r="V58" s="1440"/>
      <c r="W58" s="1440"/>
      <c r="X58" s="1440"/>
      <c r="Y58" s="1440"/>
      <c r="Z58" s="1440"/>
      <c r="AA58" s="220"/>
      <c r="AB58" s="283"/>
      <c r="AC58" s="278"/>
      <c r="AD58" s="277"/>
      <c r="AE58" s="281"/>
      <c r="AF58" s="281"/>
      <c r="AG58" s="281"/>
      <c r="AH58" s="281"/>
      <c r="AI58" s="281"/>
      <c r="AJ58" s="281"/>
      <c r="AK58" s="281"/>
      <c r="AL58" s="281"/>
      <c r="AM58" s="281"/>
      <c r="AN58" s="281"/>
      <c r="AO58" s="281"/>
      <c r="AP58" s="281"/>
      <c r="AQ58" s="281"/>
      <c r="AR58" s="281"/>
      <c r="AS58" s="281"/>
      <c r="AT58" s="281"/>
      <c r="AU58" s="281"/>
      <c r="AV58" s="281"/>
      <c r="AW58" s="281"/>
      <c r="AX58" s="281"/>
      <c r="AY58" s="281"/>
      <c r="AZ58" s="281"/>
      <c r="BA58" s="281"/>
      <c r="BB58" s="281"/>
      <c r="BC58" s="290"/>
      <c r="BD58" s="220"/>
      <c r="BE58" s="220"/>
      <c r="BF58" s="1170" t="str">
        <f>IF(AND(ISNUMBER(VALUE(TRIM(SUBSTITUTE(AB58,".","")))),TRIM(SUBSTITUTE(AB58,".",""))&lt;&gt;""),"P"&amp;SUBSTITUTE(AB58,".",""),"")</f>
        <v/>
      </c>
      <c r="BG58" s="1189"/>
      <c r="BH58" s="1189"/>
      <c r="BI58" s="1190"/>
      <c r="BJ58" s="1190"/>
    </row>
    <row s="1619" customFormat="1" customHeight="1" ht="14.25" hidden="1">
      <c r="A59" s="1122" t="str">
        <f>"checkCosts_1."&amp;F59&amp;"."&amp;Y59</f>
        <v>checkCosts_1.2.0</v>
      </c>
      <c r="E59" s="794">
        <v>15</v>
      </c>
      <c r="F59" s="919" cm="1" t="str">
        <f t="array" ref="F59:F59">OFFSET(G59,-1,-1)</f>
        <v>2</v>
      </c>
      <c r="H59" s="152" cm="1" t="str">
        <f t="array" ref="H59:H59">AC59</f>
        <v>0</v>
      </c>
      <c r="T59" s="920">
        <f>AND(F59&gt;0,Y59&gt;0)</f>
        <v>0</v>
      </c>
      <c r="W59" s="156" t="s">
        <v>233</v>
      </c>
      <c r="Y59" s="156">
        <v>0</v>
      </c>
      <c r="AA59" s="1533" t="s">
        <v>217</v>
      </c>
      <c r="AB59" s="285" t="str">
        <f>"1."&amp;Y59</f>
        <v>1.0</v>
      </c>
      <c r="AC59" s="460"/>
      <c r="AD59" s="277" t="s">
        <v>805</v>
      </c>
      <c r="AE59" s="332">
        <f>AE60*AE61</f>
        <v>0</v>
      </c>
      <c r="AF59" s="61"/>
      <c r="AG59" s="61"/>
      <c r="AH59" s="332">
        <f>AH60*AH61</f>
        <v>0</v>
      </c>
      <c r="AI59" s="280"/>
      <c r="AJ59" s="280"/>
      <c r="AK59" s="280"/>
      <c r="AL59" s="280"/>
      <c r="AM59" s="280"/>
      <c r="AN59" s="61"/>
      <c r="AO59" s="61"/>
      <c r="AP59" s="61"/>
      <c r="AQ59" s="61"/>
      <c r="AR59" s="61"/>
      <c r="AS59" s="332">
        <f>AS60*AS61</f>
        <v>0</v>
      </c>
      <c r="AT59" s="332">
        <f>AT60*AT61</f>
        <v>0</v>
      </c>
      <c r="AU59" s="332">
        <f>AU60*AU61</f>
        <v>0</v>
      </c>
      <c r="AV59" s="332">
        <f>AV60*AV61</f>
        <v>0</v>
      </c>
      <c r="AW59" s="332">
        <f>AW60*AW61</f>
        <v>0</v>
      </c>
      <c r="AX59" s="332">
        <f>AX60*AX61</f>
        <v>0</v>
      </c>
      <c r="AY59" s="332">
        <f>AY60*AY61</f>
        <v>0</v>
      </c>
      <c r="AZ59" s="332">
        <f>AZ60*AZ61</f>
        <v>0</v>
      </c>
      <c r="BA59" s="332">
        <f>BA60*BA61</f>
        <v>0</v>
      </c>
      <c r="BB59" s="332">
        <f>BB60*BB61</f>
        <v>0</v>
      </c>
      <c r="BC59" s="73"/>
      <c r="BF59" s="1170" t="s">
        <v>995</v>
      </c>
      <c r="BG59" s="1189" t="s">
        <v>996</v>
      </c>
      <c r="BH59" s="1189" cm="1" t="str">
        <f t="array" ref="BH59:BH59">AC59</f>
        <v>0</v>
      </c>
      <c r="BI59" s="1190"/>
      <c r="BJ59" s="1190" t="b">
        <v>1</v>
      </c>
    </row>
    <row s="1387" customFormat="1" customHeight="1" ht="14.25" hidden="1">
      <c r="E60" s="794">
        <v>15</v>
      </c>
      <c r="F60" s="919" cm="1" t="str">
        <f t="array" ref="F60:F60">F58</f>
        <v>2</v>
      </c>
      <c r="H60" s="152" cm="1" t="str">
        <f t="array" ref="H60:H60">H59</f>
        <v>0</v>
      </c>
      <c r="T60" s="920" cm="1" t="str">
        <f t="array" ref="T60:T60">T59</f>
        <v>false</v>
      </c>
      <c r="AA60" s="1533"/>
      <c r="AB60" s="285" t="str">
        <f>AB59&amp;".1"</f>
        <v>1.0.1</v>
      </c>
      <c r="AC60" s="291" t="s">
        <v>942</v>
      </c>
      <c r="AD60" s="151" t="s">
        <v>997</v>
      </c>
      <c r="AE60" s="61"/>
      <c r="AF60" s="332">
        <f>IF(AF61=0,0,AF59/AF61)</f>
        <v>0</v>
      </c>
      <c r="AG60" s="332">
        <f>IF(AG61=0,0,AG59/AG61)</f>
        <v>0</v>
      </c>
      <c r="AH60" s="61"/>
      <c r="AI60" s="332">
        <f>IF(AI61=0,0,AI59/AI61)</f>
        <v>0</v>
      </c>
      <c r="AJ60" s="332">
        <f>IF(AJ61=0,0,AJ59/AJ61)</f>
        <v>0</v>
      </c>
      <c r="AK60" s="332">
        <f>IF(AK61=0,0,AK59/AK61)</f>
        <v>0</v>
      </c>
      <c r="AL60" s="332">
        <f>IF(AL61=0,0,AL59/AL61)</f>
        <v>0</v>
      </c>
      <c r="AM60" s="332">
        <f>IF(AM61=0,0,AM59/AM61)</f>
        <v>0</v>
      </c>
      <c r="AN60" s="332">
        <f>IF(AN61=0,0,AN59/AN61)</f>
        <v>0</v>
      </c>
      <c r="AO60" s="332">
        <f>IF(AO61=0,0,AO59/AO61)</f>
        <v>0</v>
      </c>
      <c r="AP60" s="332">
        <f>IF(AP61=0,0,AP59/AP61)</f>
        <v>0</v>
      </c>
      <c r="AQ60" s="332">
        <f>IF(AQ61=0,0,AQ59/AQ61)</f>
        <v>0</v>
      </c>
      <c r="AR60" s="332">
        <f>IF(AR61=0,0,AR59/AR61)</f>
        <v>0</v>
      </c>
      <c r="AS60" s="280"/>
      <c r="AT60" s="280"/>
      <c r="AU60" s="280"/>
      <c r="AV60" s="280"/>
      <c r="AW60" s="280"/>
      <c r="AX60" s="61"/>
      <c r="AY60" s="61"/>
      <c r="AZ60" s="61"/>
      <c r="BA60" s="61"/>
      <c r="BB60" s="61"/>
      <c r="BC60" s="73"/>
      <c r="BF60" s="1170" t="s">
        <v>998</v>
      </c>
      <c r="BG60" s="1189" t="s">
        <v>996</v>
      </c>
      <c r="BH60" s="1189" cm="1" t="str">
        <f t="array" ref="BH60:BH60">BH59</f>
        <v>0</v>
      </c>
      <c r="BI60" s="1190"/>
      <c r="BJ60" s="1190"/>
    </row>
    <row s="1619" customFormat="1" customHeight="1" ht="14.25" hidden="1">
      <c r="A61" s="1122" t="str">
        <f>"checkVolume_1."&amp;F61&amp;"."&amp;Y59</f>
        <v>checkVolume_1.2.0</v>
      </c>
      <c r="E61" s="794">
        <v>15</v>
      </c>
      <c r="F61" s="919" cm="1" t="str">
        <f t="array" ref="F61:F61">F59</f>
        <v>2</v>
      </c>
      <c r="H61" s="152" cm="1" t="str">
        <f t="array" ref="H61:H61">H59</f>
        <v>0</v>
      </c>
      <c r="T61" s="920" cm="1" t="str">
        <f t="array" ref="T61:T61">T59</f>
        <v>false</v>
      </c>
      <c r="AA61" s="1533"/>
      <c r="AB61" s="285" t="str">
        <f>AB59&amp;".2"</f>
        <v>1.0.2</v>
      </c>
      <c r="AC61" s="291" t="s">
        <v>999</v>
      </c>
      <c r="AD61" s="151" t="s">
        <v>1000</v>
      </c>
      <c r="AE61" s="61"/>
      <c r="AF61" s="61"/>
      <c r="AG61" s="61"/>
      <c r="AH61" s="61"/>
      <c r="AI61" s="280"/>
      <c r="AJ61" s="280"/>
      <c r="AK61" s="280"/>
      <c r="AL61" s="280"/>
      <c r="AM61" s="280"/>
      <c r="AN61" s="61"/>
      <c r="AO61" s="61"/>
      <c r="AP61" s="61"/>
      <c r="AQ61" s="61"/>
      <c r="AR61" s="61"/>
      <c r="AS61" s="280"/>
      <c r="AT61" s="280"/>
      <c r="AU61" s="280"/>
      <c r="AV61" s="280"/>
      <c r="AW61" s="280"/>
      <c r="AX61" s="61"/>
      <c r="AY61" s="61"/>
      <c r="AZ61" s="61"/>
      <c r="BA61" s="61"/>
      <c r="BB61" s="61"/>
      <c r="BC61" s="73"/>
      <c r="BF61" s="1170" t="s">
        <v>1001</v>
      </c>
      <c r="BG61" s="1189" t="s">
        <v>996</v>
      </c>
      <c r="BH61" s="1189" cm="1" t="str">
        <f t="array" ref="BH61:BH61">BH59</f>
        <v>0</v>
      </c>
      <c r="BI61" s="1190"/>
      <c r="BJ61" s="1190"/>
    </row>
    <row s="1619" customFormat="1" customHeight="1" ht="14.25">
      <c r="A62" s="1122" t="str">
        <f>"checkCosts_1."&amp;F62&amp;"."&amp;Y62</f>
        <v>checkCosts_1.2.1</v>
      </c>
      <c r="B62" s="1619"/>
      <c r="C62" s="1619"/>
      <c r="D62" s="1619"/>
      <c r="E62" s="794">
        <v>15</v>
      </c>
      <c r="F62" s="919" cm="1" t="str">
        <f t="array" ref="F62:F62">OFFSET(G62,-1,-1)</f>
        <v>2</v>
      </c>
      <c r="G62" s="1619"/>
      <c r="H62" s="152" cm="1" t="str">
        <f t="array" ref="H62:H62">AC62</f>
        <v>ООО "Водоканал"::4217166136::421701001</v>
      </c>
      <c r="I62" s="1619"/>
      <c r="J62" s="1619"/>
      <c r="K62" s="1619"/>
      <c r="L62" s="1619"/>
      <c r="M62" s="1619"/>
      <c r="N62" s="1619"/>
      <c r="O62" s="1619"/>
      <c r="P62" s="1619"/>
      <c r="Q62" s="1619"/>
      <c r="R62" s="1619"/>
      <c r="S62" s="1619"/>
      <c r="T62" s="920">
        <f>AND(F62&gt;0,Y62&gt;0)</f>
        <v>1</v>
      </c>
      <c r="U62" s="1619"/>
      <c r="V62" s="1619"/>
      <c r="W62" s="156"/>
      <c r="X62" s="1619"/>
      <c r="Y62" s="156" t="s">
        <v>335</v>
      </c>
      <c r="Z62" s="1619"/>
      <c r="AA62" s="1533" t="s">
        <v>217</v>
      </c>
      <c r="AB62" s="285" t="str">
        <f>"1."&amp;Y62</f>
        <v>1.1</v>
      </c>
      <c r="AC62" s="460" t="s">
        <v>1012</v>
      </c>
      <c r="AD62" s="277" t="s">
        <v>805</v>
      </c>
      <c r="AE62" s="332">
        <f>AE63*AE64</f>
        <v>0</v>
      </c>
      <c r="AF62" s="1666"/>
      <c r="AG62" s="1666"/>
      <c r="AH62" s="332">
        <f>AH63*AH64</f>
        <v>0</v>
      </c>
      <c r="AI62" s="280">
        <v>159</v>
      </c>
      <c r="AJ62" s="280">
        <v>166</v>
      </c>
      <c r="AK62" s="280">
        <v>172</v>
      </c>
      <c r="AL62" s="280">
        <v>179</v>
      </c>
      <c r="AM62" s="280">
        <v>186</v>
      </c>
      <c r="AN62" s="1666"/>
      <c r="AO62" s="1666"/>
      <c r="AP62" s="1666"/>
      <c r="AQ62" s="1666"/>
      <c r="AR62" s="1666"/>
      <c r="AS62" s="332">
        <f>AS63*AS64</f>
        <v>127</v>
      </c>
      <c r="AT62" s="332">
        <f>AT63*AT64</f>
        <v>132</v>
      </c>
      <c r="AU62" s="332">
        <f>AU63*AU64</f>
        <v>137</v>
      </c>
      <c r="AV62" s="332">
        <f>AV63*AV64</f>
        <v>142</v>
      </c>
      <c r="AW62" s="332">
        <f>AW63*AW64</f>
        <v>148</v>
      </c>
      <c r="AX62" s="332">
        <f>AX63*AX64</f>
        <v>0</v>
      </c>
      <c r="AY62" s="332">
        <f>AY63*AY64</f>
        <v>0</v>
      </c>
      <c r="AZ62" s="332">
        <f>AZ63*AZ64</f>
        <v>0</v>
      </c>
      <c r="BA62" s="332">
        <f>BA63*BA64</f>
        <v>0</v>
      </c>
      <c r="BB62" s="332">
        <f>BB63*BB64</f>
        <v>0</v>
      </c>
      <c r="BC62" s="1730"/>
      <c r="BD62" s="1619"/>
      <c r="BE62" s="1619"/>
      <c r="BF62" s="1170" t="s">
        <v>995</v>
      </c>
      <c r="BG62" s="1189" t="s">
        <v>996</v>
      </c>
      <c r="BH62" s="1189" cm="1" t="str">
        <f t="array" ref="BH62:BH62">AC62</f>
        <v>ООО "Водоканал"::4217166136::421701001</v>
      </c>
      <c r="BI62" s="1190"/>
      <c r="BJ62" s="1190" t="b">
        <v>1</v>
      </c>
    </row>
    <row s="1387" customFormat="1" customHeight="1" ht="14.25">
      <c r="A63" s="1387"/>
      <c r="B63" s="1387"/>
      <c r="C63" s="1387"/>
      <c r="D63" s="1387"/>
      <c r="E63" s="794">
        <v>15</v>
      </c>
      <c r="F63" s="919" cm="1" t="str">
        <f t="array" ref="F63:F63">F61</f>
        <v>2</v>
      </c>
      <c r="G63" s="1387"/>
      <c r="H63" s="152" cm="1" t="str">
        <f t="array" ref="H63:H63">H62</f>
        <v>ООО "Водоканал"::4217166136::421701001</v>
      </c>
      <c r="I63" s="1387"/>
      <c r="J63" s="1387"/>
      <c r="K63" s="1387"/>
      <c r="L63" s="1387"/>
      <c r="M63" s="1387"/>
      <c r="N63" s="1387"/>
      <c r="O63" s="1387"/>
      <c r="P63" s="1387"/>
      <c r="Q63" s="1387"/>
      <c r="R63" s="1387"/>
      <c r="S63" s="1387"/>
      <c r="T63" s="920" cm="1" t="str">
        <f t="array" ref="T63:T63">T62</f>
        <v>true</v>
      </c>
      <c r="U63" s="1387"/>
      <c r="V63" s="1387"/>
      <c r="W63" s="1387"/>
      <c r="X63" s="1387"/>
      <c r="Y63" s="1387"/>
      <c r="Z63" s="1387"/>
      <c r="AA63" s="1533"/>
      <c r="AB63" s="285" t="str">
        <f>AB62&amp;".1"</f>
        <v>1.1.1</v>
      </c>
      <c r="AC63" s="291" t="s">
        <v>942</v>
      </c>
      <c r="AD63" s="151" t="s">
        <v>997</v>
      </c>
      <c r="AE63" s="1666"/>
      <c r="AF63" s="332">
        <f>IF(AF64=0,0,AF62/AF64)</f>
        <v>0</v>
      </c>
      <c r="AG63" s="332">
        <f>IF(AG64=0,0,AG62/AG64)</f>
        <v>0</v>
      </c>
      <c r="AH63" s="1666"/>
      <c r="AI63" s="332">
        <f>IF(AI64=0,0,AI62/AI64)</f>
        <v>73.2718894009217</v>
      </c>
      <c r="AJ63" s="332">
        <f>IF(AJ64=0,0,AJ62/AJ64)</f>
        <v>76.4976958525346</v>
      </c>
      <c r="AK63" s="332">
        <f>IF(AK64=0,0,AK62/AK64)</f>
        <v>79.2626728110599</v>
      </c>
      <c r="AL63" s="332">
        <f>IF(AL64=0,0,AL62/AL64)</f>
        <v>82.4884792626728</v>
      </c>
      <c r="AM63" s="332">
        <f>IF(AM64=0,0,AM62/AM64)</f>
        <v>85.7142857142857</v>
      </c>
      <c r="AN63" s="332">
        <f>IF(AN64=0,0,AN62/AN64)</f>
        <v>0</v>
      </c>
      <c r="AO63" s="332">
        <f>IF(AO64=0,0,AO62/AO64)</f>
        <v>0</v>
      </c>
      <c r="AP63" s="332">
        <f>IF(AP64=0,0,AP62/AP64)</f>
        <v>0</v>
      </c>
      <c r="AQ63" s="332">
        <f>IF(AQ64=0,0,AQ62/AQ64)</f>
        <v>0</v>
      </c>
      <c r="AR63" s="332">
        <f>IF(AR64=0,0,AR62/AR64)</f>
        <v>0</v>
      </c>
      <c r="AS63" s="280">
        <v>58.5253456221198</v>
      </c>
      <c r="AT63" s="280">
        <v>60.8294930875576</v>
      </c>
      <c r="AU63" s="280">
        <v>63.1336405529954</v>
      </c>
      <c r="AV63" s="280">
        <v>65.4377880184332</v>
      </c>
      <c r="AW63" s="280">
        <v>68.2027649769585</v>
      </c>
      <c r="AX63" s="1666"/>
      <c r="AY63" s="1666"/>
      <c r="AZ63" s="1666"/>
      <c r="BA63" s="1666"/>
      <c r="BB63" s="1666"/>
      <c r="BC63" s="1730"/>
      <c r="BD63" s="1387"/>
      <c r="BE63" s="1387"/>
      <c r="BF63" s="1170" t="s">
        <v>998</v>
      </c>
      <c r="BG63" s="1189" t="s">
        <v>996</v>
      </c>
      <c r="BH63" s="1189" cm="1" t="str">
        <f t="array" ref="BH63:BH63">BH62</f>
        <v>ООО "Водоканал"::4217166136::421701001</v>
      </c>
      <c r="BI63" s="1190"/>
      <c r="BJ63" s="1190"/>
    </row>
    <row s="1619" customFormat="1" customHeight="1" ht="14.25">
      <c r="A64" s="1122" t="str">
        <f>"checkVolume_1."&amp;F64&amp;"."&amp;Y62</f>
        <v>checkVolume_1.2.1</v>
      </c>
      <c r="B64" s="1619"/>
      <c r="C64" s="1619"/>
      <c r="D64" s="1619"/>
      <c r="E64" s="794">
        <v>15</v>
      </c>
      <c r="F64" s="919" cm="1" t="str">
        <f t="array" ref="F64:F64">F62</f>
        <v>2</v>
      </c>
      <c r="G64" s="1619"/>
      <c r="H64" s="152" cm="1" t="str">
        <f t="array" ref="H64:H64">H62</f>
        <v>ООО "Водоканал"::4217166136::421701001</v>
      </c>
      <c r="I64" s="1619"/>
      <c r="J64" s="1619"/>
      <c r="K64" s="1619"/>
      <c r="L64" s="1619"/>
      <c r="M64" s="1619"/>
      <c r="N64" s="1619"/>
      <c r="O64" s="1619"/>
      <c r="P64" s="1619"/>
      <c r="Q64" s="1619"/>
      <c r="R64" s="1619"/>
      <c r="S64" s="1619"/>
      <c r="T64" s="920" cm="1" t="str">
        <f t="array" ref="T64:T64">T62</f>
        <v>true</v>
      </c>
      <c r="U64" s="1619"/>
      <c r="V64" s="1619"/>
      <c r="W64" s="1619"/>
      <c r="X64" s="1619"/>
      <c r="Y64" s="1619"/>
      <c r="Z64" s="1619"/>
      <c r="AA64" s="1533"/>
      <c r="AB64" s="285" t="str">
        <f>AB62&amp;".2"</f>
        <v>1.1.2</v>
      </c>
      <c r="AC64" s="291" t="s">
        <v>999</v>
      </c>
      <c r="AD64" s="151" t="s">
        <v>1000</v>
      </c>
      <c r="AE64" s="1666"/>
      <c r="AF64" s="1666"/>
      <c r="AG64" s="1666"/>
      <c r="AH64" s="1666"/>
      <c r="AI64" s="280">
        <v>2.17</v>
      </c>
      <c r="AJ64" s="280">
        <v>2.17</v>
      </c>
      <c r="AK64" s="280">
        <v>2.17</v>
      </c>
      <c r="AL64" s="280">
        <v>2.17</v>
      </c>
      <c r="AM64" s="280">
        <v>2.17</v>
      </c>
      <c r="AN64" s="1666"/>
      <c r="AO64" s="1666"/>
      <c r="AP64" s="1666"/>
      <c r="AQ64" s="1666"/>
      <c r="AR64" s="1666"/>
      <c r="AS64" s="280">
        <v>2.17</v>
      </c>
      <c r="AT64" s="280">
        <v>2.17</v>
      </c>
      <c r="AU64" s="280">
        <v>2.17</v>
      </c>
      <c r="AV64" s="280">
        <v>2.17</v>
      </c>
      <c r="AW64" s="280">
        <v>2.17</v>
      </c>
      <c r="AX64" s="1666"/>
      <c r="AY64" s="1666"/>
      <c r="AZ64" s="1666"/>
      <c r="BA64" s="1666"/>
      <c r="BB64" s="1666"/>
      <c r="BC64" s="1730"/>
      <c r="BD64" s="1619"/>
      <c r="BE64" s="1619"/>
      <c r="BF64" s="1170" t="s">
        <v>1001</v>
      </c>
      <c r="BG64" s="1189" t="s">
        <v>996</v>
      </c>
      <c r="BH64" s="1189" cm="1" t="str">
        <f t="array" ref="BH64:BH64">BH62</f>
        <v>ООО "Водоканал"::4217166136::421701001</v>
      </c>
      <c r="BI64" s="1190"/>
      <c r="BJ64" s="1190"/>
    </row>
    <row s="1619" customFormat="1" customHeight="1" ht="14.25">
      <c r="A65" s="1425"/>
      <c r="B65" s="924"/>
      <c r="C65" s="1425"/>
      <c r="D65" s="1425"/>
      <c r="E65" s="794">
        <v>15</v>
      </c>
      <c r="F65" s="919" cm="1" t="str">
        <f t="array" ref="F65:F65">F58</f>
        <v>2</v>
      </c>
      <c r="G65" s="1532"/>
      <c r="H65" s="1532"/>
      <c r="I65" s="1532"/>
      <c r="J65" s="1532"/>
      <c r="K65" s="1532"/>
      <c r="L65" s="1532"/>
      <c r="M65" s="1532"/>
      <c r="N65" s="1532"/>
      <c r="O65" s="1532"/>
      <c r="P65" s="1532"/>
      <c r="Q65" s="190"/>
      <c r="R65" s="190"/>
      <c r="S65" s="1532"/>
      <c r="T65" s="816">
        <f>F65&gt;0</f>
        <v>1</v>
      </c>
      <c r="U65" s="1440"/>
      <c r="V65" s="1440"/>
      <c r="W65" s="371" t="s">
        <v>1002</v>
      </c>
      <c r="X65" s="1440"/>
      <c r="Y65" s="1440"/>
      <c r="Z65" s="1440"/>
      <c r="AA65" s="220"/>
      <c r="AB65" s="299"/>
      <c r="AC65" s="300" t="s">
        <v>978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1098"/>
      <c r="BD65" s="220"/>
      <c r="BE65" s="220"/>
      <c r="BF65" s="1170" t="str">
        <f>IF(AND(ISNUMBER(VALUE(TRIM(SUBSTITUTE(AB65,".","")))),TRIM(SUBSTITUTE(AB65,".",""))&lt;&gt;""),"P"&amp;SUBSTITUTE(AB65,".",""),"")</f>
        <v/>
      </c>
      <c r="BG65" s="1189"/>
      <c r="BH65" s="1189"/>
      <c r="BI65" s="1190" t="s">
        <v>996</v>
      </c>
      <c r="BJ65" s="1190"/>
    </row>
    <row s="1619" customFormat="1" customHeight="1" ht="14.25">
      <c r="A66" s="1425"/>
      <c r="B66" s="924"/>
      <c r="C66" s="1425"/>
      <c r="D66" s="1425"/>
      <c r="E66" s="794">
        <v>15</v>
      </c>
      <c r="F66" s="919" cm="1" t="str">
        <f t="array" ref="F66:F66">F65</f>
        <v>2</v>
      </c>
      <c r="G66" s="190" t="s">
        <v>1003</v>
      </c>
      <c r="H66" s="1532"/>
      <c r="I66" s="1532"/>
      <c r="J66" s="1532"/>
      <c r="K66" s="1532"/>
      <c r="L66" s="1532"/>
      <c r="M66" s="1532"/>
      <c r="N66" s="1532"/>
      <c r="O66" s="1532"/>
      <c r="P66" s="1532"/>
      <c r="Q66" s="190"/>
      <c r="R66" s="190"/>
      <c r="S66" s="1532"/>
      <c r="T66" s="816">
        <f>F66&gt;0</f>
        <v>1</v>
      </c>
      <c r="U66" s="1440"/>
      <c r="V66" s="1440"/>
      <c r="W66" s="1440"/>
      <c r="X66" s="1440"/>
      <c r="Y66" s="1440"/>
      <c r="Z66" s="1440"/>
      <c r="AA66" s="220"/>
      <c r="AB66" s="283">
        <v>2</v>
      </c>
      <c r="AC66" s="278" t="s">
        <v>1004</v>
      </c>
      <c r="AD66" s="277" t="s">
        <v>805</v>
      </c>
      <c r="AE66" s="279">
        <f>SUMIF($AD67:$AD71,$AD66,AE67:AE71)</f>
        <v>0</v>
      </c>
      <c r="AF66" s="279">
        <f>SUMIF($AD67:$AD71,$AD66,AF67:AF71)</f>
        <v>0</v>
      </c>
      <c r="AG66" s="279">
        <f>SUMIF($AD67:$AD71,$AD66,AG67:AG71)</f>
        <v>0</v>
      </c>
      <c r="AH66" s="279">
        <f>SUMIF($AD67:$AD71,$AD66,AH67:AH71)</f>
        <v>0</v>
      </c>
      <c r="AI66" s="279">
        <f>SUMIF($AD67:$AD71,$AD66,AI67:AI71)</f>
        <v>0</v>
      </c>
      <c r="AJ66" s="292">
        <f>SUMIF($AD67:$AD71,$AD66,AJ67:AJ71)</f>
        <v>0</v>
      </c>
      <c r="AK66" s="292">
        <f>SUMIF($AD67:$AD71,$AD66,AK67:AK71)</f>
        <v>0</v>
      </c>
      <c r="AL66" s="292">
        <f>SUMIF($AD67:$AD71,$AD66,AL67:AL71)</f>
        <v>0</v>
      </c>
      <c r="AM66" s="292">
        <f>SUMIF($AD67:$AD71,$AD66,AM67:AM71)</f>
        <v>0</v>
      </c>
      <c r="AN66" s="1793">
        <f>SUMIF($AD67:$AD71,$AD66,AN67:AN71)</f>
        <v>0</v>
      </c>
      <c r="AO66" s="1793">
        <f>SUMIF($AD67:$AD71,$AD66,AO67:AO71)</f>
        <v>0</v>
      </c>
      <c r="AP66" s="1793">
        <f>SUMIF($AD67:$AD71,$AD66,AP67:AP71)</f>
        <v>0</v>
      </c>
      <c r="AQ66" s="1793">
        <f>SUMIF($AD67:$AD71,$AD66,AQ67:AQ71)</f>
        <v>0</v>
      </c>
      <c r="AR66" s="1793">
        <f>SUMIF($AD67:$AD71,$AD66,AR67:AR71)</f>
        <v>0</v>
      </c>
      <c r="AS66" s="279">
        <f>SUMIF($AD67:$AD71,$AD66,AS67:AS71)</f>
        <v>0</v>
      </c>
      <c r="AT66" s="292">
        <f>SUMIF($AD67:$AD71,$AD66,AT67:AT71)</f>
        <v>0</v>
      </c>
      <c r="AU66" s="292">
        <f>SUMIF($AD67:$AD71,$AD66,AU67:AU71)</f>
        <v>0</v>
      </c>
      <c r="AV66" s="292">
        <f>SUMIF($AD67:$AD71,$AD66,AV67:AV71)</f>
        <v>0</v>
      </c>
      <c r="AW66" s="292">
        <f>SUMIF($AD67:$AD71,$AD66,AW67:AW71)</f>
        <v>0</v>
      </c>
      <c r="AX66" s="1793">
        <f>SUMIF($AD67:$AD71,$AD66,AX67:AX71)</f>
        <v>0</v>
      </c>
      <c r="AY66" s="1793">
        <f>SUMIF($AD67:$AD71,$AD66,AY67:AY71)</f>
        <v>0</v>
      </c>
      <c r="AZ66" s="1793">
        <f>SUMIF($AD67:$AD71,$AD66,AZ67:AZ71)</f>
        <v>0</v>
      </c>
      <c r="BA66" s="1793">
        <f>SUMIF($AD67:$AD71,$AD66,BA67:BA71)</f>
        <v>0</v>
      </c>
      <c r="BB66" s="1793">
        <f>SUMIF($AD67:$AD71,$AD66,BB67:BB71)</f>
        <v>0</v>
      </c>
      <c r="BC66" s="1730"/>
      <c r="BD66" s="220"/>
      <c r="BE66" s="220"/>
      <c r="BF66" s="1170" t="s">
        <v>1005</v>
      </c>
      <c r="BG66" s="1189"/>
      <c r="BH66" s="1189"/>
      <c r="BI66" s="1190"/>
      <c r="BJ66" s="1190"/>
    </row>
    <row s="1619" customFormat="1" customHeight="1" ht="0">
      <c r="A67" s="1425"/>
      <c r="B67" s="924"/>
      <c r="C67" s="1425"/>
      <c r="D67" s="1425"/>
      <c r="E67" s="794">
        <v>0.2</v>
      </c>
      <c r="F67" s="919" cm="1" t="str">
        <f t="array" ref="F67:F67">OFFSET(G67,-1,-1)</f>
        <v>2</v>
      </c>
      <c r="G67" s="1532"/>
      <c r="H67" s="1532"/>
      <c r="I67" s="1532"/>
      <c r="J67" s="1532"/>
      <c r="K67" s="1532"/>
      <c r="L67" s="1532"/>
      <c r="M67" s="1532"/>
      <c r="N67" s="1532"/>
      <c r="O67" s="1532"/>
      <c r="P67" s="1532"/>
      <c r="Q67" s="190"/>
      <c r="R67" s="190"/>
      <c r="S67" s="1532"/>
      <c r="T67" s="816">
        <f>F67&gt;0</f>
        <v>1</v>
      </c>
      <c r="U67" s="1440"/>
      <c r="V67" s="1440"/>
      <c r="W67" s="1440"/>
      <c r="X67" s="1440"/>
      <c r="Y67" s="1440"/>
      <c r="Z67" s="1440"/>
      <c r="AA67" s="220"/>
      <c r="AB67" s="283"/>
      <c r="AC67" s="278"/>
      <c r="AD67" s="277"/>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c r="BC67" s="290"/>
      <c r="BD67" s="220"/>
      <c r="BE67" s="220"/>
      <c r="BF67" s="1170" t="str">
        <f>IF(AND(ISNUMBER(VALUE(TRIM(SUBSTITUTE(AB67,".","")))),TRIM(SUBSTITUTE(AB67,".",""))&lt;&gt;""),"P"&amp;SUBSTITUTE(AB67,".",""),"")</f>
        <v/>
      </c>
      <c r="BG67" s="1189"/>
      <c r="BH67" s="1189"/>
      <c r="BI67" s="1190"/>
      <c r="BJ67" s="1190"/>
    </row>
    <row s="1619" customFormat="1" customHeight="1" ht="14.25" hidden="1">
      <c r="A68" s="1122" t="str">
        <f>"checkCosts_2."&amp;F68&amp;"."&amp;Y68</f>
        <v>checkCosts_2.2.0</v>
      </c>
      <c r="B68" s="924"/>
      <c r="C68" s="1425"/>
      <c r="D68" s="1425"/>
      <c r="E68" s="794">
        <v>15</v>
      </c>
      <c r="F68" s="919" cm="1" t="str">
        <f t="array" ref="F68:F68">OFFSET(G68,-1,-1)</f>
        <v>2</v>
      </c>
      <c r="G68" s="1532"/>
      <c r="H68" s="152" cm="1" t="str">
        <f t="array" ref="H68:H68">AC68</f>
        <v>0</v>
      </c>
      <c r="I68" s="1532"/>
      <c r="J68" s="1532"/>
      <c r="K68" s="1532"/>
      <c r="L68" s="1532"/>
      <c r="M68" s="1532"/>
      <c r="N68" s="1532"/>
      <c r="O68" s="1532"/>
      <c r="P68" s="1532"/>
      <c r="Q68" s="190"/>
      <c r="R68" s="190"/>
      <c r="S68" s="1532"/>
      <c r="T68" s="920">
        <f>AND(F68&gt;0,Y68&gt;0)</f>
        <v>0</v>
      </c>
      <c r="U68" s="1440"/>
      <c r="V68" s="1440"/>
      <c r="W68" s="156" t="s">
        <v>233</v>
      </c>
      <c r="X68" s="1440"/>
      <c r="Y68" s="156">
        <v>0</v>
      </c>
      <c r="Z68" s="1440"/>
      <c r="AA68" s="1533" t="s">
        <v>217</v>
      </c>
      <c r="AB68" s="285" t="str">
        <f>"2."&amp;Y68</f>
        <v>2.0</v>
      </c>
      <c r="AC68" s="460"/>
      <c r="AD68" s="277" t="s">
        <v>805</v>
      </c>
      <c r="AE68" s="332">
        <f>AE69*AE70</f>
        <v>0</v>
      </c>
      <c r="AF68" s="61"/>
      <c r="AG68" s="61"/>
      <c r="AH68" s="332">
        <f>AH69*AH70</f>
        <v>0</v>
      </c>
      <c r="AI68" s="280"/>
      <c r="AJ68" s="280"/>
      <c r="AK68" s="280"/>
      <c r="AL68" s="280"/>
      <c r="AM68" s="280"/>
      <c r="AN68" s="61"/>
      <c r="AO68" s="61"/>
      <c r="AP68" s="61"/>
      <c r="AQ68" s="61"/>
      <c r="AR68" s="61"/>
      <c r="AS68" s="332">
        <f>AS69*AS70</f>
        <v>0</v>
      </c>
      <c r="AT68" s="332">
        <f>AT69*AT70</f>
        <v>0</v>
      </c>
      <c r="AU68" s="332">
        <f>AU69*AU70</f>
        <v>0</v>
      </c>
      <c r="AV68" s="332">
        <f>AV69*AV70</f>
        <v>0</v>
      </c>
      <c r="AW68" s="332">
        <f>AW69*AW70</f>
        <v>0</v>
      </c>
      <c r="AX68" s="332">
        <f>AX69*AX70</f>
        <v>0</v>
      </c>
      <c r="AY68" s="332">
        <f>AY69*AY70</f>
        <v>0</v>
      </c>
      <c r="AZ68" s="332">
        <f>AZ69*AZ70</f>
        <v>0</v>
      </c>
      <c r="BA68" s="332">
        <f>BA69*BA70</f>
        <v>0</v>
      </c>
      <c r="BB68" s="332">
        <f>BB69*BB70</f>
        <v>0</v>
      </c>
      <c r="BC68" s="73"/>
      <c r="BD68" s="220"/>
      <c r="BE68" s="220"/>
      <c r="BF68" s="1170" t="s">
        <v>1006</v>
      </c>
      <c r="BG68" s="1189" t="s">
        <v>1007</v>
      </c>
      <c r="BH68" s="1189" cm="1" t="str">
        <f t="array" ref="BH68:BH68">AC68</f>
        <v>0</v>
      </c>
      <c r="BI68" s="1190"/>
      <c r="BJ68" s="1190" t="b">
        <v>1</v>
      </c>
    </row>
    <row s="1387" customFormat="1" customHeight="1" ht="14.25" hidden="1">
      <c r="A69" s="1387"/>
      <c r="B69" s="1387"/>
      <c r="C69" s="1387"/>
      <c r="D69" s="1387"/>
      <c r="E69" s="794">
        <v>15</v>
      </c>
      <c r="F69" s="919" cm="1" t="str">
        <f t="array" ref="F69:F69">OFFSET(G69,-1,-1)</f>
        <v>2</v>
      </c>
      <c r="G69" s="1387"/>
      <c r="H69" s="152" cm="1" t="str">
        <f t="array" ref="H69:H69">H68</f>
        <v>0</v>
      </c>
      <c r="I69" s="1387"/>
      <c r="J69" s="1387"/>
      <c r="K69" s="1387"/>
      <c r="L69" s="1387"/>
      <c r="M69" s="1387"/>
      <c r="N69" s="1387"/>
      <c r="O69" s="1387"/>
      <c r="P69" s="1387"/>
      <c r="Q69" s="1387"/>
      <c r="R69" s="1387"/>
      <c r="S69" s="1387"/>
      <c r="T69" s="920" cm="1" t="str">
        <f t="array" ref="T69:T69">T68</f>
        <v>false</v>
      </c>
      <c r="U69" s="1387"/>
      <c r="V69" s="1387"/>
      <c r="W69" s="1387"/>
      <c r="X69" s="1387"/>
      <c r="Y69" s="1387"/>
      <c r="Z69" s="1387"/>
      <c r="AA69" s="1533"/>
      <c r="AB69" s="285" t="str">
        <f>AB68&amp;".1"</f>
        <v>2.0.1</v>
      </c>
      <c r="AC69" s="291" t="s">
        <v>942</v>
      </c>
      <c r="AD69" s="151" t="s">
        <v>997</v>
      </c>
      <c r="AE69" s="61"/>
      <c r="AF69" s="332">
        <f>IF(AF70=0,0,AF68/AF70)</f>
        <v>0</v>
      </c>
      <c r="AG69" s="332">
        <f>IF(AG70=0,0,AG68/AG70)</f>
        <v>0</v>
      </c>
      <c r="AH69" s="61"/>
      <c r="AI69" s="332">
        <f>IF(AI70=0,0,AI68/AI70)</f>
        <v>0</v>
      </c>
      <c r="AJ69" s="332">
        <f>IF(AJ70=0,0,AJ68/AJ70)</f>
        <v>0</v>
      </c>
      <c r="AK69" s="332">
        <f>IF(AK70=0,0,AK68/AK70)</f>
        <v>0</v>
      </c>
      <c r="AL69" s="332">
        <f>IF(AL70=0,0,AL68/AL70)</f>
        <v>0</v>
      </c>
      <c r="AM69" s="332">
        <f>IF(AM70=0,0,AM68/AM70)</f>
        <v>0</v>
      </c>
      <c r="AN69" s="332">
        <f>IF(AN70=0,0,AN68/AN70)</f>
        <v>0</v>
      </c>
      <c r="AO69" s="332">
        <f>IF(AO70=0,0,AO68/AO70)</f>
        <v>0</v>
      </c>
      <c r="AP69" s="332">
        <f>IF(AP70=0,0,AP68/AP70)</f>
        <v>0</v>
      </c>
      <c r="AQ69" s="332">
        <f>IF(AQ70=0,0,AQ68/AQ70)</f>
        <v>0</v>
      </c>
      <c r="AR69" s="332">
        <f>IF(AR70=0,0,AR68/AR70)</f>
        <v>0</v>
      </c>
      <c r="AS69" s="280"/>
      <c r="AT69" s="280"/>
      <c r="AU69" s="280"/>
      <c r="AV69" s="280"/>
      <c r="AW69" s="280"/>
      <c r="AX69" s="61"/>
      <c r="AY69" s="61"/>
      <c r="AZ69" s="61"/>
      <c r="BA69" s="61"/>
      <c r="BB69" s="61"/>
      <c r="BC69" s="73"/>
      <c r="BD69" s="1387"/>
      <c r="BE69" s="1387"/>
      <c r="BF69" s="1170" t="s">
        <v>1008</v>
      </c>
      <c r="BG69" s="1189" t="s">
        <v>1007</v>
      </c>
      <c r="BH69" s="1189" cm="1" t="str">
        <f t="array" ref="BH69:BH69">BH68</f>
        <v>0</v>
      </c>
      <c r="BI69" s="1190"/>
      <c r="BJ69" s="1190"/>
    </row>
    <row s="1619" customFormat="1" customHeight="1" ht="14.25" hidden="1">
      <c r="A70" s="1122" t="str">
        <f>"checkVolume_2."&amp;F70&amp;"."&amp;Y68</f>
        <v>checkVolume_2.2.0</v>
      </c>
      <c r="B70" s="924"/>
      <c r="C70" s="1425"/>
      <c r="D70" s="1425"/>
      <c r="E70" s="794">
        <v>15</v>
      </c>
      <c r="F70" s="919" cm="1" t="str">
        <f t="array" ref="F70:F70">OFFSET(G70,-1,-1)</f>
        <v>2</v>
      </c>
      <c r="G70" s="1532"/>
      <c r="H70" s="152" cm="1" t="str">
        <f t="array" ref="H70:H70">H68</f>
        <v>0</v>
      </c>
      <c r="I70" s="1532"/>
      <c r="J70" s="1532"/>
      <c r="K70" s="1532"/>
      <c r="L70" s="1532"/>
      <c r="M70" s="1532"/>
      <c r="N70" s="1532"/>
      <c r="O70" s="1532"/>
      <c r="P70" s="1532"/>
      <c r="Q70" s="190"/>
      <c r="R70" s="190"/>
      <c r="S70" s="1532"/>
      <c r="T70" s="920" cm="1" t="str">
        <f t="array" ref="T70:T70">T68</f>
        <v>false</v>
      </c>
      <c r="U70" s="1440"/>
      <c r="V70" s="1440"/>
      <c r="W70" s="1440"/>
      <c r="X70" s="1440"/>
      <c r="Y70" s="1440"/>
      <c r="Z70" s="1440"/>
      <c r="AA70" s="1533"/>
      <c r="AB70" s="285" t="str">
        <f>AB68&amp;".2"</f>
        <v>2.0.2</v>
      </c>
      <c r="AC70" s="291" t="s">
        <v>1009</v>
      </c>
      <c r="AD70" s="151" t="s">
        <v>1000</v>
      </c>
      <c r="AE70" s="61"/>
      <c r="AF70" s="61"/>
      <c r="AG70" s="61"/>
      <c r="AH70" s="61"/>
      <c r="AI70" s="280"/>
      <c r="AJ70" s="280"/>
      <c r="AK70" s="280"/>
      <c r="AL70" s="280"/>
      <c r="AM70" s="280"/>
      <c r="AN70" s="61"/>
      <c r="AO70" s="61"/>
      <c r="AP70" s="61"/>
      <c r="AQ70" s="61"/>
      <c r="AR70" s="61"/>
      <c r="AS70" s="280"/>
      <c r="AT70" s="280"/>
      <c r="AU70" s="280"/>
      <c r="AV70" s="280"/>
      <c r="AW70" s="280"/>
      <c r="AX70" s="61"/>
      <c r="AY70" s="61"/>
      <c r="AZ70" s="61"/>
      <c r="BA70" s="61"/>
      <c r="BB70" s="61"/>
      <c r="BC70" s="73"/>
      <c r="BD70" s="220"/>
      <c r="BE70" s="220"/>
      <c r="BF70" s="1170" t="s">
        <v>1010</v>
      </c>
      <c r="BG70" s="1189" t="s">
        <v>1007</v>
      </c>
      <c r="BH70" s="1189" cm="1" t="str">
        <f t="array" ref="BH70:BH70">BH68</f>
        <v>0</v>
      </c>
      <c r="BI70" s="1190"/>
      <c r="BJ70" s="1190"/>
    </row>
    <row s="1619" customFormat="1" customHeight="1" ht="14.25">
      <c r="A71" s="1425"/>
      <c r="B71" s="924"/>
      <c r="C71" s="1425"/>
      <c r="D71" s="1425"/>
      <c r="E71" s="794">
        <v>15</v>
      </c>
      <c r="F71" s="919" cm="1" t="str">
        <f t="array" ref="F71:F71">OFFSET(G71,-1,-1)</f>
        <v>2</v>
      </c>
      <c r="G71" s="1532"/>
      <c r="H71" s="1532"/>
      <c r="I71" s="1532"/>
      <c r="J71" s="1532"/>
      <c r="K71" s="1532"/>
      <c r="L71" s="1532"/>
      <c r="M71" s="1532"/>
      <c r="N71" s="1532"/>
      <c r="O71" s="1532"/>
      <c r="P71" s="1532"/>
      <c r="Q71" s="190"/>
      <c r="R71" s="190"/>
      <c r="S71" s="1532"/>
      <c r="T71" s="816">
        <f>F71&gt;0</f>
        <v>1</v>
      </c>
      <c r="U71" s="1440"/>
      <c r="V71" s="1440"/>
      <c r="W71" s="371" t="s">
        <v>1011</v>
      </c>
      <c r="X71" s="1440"/>
      <c r="Y71" s="1440"/>
      <c r="Z71" s="1440"/>
      <c r="AA71" s="220"/>
      <c r="AB71" s="299"/>
      <c r="AC71" s="300" t="s">
        <v>978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300"/>
      <c r="BC71" s="301"/>
      <c r="BD71" s="220"/>
      <c r="BE71" s="220"/>
      <c r="BF71" s="1189"/>
      <c r="BG71" s="1189"/>
      <c r="BH71" s="1189"/>
      <c r="BI71" s="1190" t="s">
        <v>1007</v>
      </c>
      <c r="BJ71" s="1190"/>
    </row>
    <row customHeight="1" ht="11.115">
      <c r="E72" s="922">
        <v>11.4</v>
      </c>
      <c r="Q72" s="736"/>
      <c r="U72" s="176" t="s">
        <v>235</v>
      </c>
      <c r="V72" s="168" t="s">
        <v>1013</v>
      </c>
      <c r="AI72" s="220"/>
      <c r="AJ72" s="220"/>
      <c r="AK72" s="220"/>
      <c r="AL72" s="220"/>
      <c r="AM72" s="220"/>
      <c r="AN72" s="220"/>
      <c r="AO72" s="220"/>
      <c r="AP72" s="220"/>
      <c r="AQ72" s="220"/>
      <c r="AR72" s="220"/>
      <c r="AS72" s="220"/>
      <c r="AT72" s="220"/>
      <c r="AU72" s="220"/>
      <c r="AV72" s="220"/>
      <c r="AW72" s="220"/>
      <c r="AX72" s="220"/>
      <c r="AY72" s="220"/>
      <c r="AZ72" s="220"/>
      <c r="BA72" s="220"/>
      <c r="BB72" s="220"/>
    </row>
    <row customHeight="1" ht="11.25" hidden="1">
      <c r="E73" s="922">
        <v>0</v>
      </c>
      <c r="Q73" s="736"/>
      <c r="V73" s="168"/>
      <c r="AI73" s="220"/>
      <c r="AJ73" s="220"/>
      <c r="AK73" s="220"/>
      <c r="AL73" s="220"/>
      <c r="AM73" s="220"/>
      <c r="AN73" s="220"/>
      <c r="AO73" s="220"/>
      <c r="AP73" s="220"/>
      <c r="AQ73" s="220"/>
      <c r="AR73" s="220"/>
      <c r="AS73" s="220"/>
      <c r="AT73" s="220"/>
      <c r="AU73" s="220"/>
      <c r="AV73" s="220"/>
      <c r="AW73" s="220"/>
      <c r="AX73" s="220"/>
      <c r="AY73" s="220"/>
      <c r="AZ73" s="220"/>
      <c r="BA73" s="220"/>
      <c r="BB73" s="220"/>
    </row>
    <row s="497" customFormat="1" customHeight="1" ht="14.625">
      <c r="A74" s="172"/>
      <c r="B74" s="785"/>
      <c r="C74" s="172"/>
      <c r="D74" s="172"/>
      <c r="E74" s="794">
        <v>15</v>
      </c>
      <c r="F74" s="172"/>
      <c r="Q74" s="736"/>
      <c r="R74" s="736"/>
      <c r="T74" s="172"/>
      <c r="U74" s="172"/>
      <c r="V74" s="172"/>
      <c r="W74" s="172"/>
      <c r="X74" s="172"/>
      <c r="Y74" s="172"/>
      <c r="Z74" s="172"/>
      <c r="AB74" s="1527" t="s">
        <v>700</v>
      </c>
      <c r="AC74" s="1527"/>
      <c r="AD74" s="1527"/>
      <c r="AE74" s="1527"/>
      <c r="AF74" s="1527"/>
      <c r="AG74" s="1527"/>
      <c r="AH74" s="1527"/>
      <c r="AI74" s="1528"/>
      <c r="AJ74" s="1528"/>
      <c r="AK74" s="1528"/>
      <c r="AL74" s="1528"/>
      <c r="AM74" s="1528"/>
      <c r="AN74" s="1528"/>
      <c r="AO74" s="1528"/>
      <c r="AP74" s="1528"/>
      <c r="AQ74" s="1528"/>
      <c r="AR74" s="1528"/>
      <c r="AS74" s="1528"/>
      <c r="AT74" s="1528"/>
      <c r="AU74" s="1528"/>
      <c r="AV74" s="1528"/>
      <c r="AW74" s="1528"/>
      <c r="AX74" s="1528"/>
      <c r="AY74" s="1528"/>
      <c r="AZ74" s="1528"/>
      <c r="BA74" s="1528"/>
      <c r="BB74" s="1528"/>
      <c r="BC74" s="1528"/>
      <c r="BF74" s="1181"/>
      <c r="BG74" s="1181"/>
      <c r="BH74" s="1181"/>
      <c r="BI74" s="1184"/>
      <c r="BJ74" s="1184"/>
    </row>
    <row s="497" customFormat="1" customHeight="1" ht="14.625">
      <c r="A75" s="172"/>
      <c r="B75" s="785"/>
      <c r="C75" s="172"/>
      <c r="D75" s="172"/>
      <c r="E75" s="794">
        <v>15</v>
      </c>
      <c r="F75" s="172"/>
      <c r="Q75" s="736"/>
      <c r="R75" s="736"/>
      <c r="T75" s="172"/>
      <c r="U75" s="172"/>
      <c r="V75" s="172"/>
      <c r="W75" s="172"/>
      <c r="X75" s="172"/>
      <c r="Y75" s="172"/>
      <c r="Z75" s="172"/>
      <c r="AA75" s="918"/>
      <c r="AB75" s="1529"/>
      <c r="AC75" s="1529"/>
      <c r="AD75" s="1529"/>
      <c r="AE75" s="1529"/>
      <c r="AF75" s="1529"/>
      <c r="AG75" s="1529"/>
      <c r="AH75" s="1529"/>
      <c r="AI75" s="1530"/>
      <c r="AJ75" s="1530"/>
      <c r="AK75" s="1530"/>
      <c r="AL75" s="1530"/>
      <c r="AM75" s="1530"/>
      <c r="AN75" s="1796"/>
      <c r="AO75" s="1796"/>
      <c r="AP75" s="1796"/>
      <c r="AQ75" s="1796"/>
      <c r="AR75" s="1796"/>
      <c r="AS75" s="1530"/>
      <c r="AT75" s="1530"/>
      <c r="AU75" s="1530"/>
      <c r="AV75" s="1530"/>
      <c r="AW75" s="1530"/>
      <c r="AX75" s="1796"/>
      <c r="AY75" s="1796"/>
      <c r="AZ75" s="1796"/>
      <c r="BA75" s="1796"/>
      <c r="BB75" s="1796"/>
      <c r="BC75" s="1530"/>
      <c r="BF75" s="1181"/>
      <c r="BG75" s="1181"/>
      <c r="BH75" s="1181"/>
      <c r="BI75" s="1184"/>
      <c r="BJ75" s="1184"/>
    </row>
    <row s="497" customFormat="1" customHeight="1" ht="14.625" hidden="1">
      <c r="A76" s="172"/>
      <c r="B76" s="785"/>
      <c r="C76" s="172"/>
      <c r="D76" s="172"/>
      <c r="E76" s="794">
        <v>15</v>
      </c>
      <c r="F76" s="172"/>
      <c r="G76" s="497"/>
      <c r="H76" s="497"/>
      <c r="I76" s="497"/>
      <c r="J76" s="497"/>
      <c r="K76" s="497"/>
      <c r="L76" s="497"/>
      <c r="M76" s="497"/>
      <c r="N76" s="497"/>
      <c r="O76" s="497"/>
      <c r="P76" s="497"/>
      <c r="Q76" s="736"/>
      <c r="R76" s="736"/>
      <c r="S76" s="497"/>
      <c r="T76" s="805">
        <f>ROW(W76)&gt;ROW(W$76)</f>
        <v>0</v>
      </c>
      <c r="U76" s="172"/>
      <c r="V76" s="172"/>
      <c r="W76" s="172" t="s">
        <v>233</v>
      </c>
      <c r="X76" s="172"/>
      <c r="Y76" s="172"/>
      <c r="Z76" s="172"/>
      <c r="AA76" s="914" t="s">
        <v>217</v>
      </c>
      <c r="AB76" s="1797"/>
      <c r="AC76" s="1797"/>
      <c r="AD76" s="1797"/>
      <c r="AE76" s="1797"/>
      <c r="AF76" s="1797"/>
      <c r="AG76" s="1797"/>
      <c r="AH76" s="1797"/>
      <c r="AI76" s="1530"/>
      <c r="AJ76" s="1530"/>
      <c r="AK76" s="1530"/>
      <c r="AL76" s="1530"/>
      <c r="AM76" s="1530"/>
      <c r="AN76" s="1796"/>
      <c r="AO76" s="1796"/>
      <c r="AP76" s="1796"/>
      <c r="AQ76" s="1796"/>
      <c r="AR76" s="1796"/>
      <c r="AS76" s="1530"/>
      <c r="AT76" s="1530"/>
      <c r="AU76" s="1530"/>
      <c r="AV76" s="1530"/>
      <c r="AW76" s="1530"/>
      <c r="AX76" s="1796"/>
      <c r="AY76" s="1796"/>
      <c r="AZ76" s="1796"/>
      <c r="BA76" s="1796"/>
      <c r="BB76" s="1796"/>
      <c r="BC76" s="1796"/>
      <c r="BD76" s="497"/>
      <c r="BE76" s="497"/>
      <c r="BF76" s="1181"/>
      <c r="BG76" s="1181"/>
      <c r="BH76" s="1181"/>
      <c r="BI76" s="1184"/>
      <c r="BJ76" s="1184"/>
    </row>
    <row s="497" customFormat="1" customHeight="1" ht="14.625">
      <c r="A77" s="172"/>
      <c r="B77" s="785"/>
      <c r="C77" s="172"/>
      <c r="D77" s="172"/>
      <c r="E77" s="794">
        <v>15</v>
      </c>
      <c r="F77" s="172"/>
      <c r="Q77" s="736"/>
      <c r="R77" s="736"/>
      <c r="T77" s="172"/>
      <c r="U77" s="172"/>
      <c r="V77" s="172"/>
      <c r="W77" s="168" t="s">
        <v>1014</v>
      </c>
      <c r="X77" s="172"/>
      <c r="Y77" s="172"/>
      <c r="Z77" s="172"/>
      <c r="AB77" s="1475" t="s">
        <v>701</v>
      </c>
      <c r="AC77" s="1476"/>
      <c r="AD77" s="380"/>
      <c r="AE77" s="380"/>
      <c r="AF77" s="381"/>
      <c r="AG77" s="381"/>
      <c r="AH77" s="381"/>
      <c r="AI77" s="381"/>
      <c r="AJ77" s="381"/>
      <c r="AK77" s="381"/>
      <c r="AL77" s="381"/>
      <c r="AM77" s="381"/>
      <c r="AN77" s="381"/>
      <c r="AO77" s="381"/>
      <c r="AP77" s="381"/>
      <c r="AQ77" s="381"/>
      <c r="AR77" s="381"/>
      <c r="AS77" s="381"/>
      <c r="AT77" s="381"/>
      <c r="AU77" s="381"/>
      <c r="AV77" s="381"/>
      <c r="AW77" s="381"/>
      <c r="AX77" s="381"/>
      <c r="AY77" s="381"/>
      <c r="AZ77" s="381"/>
      <c r="BA77" s="381"/>
      <c r="BB77" s="381"/>
      <c r="BC77" s="382"/>
      <c r="BF77" s="1181"/>
      <c r="BG77" s="1181"/>
      <c r="BH77" s="1181"/>
      <c r="BI77" s="1184"/>
      <c r="BJ77" s="1184"/>
    </row>
    <row customHeight="1" ht="11.25">
      <c r="AI78" s="220"/>
      <c r="AJ78" s="220"/>
      <c r="AK78" s="220"/>
      <c r="AL78" s="220"/>
      <c r="AM78" s="220"/>
      <c r="AN78" s="220"/>
      <c r="AO78" s="220"/>
      <c r="AP78" s="220"/>
      <c r="AQ78" s="220"/>
      <c r="AR78" s="220"/>
      <c r="AS78" s="220"/>
      <c r="AT78" s="220"/>
      <c r="AU78" s="220"/>
      <c r="AV78" s="220"/>
      <c r="AW78" s="220"/>
      <c r="AX78" s="220"/>
      <c r="AY78" s="220"/>
      <c r="AZ78" s="220"/>
      <c r="BA78" s="220"/>
      <c r="BB78" s="220"/>
      <c r="BD78" s="220"/>
    </row>
  </sheetData>
  <sheetProtection formatColumns="0" formatRows="0" insertRows="0" deleteColumns="0" deleteRows="0" sort="0" autoFilter="0" insertColumns="1"/>
  <mergeCells count="30">
    <mergeCell ref="X27:X39"/>
    <mergeCell ref="Z27:Z39"/>
    <mergeCell ref="AB74:BC74"/>
    <mergeCell ref="AB75:BC75"/>
    <mergeCell ref="AB77:AC77"/>
    <mergeCell ref="Y36:Y38"/>
    <mergeCell ref="AA36:AA38"/>
    <mergeCell ref="AB76:BC76"/>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 ref="X56:X71"/>
    <mergeCell ref="Z56:Z71"/>
    <mergeCell ref="Y68:Y70"/>
    <mergeCell ref="AA68:AA70"/>
    <mergeCell ref="Y59:Y61"/>
    <mergeCell ref="AA59:AA61"/>
    <mergeCell ref="Y62:Y64"/>
    <mergeCell ref="AA62:AA64"/>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AE59 AF59 AG59 AH59 AI59 AJ59 AK59 AL59 AM59 AN59 AO59 AP59 AQ59 AR59 AS59 AT59 AU59 AV59 AW59 AX59 AY59 AZ59 BA59 BB59 AE60 AF60 AG60 AH60 AI60 AJ60 AK60 AL60 AM60 AN60 AO60 AP60 AQ60 AR60 AS60 AT60 AU60 AV60 AW60 AX60 AY60 AZ60 BA60 BB60 AE61:AE64 AF61:AF64 AG61:AG64 AH61:AH64 AI61:AI64 AJ61:AJ64 AK61:AK64 AL61:AL64 AM61:AM64 AN61:AN64 AO61:AO64 AP61:AP64 AQ61:AQ64 AR61:AR64 AS61:AS64 AT61:AT64 AU61:AU64 AV61:AV64 AW61:AW64 AX61:AX64 AY61:AY64 AZ61:AZ64 BA61:BA64 BB61:BB64 AE68 AF68 AG68 AH68 AI68 AJ68 AK68 AL68 AM68 AN68 AO68 AP68 AQ68 AR68 AS68 AT68 AU68 AV68 AW68 AX68 AY68 AZ68 BA68 BB68 AE69 AF69 AG69 AH69 AI69 AJ69 AK69 AL69 AM69 AN69 AO69 AP69 AQ69 AR69 AS69 AT69 AU69 AV69 AW69 AX69 AY69 AZ69 BA69 BB69 AE70 AF70 AG70 AH70 AI70 AJ70 AK70 AL70 AM70 AN70 AO70 AP70 AQ70 AR70 AS70 AT70 AU70 AV70 AW70 AX70 AY70 AZ70 BA70 BB70">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9739A-B829-38B8-DF1A-0A86FF77FCDD}" mc:Ignorable="x14ac xr xr2 xr3">
  <sheetPr>
    <tabColor rgb="FF002060"/>
    <outlinePr summaryRight="0" summaryBelow="0"/>
    <pageSetUpPr fitToPage="1"/>
  </sheetPr>
  <dimension ref="A1:BF330"/>
  <sheetViews>
    <sheetView showGridLines="0" workbookViewId="0">
      <pane xSplit="30" ySplit="26" topLeftCell="AI294" activePane="bottomRight" state="frozen"/>
      <selection pane="bottomLeft" activeCell="A27" sqref="A27"/>
      <selection pane="topRight" activeCell="AE1" sqref="AE1"/>
      <selection pane="bottomRight" activeCell="AI311" sqref="AI311:AW311"/>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9" style="199" width="12.6328125" customWidth="1"/>
    <col min="40" max="44" style="199" width="12.6328125" hidden="1" customWidth="1"/>
    <col min="45" max="49" style="199" width="12.6328125" customWidth="1"/>
    <col min="50"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376</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377</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430</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431</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432</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1015</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991</v>
      </c>
      <c r="AC24" s="1535" t="s">
        <v>224</v>
      </c>
      <c r="AD24" s="1527" t="s">
        <v>434</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587</v>
      </c>
    </row>
    <row customHeight="1" ht="48.847500000000004">
      <c r="E25" s="794">
        <v>50.1</v>
      </c>
      <c r="AB25" s="1527"/>
      <c r="AC25" s="1535"/>
      <c r="AD25" s="1527"/>
      <c r="AE25" s="167" t="s">
        <v>407</v>
      </c>
      <c r="AF25" s="1353" t="s">
        <v>588</v>
      </c>
      <c r="AG25" s="167" t="s">
        <v>589</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309</v>
      </c>
      <c r="X27" s="156">
        <v>0</v>
      </c>
      <c r="AB27" s="287" cm="1" t="str">
        <f t="array" ref="AB27:AB27">INDEX('Общие сведения'!$AG$169:$AG$218,MATCH($F27,'Общие сведения'!$Z$169:$Z$218,0))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1016</v>
      </c>
      <c r="AD28" s="153" t="s">
        <v>805</v>
      </c>
      <c r="AE28" s="102">
        <f>SUM(AE29:AE32)+SUM(AE38:AE41)</f>
        <v>0</v>
      </c>
      <c r="AF28" s="102">
        <f>SUM(AF29:AF32)+SUM(AF38:AF41)</f>
        <v>0</v>
      </c>
      <c r="AG28" s="102">
        <f>SUM(AG29:AG32)+SUM(AG38:AG41)</f>
        <v>0</v>
      </c>
      <c r="AH28" s="102">
        <f>SUM(AH29:AH32)+SUM(AH38:AH41)</f>
        <v>0</v>
      </c>
      <c r="AI28" s="292">
        <f>SUM(AI29:AI32)+SUM(AI38:AI41)</f>
        <v>0</v>
      </c>
      <c r="AJ28" s="292">
        <f>SUM(AJ29:AJ32)+SUM(AJ38:AJ41)</f>
        <v>0</v>
      </c>
      <c r="AK28" s="292">
        <f>SUM(AK29:AK32)+SUM(AK38:AK41)</f>
        <v>0</v>
      </c>
      <c r="AL28" s="292">
        <f>SUM(AL29:AL32)+SUM(AL38:AL41)</f>
        <v>0</v>
      </c>
      <c r="AM28" s="292">
        <f>SUM(AM29:AM32)+SUM(AM38:AM41)</f>
        <v>0</v>
      </c>
      <c r="AN28" s="102">
        <f>SUM(AN29:AN32)+SUM(AN38:AN41)</f>
        <v>0</v>
      </c>
      <c r="AO28" s="102">
        <f>SUM(AO29:AO32)+SUM(AO38:AO41)</f>
        <v>0</v>
      </c>
      <c r="AP28" s="102">
        <f>SUM(AP29:AP32)+SUM(AP38:AP41)</f>
        <v>0</v>
      </c>
      <c r="AQ28" s="102">
        <f>SUM(AQ29:AQ32)+SUM(AQ38:AQ41)</f>
        <v>0</v>
      </c>
      <c r="AR28" s="102">
        <f>SUM(AR29:AR32)+SUM(AR38:AR41)</f>
        <v>0</v>
      </c>
      <c r="AS28" s="292">
        <f>SUM(AS29:AS32)+SUM(AS38:AS41)</f>
        <v>0</v>
      </c>
      <c r="AT28" s="292">
        <f>SUM(AT29:AT32)+SUM(AT38:AT41)</f>
        <v>0</v>
      </c>
      <c r="AU28" s="292">
        <f>SUM(AU29:AU32)+SUM(AU38:AU41)</f>
        <v>0</v>
      </c>
      <c r="AV28" s="292">
        <f>SUM(AV29:AV32)+SUM(AV38:AV41)</f>
        <v>0</v>
      </c>
      <c r="AW28" s="292">
        <f>SUM(AW29:AW32)+SUM(AW38:AW41)</f>
        <v>0</v>
      </c>
      <c r="AX28" s="102">
        <f>SUM(AX29:AX32)+SUM(AX38:AX41)</f>
        <v>0</v>
      </c>
      <c r="AY28" s="102">
        <f>SUM(AY29:AY32)+SUM(AY38:AY41)</f>
        <v>0</v>
      </c>
      <c r="AZ28" s="102">
        <f>SUM(AZ29:AZ32)+SUM(AZ38:AZ41)</f>
        <v>0</v>
      </c>
      <c r="BA28" s="102">
        <f>SUM(BA29:BA32)+SUM(BA38:BA41)</f>
        <v>0</v>
      </c>
      <c r="BB28" s="102">
        <f>SUM(BB29:BB32)+SUM(BB38:BB41)</f>
        <v>0</v>
      </c>
      <c r="BC28" s="73"/>
      <c r="BF28" s="1170" t="s">
        <v>1017</v>
      </c>
    </row>
    <row customHeight="1" ht="14.625" hidden="1">
      <c r="E29" s="794">
        <v>15</v>
      </c>
      <c r="F29" s="919" cm="1" t="str">
        <f t="array" ref="F29:F29">F28</f>
        <v>0</v>
      </c>
      <c r="T29" s="816" cm="1" t="str">
        <f t="array" ref="T29:T29">T28</f>
        <v>false</v>
      </c>
      <c r="AB29" s="486" t="s">
        <v>442</v>
      </c>
      <c r="AC29" s="487" t="s">
        <v>1018</v>
      </c>
      <c r="AD29" s="486" t="s">
        <v>1019</v>
      </c>
      <c r="AE29" s="61"/>
      <c r="AF29" s="61"/>
      <c r="AG29" s="61"/>
      <c r="AH29" s="61"/>
      <c r="AI29" s="280"/>
      <c r="AJ29" s="280"/>
      <c r="AK29" s="280"/>
      <c r="AL29" s="280"/>
      <c r="AM29" s="280"/>
      <c r="AN29" s="61"/>
      <c r="AO29" s="61"/>
      <c r="AP29" s="61"/>
      <c r="AQ29" s="61"/>
      <c r="AR29" s="61"/>
      <c r="AS29" s="280"/>
      <c r="AT29" s="280"/>
      <c r="AU29" s="280"/>
      <c r="AV29" s="280"/>
      <c r="AW29" s="280"/>
      <c r="AX29" s="61"/>
      <c r="AY29" s="61"/>
      <c r="AZ29" s="61"/>
      <c r="BA29" s="61"/>
      <c r="BB29" s="61"/>
      <c r="BC29" s="73"/>
      <c r="BF29" s="1170" t="s">
        <v>1020</v>
      </c>
    </row>
    <row customHeight="1" ht="14.625" hidden="1">
      <c r="E30" s="794">
        <v>15</v>
      </c>
      <c r="F30" s="919" cm="1" t="str">
        <f t="array" ref="F30:F30">F29</f>
        <v>0</v>
      </c>
      <c r="T30" s="816" cm="1" t="str">
        <f t="array" ref="T30:T30">T29</f>
        <v>false</v>
      </c>
      <c r="AB30" s="486" t="s">
        <v>931</v>
      </c>
      <c r="AC30" s="487" t="s">
        <v>1021</v>
      </c>
      <c r="AD30" s="486" t="s">
        <v>1019</v>
      </c>
      <c r="AE30" s="61"/>
      <c r="AF30" s="61"/>
      <c r="AG30" s="61"/>
      <c r="AH30" s="61"/>
      <c r="AI30" s="280"/>
      <c r="AJ30" s="280"/>
      <c r="AK30" s="280"/>
      <c r="AL30" s="280"/>
      <c r="AM30" s="280"/>
      <c r="AN30" s="61"/>
      <c r="AO30" s="61"/>
      <c r="AP30" s="61"/>
      <c r="AQ30" s="61"/>
      <c r="AR30" s="61"/>
      <c r="AS30" s="280"/>
      <c r="AT30" s="280"/>
      <c r="AU30" s="280"/>
      <c r="AV30" s="280"/>
      <c r="AW30" s="280"/>
      <c r="AX30" s="61"/>
      <c r="AY30" s="61"/>
      <c r="AZ30" s="61"/>
      <c r="BA30" s="61"/>
      <c r="BB30" s="61"/>
      <c r="BC30" s="73"/>
      <c r="BF30" s="1170" t="s">
        <v>1022</v>
      </c>
    </row>
    <row customHeight="1" ht="14.625" hidden="1">
      <c r="E31" s="794">
        <v>15</v>
      </c>
      <c r="F31" s="919" cm="1" t="str">
        <f t="array" ref="F31:F31">F30</f>
        <v>0</v>
      </c>
      <c r="T31" s="816" cm="1" t="str">
        <f t="array" ref="T31:T31">T30</f>
        <v>false</v>
      </c>
      <c r="AB31" s="486" t="s">
        <v>933</v>
      </c>
      <c r="AC31" s="487" t="s">
        <v>1023</v>
      </c>
      <c r="AD31" s="486" t="s">
        <v>1019</v>
      </c>
      <c r="AE31" s="61"/>
      <c r="AF31" s="61"/>
      <c r="AG31" s="61"/>
      <c r="AH31" s="61"/>
      <c r="AI31" s="280"/>
      <c r="AJ31" s="280"/>
      <c r="AK31" s="280"/>
      <c r="AL31" s="280"/>
      <c r="AM31" s="280"/>
      <c r="AN31" s="61"/>
      <c r="AO31" s="61"/>
      <c r="AP31" s="61"/>
      <c r="AQ31" s="61"/>
      <c r="AR31" s="61"/>
      <c r="AS31" s="280"/>
      <c r="AT31" s="280"/>
      <c r="AU31" s="280"/>
      <c r="AV31" s="280"/>
      <c r="AW31" s="280"/>
      <c r="AX31" s="61"/>
      <c r="AY31" s="61"/>
      <c r="AZ31" s="61"/>
      <c r="BA31" s="61"/>
      <c r="BB31" s="61"/>
      <c r="BC31" s="73"/>
      <c r="BF31" s="1170" t="s">
        <v>1024</v>
      </c>
    </row>
    <row customHeight="1" ht="14.625" hidden="1">
      <c r="E32" s="794">
        <v>15</v>
      </c>
      <c r="F32" s="919" cm="1" t="str">
        <f t="array" ref="F32:F32">F31</f>
        <v>0</v>
      </c>
      <c r="T32" s="816" cm="1" t="str">
        <f t="array" ref="T32:T32">T31</f>
        <v>false</v>
      </c>
      <c r="AB32" s="486" t="s">
        <v>937</v>
      </c>
      <c r="AC32" s="487" t="s">
        <v>1025</v>
      </c>
      <c r="AD32" s="486" t="s">
        <v>1019</v>
      </c>
      <c r="AE32" s="85">
        <f>SUM(AE33:AE37)</f>
        <v>0</v>
      </c>
      <c r="AF32" s="85">
        <f>SUM(AF33:AF37)</f>
        <v>0</v>
      </c>
      <c r="AG32" s="85">
        <f>SUM(AG33:AG37)</f>
        <v>0</v>
      </c>
      <c r="AH32" s="85">
        <f>SUM(AH33:AH37)</f>
        <v>0</v>
      </c>
      <c r="AI32" s="481">
        <f>SUM(AI33:AI37)</f>
        <v>0</v>
      </c>
      <c r="AJ32" s="481">
        <f>SUM(AJ33:AJ37)</f>
        <v>0</v>
      </c>
      <c r="AK32" s="481">
        <f>SUM(AK33:AK37)</f>
        <v>0</v>
      </c>
      <c r="AL32" s="481">
        <f>SUM(AL33:AL37)</f>
        <v>0</v>
      </c>
      <c r="AM32" s="481">
        <f>SUM(AM33:AM37)</f>
        <v>0</v>
      </c>
      <c r="AN32" s="85">
        <f>SUM(AN33:AN37)</f>
        <v>0</v>
      </c>
      <c r="AO32" s="85">
        <f>SUM(AO33:AO37)</f>
        <v>0</v>
      </c>
      <c r="AP32" s="85">
        <f>SUM(AP33:AP37)</f>
        <v>0</v>
      </c>
      <c r="AQ32" s="85">
        <f>SUM(AQ33:AQ37)</f>
        <v>0</v>
      </c>
      <c r="AR32" s="85">
        <f>SUM(AR33:AR37)</f>
        <v>0</v>
      </c>
      <c r="AS32" s="481">
        <f>SUM(AS33:AS37)</f>
        <v>0</v>
      </c>
      <c r="AT32" s="481">
        <f>SUM(AT33:AT37)</f>
        <v>0</v>
      </c>
      <c r="AU32" s="481">
        <f>SUM(AU33:AU37)</f>
        <v>0</v>
      </c>
      <c r="AV32" s="481">
        <f>SUM(AV33:AV37)</f>
        <v>0</v>
      </c>
      <c r="AW32" s="481">
        <f>SUM(AW33:AW37)</f>
        <v>0</v>
      </c>
      <c r="AX32" s="85">
        <f>SUM(AX33:AX37)</f>
        <v>0</v>
      </c>
      <c r="AY32" s="85">
        <f>SUM(AY33:AY37)</f>
        <v>0</v>
      </c>
      <c r="AZ32" s="85">
        <f>SUM(AZ33:AZ37)</f>
        <v>0</v>
      </c>
      <c r="BA32" s="85">
        <f>SUM(BA33:BA37)</f>
        <v>0</v>
      </c>
      <c r="BB32" s="85">
        <f>SUM(BB33:BB37)</f>
        <v>0</v>
      </c>
      <c r="BC32" s="73"/>
      <c r="BF32" s="1170" t="s">
        <v>1026</v>
      </c>
    </row>
    <row customHeight="1" ht="14.625" hidden="1">
      <c r="E33" s="794">
        <v>15</v>
      </c>
      <c r="F33" s="919" cm="1" t="str">
        <f t="array" ref="F33:F33">F32</f>
        <v>0</v>
      </c>
      <c r="T33" s="816" cm="1" t="str">
        <f t="array" ref="T33:T33">T32</f>
        <v>false</v>
      </c>
      <c r="AB33" s="486" t="s">
        <v>1027</v>
      </c>
      <c r="AC33" s="488" t="s">
        <v>1028</v>
      </c>
      <c r="AD33" s="486" t="s">
        <v>1019</v>
      </c>
      <c r="AE33" s="61"/>
      <c r="AF33" s="61"/>
      <c r="AG33" s="61"/>
      <c r="AH33" s="61"/>
      <c r="AI33" s="280"/>
      <c r="AJ33" s="280"/>
      <c r="AK33" s="280"/>
      <c r="AL33" s="280"/>
      <c r="AM33" s="280"/>
      <c r="AN33" s="61"/>
      <c r="AO33" s="61"/>
      <c r="AP33" s="61"/>
      <c r="AQ33" s="61"/>
      <c r="AR33" s="61"/>
      <c r="AS33" s="280"/>
      <c r="AT33" s="280"/>
      <c r="AU33" s="280"/>
      <c r="AV33" s="280"/>
      <c r="AW33" s="280"/>
      <c r="AX33" s="61"/>
      <c r="AY33" s="61"/>
      <c r="AZ33" s="61"/>
      <c r="BA33" s="61"/>
      <c r="BB33" s="61"/>
      <c r="BC33" s="73"/>
      <c r="BF33" s="1170" t="s">
        <v>1029</v>
      </c>
    </row>
    <row customHeight="1" ht="14.625" hidden="1">
      <c r="E34" s="794">
        <v>15</v>
      </c>
      <c r="F34" s="919" cm="1" t="str">
        <f t="array" ref="F34:F34">F33</f>
        <v>0</v>
      </c>
      <c r="T34" s="816" cm="1" t="str">
        <f t="array" ref="T34:T34">T33</f>
        <v>false</v>
      </c>
      <c r="AB34" s="486" t="s">
        <v>1030</v>
      </c>
      <c r="AC34" s="488" t="s">
        <v>1031</v>
      </c>
      <c r="AD34" s="486" t="s">
        <v>1019</v>
      </c>
      <c r="AE34" s="61"/>
      <c r="AF34" s="61"/>
      <c r="AG34" s="61"/>
      <c r="AH34" s="61"/>
      <c r="AI34" s="280"/>
      <c r="AJ34" s="280"/>
      <c r="AK34" s="280"/>
      <c r="AL34" s="280"/>
      <c r="AM34" s="280"/>
      <c r="AN34" s="61"/>
      <c r="AO34" s="61"/>
      <c r="AP34" s="61"/>
      <c r="AQ34" s="61"/>
      <c r="AR34" s="61"/>
      <c r="AS34" s="280"/>
      <c r="AT34" s="280"/>
      <c r="AU34" s="280"/>
      <c r="AV34" s="280"/>
      <c r="AW34" s="280"/>
      <c r="AX34" s="61"/>
      <c r="AY34" s="61"/>
      <c r="AZ34" s="61"/>
      <c r="BA34" s="61"/>
      <c r="BB34" s="61"/>
      <c r="BC34" s="73"/>
      <c r="BF34" s="1170" t="s">
        <v>1032</v>
      </c>
    </row>
    <row customHeight="1" ht="14.625" hidden="1">
      <c r="E35" s="794">
        <v>15</v>
      </c>
      <c r="F35" s="919" cm="1" t="str">
        <f t="array" ref="F35:F35">F34</f>
        <v>0</v>
      </c>
      <c r="T35" s="816" cm="1" t="str">
        <f t="array" ref="T35:T35">T34</f>
        <v>false</v>
      </c>
      <c r="AB35" s="486" t="s">
        <v>1033</v>
      </c>
      <c r="AC35" s="488" t="s">
        <v>1034</v>
      </c>
      <c r="AD35" s="486" t="s">
        <v>1019</v>
      </c>
      <c r="AE35" s="61"/>
      <c r="AF35" s="61"/>
      <c r="AG35" s="61"/>
      <c r="AH35" s="61"/>
      <c r="AI35" s="280"/>
      <c r="AJ35" s="280"/>
      <c r="AK35" s="280"/>
      <c r="AL35" s="280"/>
      <c r="AM35" s="280"/>
      <c r="AN35" s="61"/>
      <c r="AO35" s="61"/>
      <c r="AP35" s="61"/>
      <c r="AQ35" s="61"/>
      <c r="AR35" s="61"/>
      <c r="AS35" s="280"/>
      <c r="AT35" s="280"/>
      <c r="AU35" s="280"/>
      <c r="AV35" s="280"/>
      <c r="AW35" s="280"/>
      <c r="AX35" s="61"/>
      <c r="AY35" s="61"/>
      <c r="AZ35" s="61"/>
      <c r="BA35" s="61"/>
      <c r="BB35" s="61"/>
      <c r="BC35" s="73"/>
      <c r="BF35" s="1170" t="s">
        <v>1035</v>
      </c>
    </row>
    <row customHeight="1" ht="14.625" hidden="1">
      <c r="E36" s="794">
        <v>15</v>
      </c>
      <c r="F36" s="919" cm="1" t="str">
        <f t="array" ref="F36:F36">F35</f>
        <v>0</v>
      </c>
      <c r="T36" s="816" cm="1" t="str">
        <f t="array" ref="T36:T36">T35</f>
        <v>false</v>
      </c>
      <c r="AB36" s="486" t="s">
        <v>1036</v>
      </c>
      <c r="AC36" s="488" t="s">
        <v>1037</v>
      </c>
      <c r="AD36" s="486" t="s">
        <v>1019</v>
      </c>
      <c r="AE36" s="61"/>
      <c r="AF36" s="61"/>
      <c r="AG36" s="61"/>
      <c r="AH36" s="61"/>
      <c r="AI36" s="280"/>
      <c r="AJ36" s="280"/>
      <c r="AK36" s="280"/>
      <c r="AL36" s="280"/>
      <c r="AM36" s="280"/>
      <c r="AN36" s="61"/>
      <c r="AO36" s="61"/>
      <c r="AP36" s="61"/>
      <c r="AQ36" s="61"/>
      <c r="AR36" s="61"/>
      <c r="AS36" s="280"/>
      <c r="AT36" s="280"/>
      <c r="AU36" s="280"/>
      <c r="AV36" s="280"/>
      <c r="AW36" s="280"/>
      <c r="AX36" s="61"/>
      <c r="AY36" s="61"/>
      <c r="AZ36" s="61"/>
      <c r="BA36" s="61"/>
      <c r="BB36" s="61"/>
      <c r="BC36" s="73"/>
      <c r="BF36" s="1170" t="s">
        <v>1038</v>
      </c>
    </row>
    <row customHeight="1" ht="14.625" hidden="1">
      <c r="E37" s="794">
        <v>15</v>
      </c>
      <c r="F37" s="919" cm="1" t="str">
        <f t="array" ref="F37:F37">F36</f>
        <v>0</v>
      </c>
      <c r="T37" s="816" cm="1" t="str">
        <f t="array" ref="T37:T37">T36</f>
        <v>false</v>
      </c>
      <c r="AB37" s="486" t="s">
        <v>1039</v>
      </c>
      <c r="AC37" s="488" t="s">
        <v>1040</v>
      </c>
      <c r="AD37" s="486" t="s">
        <v>1019</v>
      </c>
      <c r="AE37" s="61"/>
      <c r="AF37" s="61"/>
      <c r="AG37" s="61"/>
      <c r="AH37" s="61"/>
      <c r="AI37" s="280"/>
      <c r="AJ37" s="280"/>
      <c r="AK37" s="280"/>
      <c r="AL37" s="280"/>
      <c r="AM37" s="280"/>
      <c r="AN37" s="61"/>
      <c r="AO37" s="61"/>
      <c r="AP37" s="61"/>
      <c r="AQ37" s="61"/>
      <c r="AR37" s="61"/>
      <c r="AS37" s="280"/>
      <c r="AT37" s="280"/>
      <c r="AU37" s="280"/>
      <c r="AV37" s="280"/>
      <c r="AW37" s="280"/>
      <c r="AX37" s="61"/>
      <c r="AY37" s="61"/>
      <c r="AZ37" s="61"/>
      <c r="BA37" s="61"/>
      <c r="BB37" s="61"/>
      <c r="BC37" s="73"/>
      <c r="BF37" s="1170" t="s">
        <v>1041</v>
      </c>
    </row>
    <row customHeight="1" ht="14.625" hidden="1">
      <c r="E38" s="794">
        <v>15</v>
      </c>
      <c r="F38" s="919" cm="1" t="str">
        <f t="array" ref="F38:F38">F37</f>
        <v>0</v>
      </c>
      <c r="T38" s="816" cm="1" t="str">
        <f t="array" ref="T38:T38">T37</f>
        <v>false</v>
      </c>
      <c r="AB38" s="486" t="s">
        <v>1042</v>
      </c>
      <c r="AC38" s="487" t="s">
        <v>1043</v>
      </c>
      <c r="AD38" s="486" t="s">
        <v>1019</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170" t="s">
        <v>1044</v>
      </c>
    </row>
    <row customHeight="1" ht="14.625" hidden="1">
      <c r="E39" s="794">
        <v>15</v>
      </c>
      <c r="F39" s="919" cm="1" t="str">
        <f t="array" ref="F39:F39">F38</f>
        <v>0</v>
      </c>
      <c r="T39" s="816" cm="1" t="str">
        <f t="array" ref="T39:T39">T38</f>
        <v>false</v>
      </c>
      <c r="AB39" s="486" t="s">
        <v>1045</v>
      </c>
      <c r="AC39" s="487" t="s">
        <v>1046</v>
      </c>
      <c r="AD39" s="486" t="s">
        <v>1019</v>
      </c>
      <c r="AE39" s="61"/>
      <c r="AF39" s="61"/>
      <c r="AG39" s="61"/>
      <c r="AH39" s="61"/>
      <c r="AI39" s="280"/>
      <c r="AJ39" s="280"/>
      <c r="AK39" s="280"/>
      <c r="AL39" s="280"/>
      <c r="AM39" s="280"/>
      <c r="AN39" s="61"/>
      <c r="AO39" s="61"/>
      <c r="AP39" s="61"/>
      <c r="AQ39" s="61"/>
      <c r="AR39" s="61"/>
      <c r="AS39" s="280"/>
      <c r="AT39" s="280"/>
      <c r="AU39" s="280"/>
      <c r="AV39" s="280"/>
      <c r="AW39" s="280"/>
      <c r="AX39" s="61"/>
      <c r="AY39" s="61"/>
      <c r="AZ39" s="61"/>
      <c r="BA39" s="61"/>
      <c r="BB39" s="61"/>
      <c r="BC39" s="73"/>
      <c r="BF39" s="1170" t="s">
        <v>1047</v>
      </c>
    </row>
    <row customHeight="1" ht="14.625" hidden="1">
      <c r="E40" s="794">
        <v>15</v>
      </c>
      <c r="F40" s="919" cm="1" t="str">
        <f t="array" ref="F40:F40">F39</f>
        <v>0</v>
      </c>
      <c r="T40" s="816" cm="1" t="str">
        <f t="array" ref="T40:T40">T39</f>
        <v>false</v>
      </c>
      <c r="AB40" s="486" t="s">
        <v>1048</v>
      </c>
      <c r="AC40" s="487" t="s">
        <v>1049</v>
      </c>
      <c r="AD40" s="486" t="s">
        <v>1019</v>
      </c>
      <c r="AE40" s="61"/>
      <c r="AF40" s="61"/>
      <c r="AG40" s="61"/>
      <c r="AH40" s="61"/>
      <c r="AI40" s="280"/>
      <c r="AJ40" s="280"/>
      <c r="AK40" s="280"/>
      <c r="AL40" s="280"/>
      <c r="AM40" s="280"/>
      <c r="AN40" s="61"/>
      <c r="AO40" s="61"/>
      <c r="AP40" s="61"/>
      <c r="AQ40" s="61"/>
      <c r="AR40" s="61"/>
      <c r="AS40" s="280"/>
      <c r="AT40" s="280"/>
      <c r="AU40" s="280"/>
      <c r="AV40" s="280"/>
      <c r="AW40" s="280"/>
      <c r="AX40" s="61"/>
      <c r="AY40" s="61"/>
      <c r="AZ40" s="61"/>
      <c r="BA40" s="61"/>
      <c r="BB40" s="61"/>
      <c r="BC40" s="73"/>
      <c r="BF40" s="1170" t="s">
        <v>1050</v>
      </c>
    </row>
    <row customHeight="1" ht="14.625" hidden="1">
      <c r="E41" s="794">
        <v>15</v>
      </c>
      <c r="F41" s="919" cm="1" t="str">
        <f t="array" ref="F41:F41">F40</f>
        <v>0</v>
      </c>
      <c r="T41" s="816" cm="1" t="str">
        <f t="array" ref="T41:T41">T40</f>
        <v>false</v>
      </c>
      <c r="AB41" s="486" t="s">
        <v>1051</v>
      </c>
      <c r="AC41" s="487" t="s">
        <v>1052</v>
      </c>
      <c r="AD41" s="486" t="s">
        <v>1019</v>
      </c>
      <c r="AE41" s="61"/>
      <c r="AF41" s="61"/>
      <c r="AG41" s="61"/>
      <c r="AH41" s="61"/>
      <c r="AI41" s="280"/>
      <c r="AJ41" s="280"/>
      <c r="AK41" s="280"/>
      <c r="AL41" s="280"/>
      <c r="AM41" s="280"/>
      <c r="AN41" s="61"/>
      <c r="AO41" s="61"/>
      <c r="AP41" s="61"/>
      <c r="AQ41" s="61"/>
      <c r="AR41" s="61"/>
      <c r="AS41" s="280"/>
      <c r="AT41" s="280"/>
      <c r="AU41" s="280"/>
      <c r="AV41" s="280"/>
      <c r="AW41" s="280"/>
      <c r="AX41" s="61"/>
      <c r="AY41" s="61"/>
      <c r="AZ41" s="61"/>
      <c r="BA41" s="61"/>
      <c r="BB41" s="61"/>
      <c r="BC41" s="73"/>
      <c r="BF41" s="1170" t="s">
        <v>1053</v>
      </c>
    </row>
    <row s="214" customFormat="1" customHeight="1" ht="44.46" hidden="1">
      <c r="E42" s="794">
        <v>45.6</v>
      </c>
      <c r="F42" s="919" cm="1" t="str">
        <f t="array" ref="F42:F42">F41</f>
        <v>0</v>
      </c>
      <c r="T42" s="816" cm="1" t="str">
        <f t="array" ref="T42:T42">T41</f>
        <v>false</v>
      </c>
      <c r="AB42" s="277">
        <v>2</v>
      </c>
      <c r="AC42" s="278" t="s">
        <v>1054</v>
      </c>
      <c r="AD42" s="153" t="s">
        <v>805</v>
      </c>
      <c r="AE42" s="102">
        <f>SUM(AE43:AE46)+SUM(AE52:AE55)</f>
        <v>0</v>
      </c>
      <c r="AF42" s="102">
        <f>SUM(AF43:AF46)+SUM(AF52:AF55)</f>
        <v>0</v>
      </c>
      <c r="AG42" s="102">
        <f>SUM(AG43:AG46)+SUM(AG52:AG55)</f>
        <v>0</v>
      </c>
      <c r="AH42" s="102">
        <f>SUM(AH43:AH46)+SUM(AH52:AH55)</f>
        <v>0</v>
      </c>
      <c r="AI42" s="292">
        <f>SUM(AI43:AI46)+SUM(AI52:AI55)</f>
        <v>0</v>
      </c>
      <c r="AJ42" s="292">
        <f>SUM(AJ43:AJ46)+SUM(AJ52:AJ55)</f>
        <v>0</v>
      </c>
      <c r="AK42" s="292">
        <f>SUM(AK43:AK46)+SUM(AK52:AK55)</f>
        <v>0</v>
      </c>
      <c r="AL42" s="292">
        <f>SUM(AL43:AL46)+SUM(AL52:AL55)</f>
        <v>0</v>
      </c>
      <c r="AM42" s="292">
        <f>SUM(AM43:AM46)+SUM(AM52:AM55)</f>
        <v>0</v>
      </c>
      <c r="AN42" s="102">
        <f>SUM(AN43:AN46)+SUM(AN52:AN55)</f>
        <v>0</v>
      </c>
      <c r="AO42" s="102">
        <f>SUM(AO43:AO46)+SUM(AO52:AO55)</f>
        <v>0</v>
      </c>
      <c r="AP42" s="102">
        <f>SUM(AP43:AP46)+SUM(AP52:AP55)</f>
        <v>0</v>
      </c>
      <c r="AQ42" s="102">
        <f>SUM(AQ43:AQ46)+SUM(AQ52:AQ55)</f>
        <v>0</v>
      </c>
      <c r="AR42" s="102">
        <f>SUM(AR43:AR46)+SUM(AR52:AR55)</f>
        <v>0</v>
      </c>
      <c r="AS42" s="292">
        <f>SUM(AS43:AS46)+SUM(AS52:AS55)</f>
        <v>0</v>
      </c>
      <c r="AT42" s="292">
        <f>SUM(AT43:AT46)+SUM(AT52:AT55)</f>
        <v>0</v>
      </c>
      <c r="AU42" s="292">
        <f>SUM(AU43:AU46)+SUM(AU52:AU55)</f>
        <v>0</v>
      </c>
      <c r="AV42" s="292">
        <f>SUM(AV43:AV46)+SUM(AV52:AV55)</f>
        <v>0</v>
      </c>
      <c r="AW42" s="292">
        <f>SUM(AW43:AW46)+SUM(AW52:AW55)</f>
        <v>0</v>
      </c>
      <c r="AX42" s="102">
        <f>SUM(AX43:AX46)+SUM(AX52:AX55)</f>
        <v>0</v>
      </c>
      <c r="AY42" s="102">
        <f>SUM(AY43:AY46)+SUM(AY52:AY55)</f>
        <v>0</v>
      </c>
      <c r="AZ42" s="102">
        <f>SUM(AZ43:AZ46)+SUM(AZ52:AZ55)</f>
        <v>0</v>
      </c>
      <c r="BA42" s="102">
        <f>SUM(BA43:BA46)+SUM(BA52:BA55)</f>
        <v>0</v>
      </c>
      <c r="BB42" s="102">
        <f>SUM(BB43:BB46)+SUM(BB52:BB55)</f>
        <v>0</v>
      </c>
      <c r="BC42" s="73"/>
      <c r="BF42" s="1170" t="s">
        <v>1055</v>
      </c>
    </row>
    <row customHeight="1" ht="14.625" hidden="1">
      <c r="E43" s="794">
        <v>15</v>
      </c>
      <c r="F43" s="919" cm="1" t="str">
        <f t="array" ref="F43:F43">F42</f>
        <v>0</v>
      </c>
      <c r="T43" s="816" cm="1" t="str">
        <f t="array" ref="T43:T43">T42</f>
        <v>false</v>
      </c>
      <c r="AB43" s="486" t="str">
        <f>AB42&amp;".1"</f>
        <v>2.1</v>
      </c>
      <c r="AC43" s="487" t="s">
        <v>1018</v>
      </c>
      <c r="AD43" s="486" t="s">
        <v>1019</v>
      </c>
      <c r="AE43" s="61"/>
      <c r="AF43" s="61"/>
      <c r="AG43" s="61"/>
      <c r="AH43" s="61"/>
      <c r="AI43" s="280"/>
      <c r="AJ43" s="280"/>
      <c r="AK43" s="280"/>
      <c r="AL43" s="280"/>
      <c r="AM43" s="280"/>
      <c r="AN43" s="61"/>
      <c r="AO43" s="61"/>
      <c r="AP43" s="61"/>
      <c r="AQ43" s="61"/>
      <c r="AR43" s="61"/>
      <c r="AS43" s="280"/>
      <c r="AT43" s="280"/>
      <c r="AU43" s="280"/>
      <c r="AV43" s="280"/>
      <c r="AW43" s="280"/>
      <c r="AX43" s="61"/>
      <c r="AY43" s="61"/>
      <c r="AZ43" s="61"/>
      <c r="BA43" s="61"/>
      <c r="BB43" s="61"/>
      <c r="BC43" s="73"/>
      <c r="BF43" s="1170" t="s">
        <v>1056</v>
      </c>
    </row>
    <row customHeight="1" ht="14.625" hidden="1">
      <c r="E44" s="794">
        <v>15</v>
      </c>
      <c r="F44" s="919" cm="1" t="str">
        <f t="array" ref="F44:F44">F43</f>
        <v>0</v>
      </c>
      <c r="T44" s="816" cm="1" t="str">
        <f t="array" ref="T44:T44">T43</f>
        <v>false</v>
      </c>
      <c r="AB44" s="486" t="str">
        <f>AB42&amp;".2"</f>
        <v>2.2</v>
      </c>
      <c r="AC44" s="487" t="s">
        <v>1021</v>
      </c>
      <c r="AD44" s="486" t="s">
        <v>1019</v>
      </c>
      <c r="AE44" s="61"/>
      <c r="AF44" s="61"/>
      <c r="AG44" s="61"/>
      <c r="AH44" s="61"/>
      <c r="AI44" s="280"/>
      <c r="AJ44" s="280"/>
      <c r="AK44" s="280"/>
      <c r="AL44" s="280"/>
      <c r="AM44" s="280"/>
      <c r="AN44" s="61"/>
      <c r="AO44" s="61"/>
      <c r="AP44" s="61"/>
      <c r="AQ44" s="61"/>
      <c r="AR44" s="61"/>
      <c r="AS44" s="280"/>
      <c r="AT44" s="280"/>
      <c r="AU44" s="280"/>
      <c r="AV44" s="280"/>
      <c r="AW44" s="280"/>
      <c r="AX44" s="61"/>
      <c r="AY44" s="61"/>
      <c r="AZ44" s="61"/>
      <c r="BA44" s="61"/>
      <c r="BB44" s="61"/>
      <c r="BC44" s="73"/>
      <c r="BF44" s="1170" t="s">
        <v>1057</v>
      </c>
    </row>
    <row customHeight="1" ht="14.625" hidden="1">
      <c r="E45" s="794">
        <v>15</v>
      </c>
      <c r="F45" s="919" cm="1" t="str">
        <f t="array" ref="F45:F45">F44</f>
        <v>0</v>
      </c>
      <c r="T45" s="816" cm="1" t="str">
        <f t="array" ref="T45:T45">T44</f>
        <v>false</v>
      </c>
      <c r="AB45" s="486" t="str">
        <f>AB42&amp;".3"</f>
        <v>2.3</v>
      </c>
      <c r="AC45" s="487" t="s">
        <v>1023</v>
      </c>
      <c r="AD45" s="486" t="s">
        <v>1019</v>
      </c>
      <c r="AE45" s="61"/>
      <c r="AF45" s="61"/>
      <c r="AG45" s="61"/>
      <c r="AH45" s="61"/>
      <c r="AI45" s="280"/>
      <c r="AJ45" s="280"/>
      <c r="AK45" s="280"/>
      <c r="AL45" s="280"/>
      <c r="AM45" s="280"/>
      <c r="AN45" s="61"/>
      <c r="AO45" s="61"/>
      <c r="AP45" s="61"/>
      <c r="AQ45" s="61"/>
      <c r="AR45" s="61"/>
      <c r="AS45" s="280"/>
      <c r="AT45" s="280"/>
      <c r="AU45" s="280"/>
      <c r="AV45" s="280"/>
      <c r="AW45" s="280"/>
      <c r="AX45" s="61"/>
      <c r="AY45" s="61"/>
      <c r="AZ45" s="61"/>
      <c r="BA45" s="61"/>
      <c r="BB45" s="61"/>
      <c r="BC45" s="73"/>
      <c r="BF45" s="1170" t="s">
        <v>1058</v>
      </c>
    </row>
    <row customHeight="1" ht="14.625" hidden="1">
      <c r="E46" s="794">
        <v>15</v>
      </c>
      <c r="F46" s="919" cm="1" t="str">
        <f t="array" ref="F46:F46">F45</f>
        <v>0</v>
      </c>
      <c r="T46" s="816" cm="1" t="str">
        <f t="array" ref="T46:T46">T45</f>
        <v>false</v>
      </c>
      <c r="AB46" s="486" t="str">
        <f>AB42&amp;".4"</f>
        <v>2.4</v>
      </c>
      <c r="AC46" s="487" t="s">
        <v>1025</v>
      </c>
      <c r="AD46" s="486" t="s">
        <v>1019</v>
      </c>
      <c r="AE46" s="85">
        <f>SUM(AE47:AE51)</f>
        <v>0</v>
      </c>
      <c r="AF46" s="85">
        <f>SUM(AF47:AF51)</f>
        <v>0</v>
      </c>
      <c r="AG46" s="85">
        <f>SUM(AG47:AG51)</f>
        <v>0</v>
      </c>
      <c r="AH46" s="85">
        <f>SUM(AH47:AH51)</f>
        <v>0</v>
      </c>
      <c r="AI46" s="481">
        <f>SUM(AI47:AI51)</f>
        <v>0</v>
      </c>
      <c r="AJ46" s="481">
        <f>SUM(AJ47:AJ51)</f>
        <v>0</v>
      </c>
      <c r="AK46" s="481">
        <f>SUM(AK47:AK51)</f>
        <v>0</v>
      </c>
      <c r="AL46" s="481">
        <f>SUM(AL47:AL51)</f>
        <v>0</v>
      </c>
      <c r="AM46" s="481">
        <f>SUM(AM47:AM51)</f>
        <v>0</v>
      </c>
      <c r="AN46" s="85">
        <f>SUM(AN47:AN51)</f>
        <v>0</v>
      </c>
      <c r="AO46" s="85">
        <f>SUM(AO47:AO51)</f>
        <v>0</v>
      </c>
      <c r="AP46" s="85">
        <f>SUM(AP47:AP51)</f>
        <v>0</v>
      </c>
      <c r="AQ46" s="85">
        <f>SUM(AQ47:AQ51)</f>
        <v>0</v>
      </c>
      <c r="AR46" s="85">
        <f>SUM(AR47:AR51)</f>
        <v>0</v>
      </c>
      <c r="AS46" s="481">
        <f>SUM(AS47:AS51)</f>
        <v>0</v>
      </c>
      <c r="AT46" s="481">
        <f>SUM(AT47:AT51)</f>
        <v>0</v>
      </c>
      <c r="AU46" s="481">
        <f>SUM(AU47:AU51)</f>
        <v>0</v>
      </c>
      <c r="AV46" s="481">
        <f>SUM(AV47:AV51)</f>
        <v>0</v>
      </c>
      <c r="AW46" s="481">
        <f>SUM(AW47:AW51)</f>
        <v>0</v>
      </c>
      <c r="AX46" s="85">
        <f>SUM(AX47:AX51)</f>
        <v>0</v>
      </c>
      <c r="AY46" s="85">
        <f>SUM(AY47:AY51)</f>
        <v>0</v>
      </c>
      <c r="AZ46" s="85">
        <f>SUM(AZ47:AZ51)</f>
        <v>0</v>
      </c>
      <c r="BA46" s="85">
        <f>SUM(BA47:BA51)</f>
        <v>0</v>
      </c>
      <c r="BB46" s="85">
        <f>SUM(BB47:BB51)</f>
        <v>0</v>
      </c>
      <c r="BC46" s="73"/>
      <c r="BF46" s="1170" t="s">
        <v>1059</v>
      </c>
    </row>
    <row customHeight="1" ht="14.625" hidden="1">
      <c r="E47" s="794">
        <v>15</v>
      </c>
      <c r="F47" s="919" cm="1" t="str">
        <f t="array" ref="F47:F47">F46</f>
        <v>0</v>
      </c>
      <c r="T47" s="816" cm="1" t="str">
        <f t="array" ref="T47:T47">T46</f>
        <v>false</v>
      </c>
      <c r="AB47" s="486" t="str">
        <f>AB46&amp;".1"</f>
        <v>2.4.1</v>
      </c>
      <c r="AC47" s="488" t="s">
        <v>1028</v>
      </c>
      <c r="AD47" s="486" t="s">
        <v>1019</v>
      </c>
      <c r="AE47" s="61"/>
      <c r="AF47" s="61"/>
      <c r="AG47" s="61"/>
      <c r="AH47" s="61"/>
      <c r="AI47" s="280"/>
      <c r="AJ47" s="280"/>
      <c r="AK47" s="280"/>
      <c r="AL47" s="280"/>
      <c r="AM47" s="280"/>
      <c r="AN47" s="61"/>
      <c r="AO47" s="61"/>
      <c r="AP47" s="61"/>
      <c r="AQ47" s="61"/>
      <c r="AR47" s="61"/>
      <c r="AS47" s="280"/>
      <c r="AT47" s="280"/>
      <c r="AU47" s="280"/>
      <c r="AV47" s="280"/>
      <c r="AW47" s="280"/>
      <c r="AX47" s="61"/>
      <c r="AY47" s="61"/>
      <c r="AZ47" s="61"/>
      <c r="BA47" s="61"/>
      <c r="BB47" s="61"/>
      <c r="BC47" s="73"/>
      <c r="BF47" s="1170" t="s">
        <v>1060</v>
      </c>
    </row>
    <row customHeight="1" ht="14.625" hidden="1">
      <c r="E48" s="794">
        <v>15</v>
      </c>
      <c r="F48" s="919" cm="1" t="str">
        <f t="array" ref="F48:F48">F47</f>
        <v>0</v>
      </c>
      <c r="T48" s="816" cm="1" t="str">
        <f t="array" ref="T48:T48">T47</f>
        <v>false</v>
      </c>
      <c r="AB48" s="486" t="str">
        <f>AB46&amp;".2"</f>
        <v>2.4.2</v>
      </c>
      <c r="AC48" s="488" t="s">
        <v>1031</v>
      </c>
      <c r="AD48" s="486" t="s">
        <v>1019</v>
      </c>
      <c r="AE48" s="61"/>
      <c r="AF48" s="61"/>
      <c r="AG48" s="61"/>
      <c r="AH48" s="61"/>
      <c r="AI48" s="280"/>
      <c r="AJ48" s="280"/>
      <c r="AK48" s="280"/>
      <c r="AL48" s="280"/>
      <c r="AM48" s="280"/>
      <c r="AN48" s="61"/>
      <c r="AO48" s="61"/>
      <c r="AP48" s="61"/>
      <c r="AQ48" s="61"/>
      <c r="AR48" s="61"/>
      <c r="AS48" s="280"/>
      <c r="AT48" s="280"/>
      <c r="AU48" s="280"/>
      <c r="AV48" s="280"/>
      <c r="AW48" s="280"/>
      <c r="AX48" s="61"/>
      <c r="AY48" s="61"/>
      <c r="AZ48" s="61"/>
      <c r="BA48" s="61"/>
      <c r="BB48" s="61"/>
      <c r="BC48" s="73"/>
      <c r="BF48" s="1170" t="s">
        <v>1061</v>
      </c>
    </row>
    <row customHeight="1" ht="14.625" hidden="1">
      <c r="E49" s="794">
        <v>15</v>
      </c>
      <c r="F49" s="919" cm="1" t="str">
        <f t="array" ref="F49:F49">F48</f>
        <v>0</v>
      </c>
      <c r="T49" s="816" cm="1" t="str">
        <f t="array" ref="T49:T49">T48</f>
        <v>false</v>
      </c>
      <c r="AB49" s="486" t="str">
        <f>AB46&amp;".3"</f>
        <v>2.4.3</v>
      </c>
      <c r="AC49" s="488" t="s">
        <v>1034</v>
      </c>
      <c r="AD49" s="486" t="s">
        <v>1019</v>
      </c>
      <c r="AE49" s="61"/>
      <c r="AF49" s="61"/>
      <c r="AG49" s="61"/>
      <c r="AH49" s="61"/>
      <c r="AI49" s="280"/>
      <c r="AJ49" s="280"/>
      <c r="AK49" s="280"/>
      <c r="AL49" s="280"/>
      <c r="AM49" s="280"/>
      <c r="AN49" s="61"/>
      <c r="AO49" s="61"/>
      <c r="AP49" s="61"/>
      <c r="AQ49" s="61"/>
      <c r="AR49" s="61"/>
      <c r="AS49" s="280"/>
      <c r="AT49" s="280"/>
      <c r="AU49" s="280"/>
      <c r="AV49" s="280"/>
      <c r="AW49" s="280"/>
      <c r="AX49" s="61"/>
      <c r="AY49" s="61"/>
      <c r="AZ49" s="61"/>
      <c r="BA49" s="61"/>
      <c r="BB49" s="61"/>
      <c r="BC49" s="73"/>
      <c r="BF49" s="1170" t="s">
        <v>1062</v>
      </c>
    </row>
    <row customHeight="1" ht="14.625" hidden="1">
      <c r="E50" s="794">
        <v>15</v>
      </c>
      <c r="F50" s="919" cm="1" t="str">
        <f t="array" ref="F50:F50">F49</f>
        <v>0</v>
      </c>
      <c r="T50" s="816" cm="1" t="str">
        <f t="array" ref="T50:T50">T49</f>
        <v>false</v>
      </c>
      <c r="AB50" s="486" t="str">
        <f>AB46&amp;".4"</f>
        <v>2.4.4</v>
      </c>
      <c r="AC50" s="488" t="s">
        <v>1037</v>
      </c>
      <c r="AD50" s="486" t="s">
        <v>1019</v>
      </c>
      <c r="AE50" s="61"/>
      <c r="AF50" s="61"/>
      <c r="AG50" s="61"/>
      <c r="AH50" s="61"/>
      <c r="AI50" s="280"/>
      <c r="AJ50" s="280"/>
      <c r="AK50" s="280"/>
      <c r="AL50" s="280"/>
      <c r="AM50" s="280"/>
      <c r="AN50" s="61"/>
      <c r="AO50" s="61"/>
      <c r="AP50" s="61"/>
      <c r="AQ50" s="61"/>
      <c r="AR50" s="61"/>
      <c r="AS50" s="280"/>
      <c r="AT50" s="280"/>
      <c r="AU50" s="280"/>
      <c r="AV50" s="280"/>
      <c r="AW50" s="280"/>
      <c r="AX50" s="61"/>
      <c r="AY50" s="61"/>
      <c r="AZ50" s="61"/>
      <c r="BA50" s="61"/>
      <c r="BB50" s="61"/>
      <c r="BC50" s="73"/>
      <c r="BF50" s="1170" t="s">
        <v>1063</v>
      </c>
    </row>
    <row customHeight="1" ht="14.625" hidden="1">
      <c r="E51" s="794">
        <v>15</v>
      </c>
      <c r="F51" s="919" cm="1" t="str">
        <f t="array" ref="F51:F51">F50</f>
        <v>0</v>
      </c>
      <c r="T51" s="816" cm="1" t="str">
        <f t="array" ref="T51:T51">T50</f>
        <v>false</v>
      </c>
      <c r="AB51" s="486" t="str">
        <f>AB46&amp;".5"</f>
        <v>2.4.5</v>
      </c>
      <c r="AC51" s="488" t="s">
        <v>1040</v>
      </c>
      <c r="AD51" s="486" t="s">
        <v>1019</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F51" s="1170" t="s">
        <v>1064</v>
      </c>
    </row>
    <row customHeight="1" ht="14.625" hidden="1">
      <c r="E52" s="794">
        <v>15</v>
      </c>
      <c r="F52" s="919" cm="1" t="str">
        <f t="array" ref="F52:F52">F51</f>
        <v>0</v>
      </c>
      <c r="T52" s="816" cm="1" t="str">
        <f t="array" ref="T52:T52">T51</f>
        <v>false</v>
      </c>
      <c r="AB52" s="486" t="str">
        <f>AB42&amp;".5"</f>
        <v>2.5</v>
      </c>
      <c r="AC52" s="487" t="s">
        <v>1043</v>
      </c>
      <c r="AD52" s="486" t="s">
        <v>1019</v>
      </c>
      <c r="AE52" s="61"/>
      <c r="AF52" s="61"/>
      <c r="AG52" s="61"/>
      <c r="AH52" s="61"/>
      <c r="AI52" s="280"/>
      <c r="AJ52" s="280"/>
      <c r="AK52" s="280"/>
      <c r="AL52" s="280"/>
      <c r="AM52" s="280"/>
      <c r="AN52" s="61"/>
      <c r="AO52" s="61"/>
      <c r="AP52" s="61"/>
      <c r="AQ52" s="61"/>
      <c r="AR52" s="61"/>
      <c r="AS52" s="280"/>
      <c r="AT52" s="280"/>
      <c r="AU52" s="280"/>
      <c r="AV52" s="280"/>
      <c r="AW52" s="280"/>
      <c r="AX52" s="61"/>
      <c r="AY52" s="61"/>
      <c r="AZ52" s="61"/>
      <c r="BA52" s="61"/>
      <c r="BB52" s="61"/>
      <c r="BC52" s="73"/>
      <c r="BF52" s="1170" t="s">
        <v>1065</v>
      </c>
    </row>
    <row customHeight="1" ht="14.625" hidden="1">
      <c r="E53" s="794">
        <v>15</v>
      </c>
      <c r="F53" s="919" cm="1" t="str">
        <f t="array" ref="F53:F53">F52</f>
        <v>0</v>
      </c>
      <c r="T53" s="816" cm="1" t="str">
        <f t="array" ref="T53:T53">T52</f>
        <v>false</v>
      </c>
      <c r="AB53" s="486" t="str">
        <f>AB42&amp;".6"</f>
        <v>2.6</v>
      </c>
      <c r="AC53" s="487" t="s">
        <v>1046</v>
      </c>
      <c r="AD53" s="486" t="s">
        <v>1019</v>
      </c>
      <c r="AE53" s="61"/>
      <c r="AF53" s="61"/>
      <c r="AG53" s="61"/>
      <c r="AH53" s="61"/>
      <c r="AI53" s="280"/>
      <c r="AJ53" s="280"/>
      <c r="AK53" s="280"/>
      <c r="AL53" s="280"/>
      <c r="AM53" s="280"/>
      <c r="AN53" s="61"/>
      <c r="AO53" s="61"/>
      <c r="AP53" s="61"/>
      <c r="AQ53" s="61"/>
      <c r="AR53" s="61"/>
      <c r="AS53" s="280"/>
      <c r="AT53" s="280"/>
      <c r="AU53" s="280"/>
      <c r="AV53" s="280"/>
      <c r="AW53" s="280"/>
      <c r="AX53" s="61"/>
      <c r="AY53" s="61"/>
      <c r="AZ53" s="61"/>
      <c r="BA53" s="61"/>
      <c r="BB53" s="61"/>
      <c r="BC53" s="73"/>
      <c r="BF53" s="1170" t="s">
        <v>1066</v>
      </c>
    </row>
    <row customHeight="1" ht="14.625" hidden="1">
      <c r="E54" s="794">
        <v>15</v>
      </c>
      <c r="F54" s="919" cm="1" t="str">
        <f t="array" ref="F54:F54">F53</f>
        <v>0</v>
      </c>
      <c r="T54" s="816" cm="1" t="str">
        <f t="array" ref="T54:T54">T53</f>
        <v>false</v>
      </c>
      <c r="AB54" s="486" t="str">
        <f>AB42&amp;".7"</f>
        <v>2.7</v>
      </c>
      <c r="AC54" s="487" t="s">
        <v>1049</v>
      </c>
      <c r="AD54" s="486" t="s">
        <v>1019</v>
      </c>
      <c r="AE54" s="61"/>
      <c r="AF54" s="61"/>
      <c r="AG54" s="61"/>
      <c r="AH54" s="61"/>
      <c r="AI54" s="280"/>
      <c r="AJ54" s="280"/>
      <c r="AK54" s="280"/>
      <c r="AL54" s="280"/>
      <c r="AM54" s="280"/>
      <c r="AN54" s="61"/>
      <c r="AO54" s="61"/>
      <c r="AP54" s="61"/>
      <c r="AQ54" s="61"/>
      <c r="AR54" s="61"/>
      <c r="AS54" s="280"/>
      <c r="AT54" s="280"/>
      <c r="AU54" s="280"/>
      <c r="AV54" s="280"/>
      <c r="AW54" s="280"/>
      <c r="AX54" s="61"/>
      <c r="AY54" s="61"/>
      <c r="AZ54" s="61"/>
      <c r="BA54" s="61"/>
      <c r="BB54" s="61"/>
      <c r="BC54" s="73"/>
      <c r="BF54" s="1170" t="s">
        <v>1067</v>
      </c>
    </row>
    <row customHeight="1" ht="14.625" hidden="1">
      <c r="E55" s="794">
        <v>15</v>
      </c>
      <c r="F55" s="919" cm="1" t="str">
        <f t="array" ref="F55:F55">F54</f>
        <v>0</v>
      </c>
      <c r="T55" s="816" cm="1" t="str">
        <f t="array" ref="T55:T55">T54</f>
        <v>false</v>
      </c>
      <c r="AB55" s="486" t="str">
        <f>AB42&amp;".8"</f>
        <v>2.8</v>
      </c>
      <c r="AC55" s="487" t="s">
        <v>1052</v>
      </c>
      <c r="AD55" s="486" t="s">
        <v>1019</v>
      </c>
      <c r="AE55" s="61"/>
      <c r="AF55" s="61"/>
      <c r="AG55" s="61"/>
      <c r="AH55" s="61"/>
      <c r="AI55" s="280"/>
      <c r="AJ55" s="280"/>
      <c r="AK55" s="280"/>
      <c r="AL55" s="280"/>
      <c r="AM55" s="280"/>
      <c r="AN55" s="61"/>
      <c r="AO55" s="61"/>
      <c r="AP55" s="61"/>
      <c r="AQ55" s="61"/>
      <c r="AR55" s="61"/>
      <c r="AS55" s="280"/>
      <c r="AT55" s="280"/>
      <c r="AU55" s="280"/>
      <c r="AV55" s="280"/>
      <c r="AW55" s="280"/>
      <c r="AX55" s="61"/>
      <c r="AY55" s="61"/>
      <c r="AZ55" s="61"/>
      <c r="BA55" s="61"/>
      <c r="BB55" s="61"/>
      <c r="BC55" s="73"/>
      <c r="BF55" s="1170" t="s">
        <v>1068</v>
      </c>
    </row>
    <row s="214" customFormat="1" customHeight="1" ht="14.625" hidden="1">
      <c r="E56" s="794">
        <v>15</v>
      </c>
      <c r="F56" s="919" cm="1" t="str">
        <f t="array" ref="F56:F56">F55</f>
        <v>0</v>
      </c>
      <c r="T56" s="816" cm="1" t="str">
        <f t="array" ref="T56:T56">T55</f>
        <v>false</v>
      </c>
      <c r="AB56" s="277">
        <v>3</v>
      </c>
      <c r="AC56" s="278" t="s">
        <v>1069</v>
      </c>
      <c r="AD56" s="153" t="s">
        <v>805</v>
      </c>
      <c r="AE56" s="102">
        <f>SUM(AE57:AE60)+SUM(AE66:AE69)</f>
        <v>0</v>
      </c>
      <c r="AF56" s="102">
        <f>SUM(AF57:AF60)+SUM(AF66:AF69)</f>
        <v>0</v>
      </c>
      <c r="AG56" s="102">
        <f>SUM(AG57:AG60)+SUM(AG66:AG69)</f>
        <v>0</v>
      </c>
      <c r="AH56" s="102">
        <f>SUM(AH57:AH60)+SUM(AH66:AH69)</f>
        <v>0</v>
      </c>
      <c r="AI56" s="292">
        <f>SUM(AI57:AI60)+SUM(AI66:AI69)</f>
        <v>0</v>
      </c>
      <c r="AJ56" s="292">
        <f>SUM(AJ57:AJ60)+SUM(AJ66:AJ69)</f>
        <v>0</v>
      </c>
      <c r="AK56" s="292">
        <f>SUM(AK57:AK60)+SUM(AK66:AK69)</f>
        <v>0</v>
      </c>
      <c r="AL56" s="292">
        <f>SUM(AL57:AL60)+SUM(AL66:AL69)</f>
        <v>0</v>
      </c>
      <c r="AM56" s="292">
        <f>SUM(AM57:AM60)+SUM(AM66:AM69)</f>
        <v>0</v>
      </c>
      <c r="AN56" s="102">
        <f>SUM(AN57:AN60)+SUM(AN66:AN69)</f>
        <v>0</v>
      </c>
      <c r="AO56" s="102">
        <f>SUM(AO57:AO60)+SUM(AO66:AO69)</f>
        <v>0</v>
      </c>
      <c r="AP56" s="102">
        <f>SUM(AP57:AP60)+SUM(AP66:AP69)</f>
        <v>0</v>
      </c>
      <c r="AQ56" s="102">
        <f>SUM(AQ57:AQ60)+SUM(AQ66:AQ69)</f>
        <v>0</v>
      </c>
      <c r="AR56" s="102">
        <f>SUM(AR57:AR60)+SUM(AR66:AR69)</f>
        <v>0</v>
      </c>
      <c r="AS56" s="292">
        <f>SUM(AS57:AS60)+SUM(AS66:AS69)</f>
        <v>0</v>
      </c>
      <c r="AT56" s="292">
        <f>SUM(AT57:AT60)+SUM(AT66:AT69)</f>
        <v>0</v>
      </c>
      <c r="AU56" s="292">
        <f>SUM(AU57:AU60)+SUM(AU66:AU69)</f>
        <v>0</v>
      </c>
      <c r="AV56" s="292">
        <f>SUM(AV57:AV60)+SUM(AV66:AV69)</f>
        <v>0</v>
      </c>
      <c r="AW56" s="292">
        <f>SUM(AW57:AW60)+SUM(AW66:AW69)</f>
        <v>0</v>
      </c>
      <c r="AX56" s="102">
        <f>SUM(AX57:AX60)+SUM(AX66:AX69)</f>
        <v>0</v>
      </c>
      <c r="AY56" s="102">
        <f>SUM(AY57:AY60)+SUM(AY66:AY69)</f>
        <v>0</v>
      </c>
      <c r="AZ56" s="102">
        <f>SUM(AZ57:AZ60)+SUM(AZ66:AZ69)</f>
        <v>0</v>
      </c>
      <c r="BA56" s="102">
        <f>SUM(BA57:BA60)+SUM(BA66:BA69)</f>
        <v>0</v>
      </c>
      <c r="BB56" s="102">
        <f>SUM(BB57:BB60)+SUM(BB66:BB69)</f>
        <v>0</v>
      </c>
      <c r="BC56" s="73"/>
      <c r="BF56" s="1170" t="s">
        <v>1070</v>
      </c>
    </row>
    <row customHeight="1" ht="14.625" hidden="1">
      <c r="E57" s="794">
        <v>15</v>
      </c>
      <c r="F57" s="919" cm="1" t="str">
        <f t="array" ref="F57:F57">F56</f>
        <v>0</v>
      </c>
      <c r="T57" s="816" cm="1" t="str">
        <f t="array" ref="T57:T57">T56</f>
        <v>false</v>
      </c>
      <c r="AB57" s="486" t="str">
        <f>AB56&amp;".1"</f>
        <v>3.1</v>
      </c>
      <c r="AC57" s="487" t="s">
        <v>1018</v>
      </c>
      <c r="AD57" s="486" t="s">
        <v>1019</v>
      </c>
      <c r="AE57" s="61"/>
      <c r="AF57" s="61"/>
      <c r="AG57" s="61"/>
      <c r="AH57" s="61"/>
      <c r="AI57" s="280"/>
      <c r="AJ57" s="280"/>
      <c r="AK57" s="280"/>
      <c r="AL57" s="280"/>
      <c r="AM57" s="280"/>
      <c r="AN57" s="61"/>
      <c r="AO57" s="61"/>
      <c r="AP57" s="61"/>
      <c r="AQ57" s="61"/>
      <c r="AR57" s="61"/>
      <c r="AS57" s="280"/>
      <c r="AT57" s="280"/>
      <c r="AU57" s="280"/>
      <c r="AV57" s="280"/>
      <c r="AW57" s="280"/>
      <c r="AX57" s="61"/>
      <c r="AY57" s="61"/>
      <c r="AZ57" s="61"/>
      <c r="BA57" s="61"/>
      <c r="BB57" s="61"/>
      <c r="BC57" s="73"/>
      <c r="BF57" s="1170" t="s">
        <v>1071</v>
      </c>
    </row>
    <row customHeight="1" ht="14.625" hidden="1">
      <c r="E58" s="794">
        <v>15</v>
      </c>
      <c r="F58" s="919" cm="1" t="str">
        <f t="array" ref="F58:F58">F57</f>
        <v>0</v>
      </c>
      <c r="T58" s="816" cm="1" t="str">
        <f t="array" ref="T58:T58">T57</f>
        <v>false</v>
      </c>
      <c r="AB58" s="486" t="str">
        <f>AB56&amp;".2"</f>
        <v>3.2</v>
      </c>
      <c r="AC58" s="487" t="s">
        <v>1021</v>
      </c>
      <c r="AD58" s="486" t="s">
        <v>1019</v>
      </c>
      <c r="AE58" s="61"/>
      <c r="AF58" s="61"/>
      <c r="AG58" s="61"/>
      <c r="AH58" s="61"/>
      <c r="AI58" s="280"/>
      <c r="AJ58" s="280"/>
      <c r="AK58" s="280"/>
      <c r="AL58" s="280"/>
      <c r="AM58" s="280"/>
      <c r="AN58" s="61"/>
      <c r="AO58" s="61"/>
      <c r="AP58" s="61"/>
      <c r="AQ58" s="61"/>
      <c r="AR58" s="61"/>
      <c r="AS58" s="280"/>
      <c r="AT58" s="280"/>
      <c r="AU58" s="280"/>
      <c r="AV58" s="280"/>
      <c r="AW58" s="280"/>
      <c r="AX58" s="61"/>
      <c r="AY58" s="61"/>
      <c r="AZ58" s="61"/>
      <c r="BA58" s="61"/>
      <c r="BB58" s="61"/>
      <c r="BC58" s="73"/>
      <c r="BF58" s="1170" t="s">
        <v>1072</v>
      </c>
    </row>
    <row customHeight="1" ht="14.625" hidden="1">
      <c r="E59" s="794">
        <v>15</v>
      </c>
      <c r="F59" s="919" cm="1" t="str">
        <f t="array" ref="F59:F59">F58</f>
        <v>0</v>
      </c>
      <c r="T59" s="816" cm="1" t="str">
        <f t="array" ref="T59:T59">T58</f>
        <v>false</v>
      </c>
      <c r="AB59" s="486" t="str">
        <f>AB56&amp;".3"</f>
        <v>3.3</v>
      </c>
      <c r="AC59" s="487" t="s">
        <v>1023</v>
      </c>
      <c r="AD59" s="486" t="s">
        <v>1019</v>
      </c>
      <c r="AE59" s="61"/>
      <c r="AF59" s="61"/>
      <c r="AG59" s="61"/>
      <c r="AH59" s="61"/>
      <c r="AI59" s="280"/>
      <c r="AJ59" s="280"/>
      <c r="AK59" s="280"/>
      <c r="AL59" s="280"/>
      <c r="AM59" s="280"/>
      <c r="AN59" s="61"/>
      <c r="AO59" s="61"/>
      <c r="AP59" s="61"/>
      <c r="AQ59" s="61"/>
      <c r="AR59" s="61"/>
      <c r="AS59" s="280"/>
      <c r="AT59" s="280"/>
      <c r="AU59" s="280"/>
      <c r="AV59" s="280"/>
      <c r="AW59" s="280"/>
      <c r="AX59" s="61"/>
      <c r="AY59" s="61"/>
      <c r="AZ59" s="61"/>
      <c r="BA59" s="61"/>
      <c r="BB59" s="61"/>
      <c r="BC59" s="73"/>
      <c r="BF59" s="1170" t="s">
        <v>1073</v>
      </c>
    </row>
    <row customHeight="1" ht="14.625" hidden="1">
      <c r="E60" s="794">
        <v>15</v>
      </c>
      <c r="F60" s="919" cm="1" t="str">
        <f t="array" ref="F60:F60">F59</f>
        <v>0</v>
      </c>
      <c r="T60" s="816" cm="1" t="str">
        <f t="array" ref="T60:T60">T59</f>
        <v>false</v>
      </c>
      <c r="AB60" s="486" t="str">
        <f>AB56&amp;".4"</f>
        <v>3.4</v>
      </c>
      <c r="AC60" s="487" t="s">
        <v>1025</v>
      </c>
      <c r="AD60" s="486" t="s">
        <v>1019</v>
      </c>
      <c r="AE60" s="85">
        <f>SUM(AE61:AE65)</f>
        <v>0</v>
      </c>
      <c r="AF60" s="85">
        <f>SUM(AF61:AF65)</f>
        <v>0</v>
      </c>
      <c r="AG60" s="85">
        <f>SUM(AG61:AG65)</f>
        <v>0</v>
      </c>
      <c r="AH60" s="85">
        <f>SUM(AH61:AH65)</f>
        <v>0</v>
      </c>
      <c r="AI60" s="481">
        <f>SUM(AI61:AI65)</f>
        <v>0</v>
      </c>
      <c r="AJ60" s="481">
        <f>SUM(AJ61:AJ65)</f>
        <v>0</v>
      </c>
      <c r="AK60" s="481">
        <f>SUM(AK61:AK65)</f>
        <v>0</v>
      </c>
      <c r="AL60" s="481">
        <f>SUM(AL61:AL65)</f>
        <v>0</v>
      </c>
      <c r="AM60" s="481">
        <f>SUM(AM61:AM65)</f>
        <v>0</v>
      </c>
      <c r="AN60" s="85">
        <f>SUM(AN61:AN65)</f>
        <v>0</v>
      </c>
      <c r="AO60" s="85">
        <f>SUM(AO61:AO65)</f>
        <v>0</v>
      </c>
      <c r="AP60" s="85">
        <f>SUM(AP61:AP65)</f>
        <v>0</v>
      </c>
      <c r="AQ60" s="85">
        <f>SUM(AQ61:AQ65)</f>
        <v>0</v>
      </c>
      <c r="AR60" s="85">
        <f>SUM(AR61:AR65)</f>
        <v>0</v>
      </c>
      <c r="AS60" s="481">
        <f>SUM(AS61:AS65)</f>
        <v>0</v>
      </c>
      <c r="AT60" s="481">
        <f>SUM(AT61:AT65)</f>
        <v>0</v>
      </c>
      <c r="AU60" s="481">
        <f>SUM(AU61:AU65)</f>
        <v>0</v>
      </c>
      <c r="AV60" s="481">
        <f>SUM(AV61:AV65)</f>
        <v>0</v>
      </c>
      <c r="AW60" s="481">
        <f>SUM(AW61:AW65)</f>
        <v>0</v>
      </c>
      <c r="AX60" s="85">
        <f>SUM(AX61:AX65)</f>
        <v>0</v>
      </c>
      <c r="AY60" s="85">
        <f>SUM(AY61:AY65)</f>
        <v>0</v>
      </c>
      <c r="AZ60" s="85">
        <f>SUM(AZ61:AZ65)</f>
        <v>0</v>
      </c>
      <c r="BA60" s="85">
        <f>SUM(BA61:BA65)</f>
        <v>0</v>
      </c>
      <c r="BB60" s="85">
        <f>SUM(BB61:BB65)</f>
        <v>0</v>
      </c>
      <c r="BC60" s="73"/>
      <c r="BF60" s="1170" t="s">
        <v>1074</v>
      </c>
    </row>
    <row customHeight="1" ht="14.625" hidden="1">
      <c r="E61" s="794">
        <v>15</v>
      </c>
      <c r="F61" s="919" cm="1" t="str">
        <f t="array" ref="F61:F61">F60</f>
        <v>0</v>
      </c>
      <c r="T61" s="816" cm="1" t="str">
        <f t="array" ref="T61:T61">T60</f>
        <v>false</v>
      </c>
      <c r="AB61" s="486" t="str">
        <f>AB60&amp;".1"</f>
        <v>3.4.1</v>
      </c>
      <c r="AC61" s="488" t="s">
        <v>1028</v>
      </c>
      <c r="AD61" s="486" t="s">
        <v>1019</v>
      </c>
      <c r="AE61" s="61"/>
      <c r="AF61" s="61"/>
      <c r="AG61" s="61"/>
      <c r="AH61" s="61"/>
      <c r="AI61" s="280"/>
      <c r="AJ61" s="280"/>
      <c r="AK61" s="280"/>
      <c r="AL61" s="280"/>
      <c r="AM61" s="280"/>
      <c r="AN61" s="61"/>
      <c r="AO61" s="61"/>
      <c r="AP61" s="61"/>
      <c r="AQ61" s="61"/>
      <c r="AR61" s="61"/>
      <c r="AS61" s="280"/>
      <c r="AT61" s="280"/>
      <c r="AU61" s="280"/>
      <c r="AV61" s="280"/>
      <c r="AW61" s="280"/>
      <c r="AX61" s="61"/>
      <c r="AY61" s="61"/>
      <c r="AZ61" s="61"/>
      <c r="BA61" s="61"/>
      <c r="BB61" s="61"/>
      <c r="BC61" s="73"/>
      <c r="BF61" s="1170" t="s">
        <v>1075</v>
      </c>
    </row>
    <row customHeight="1" ht="14.625" hidden="1">
      <c r="E62" s="794">
        <v>15</v>
      </c>
      <c r="F62" s="919" cm="1" t="str">
        <f t="array" ref="F62:F62">F61</f>
        <v>0</v>
      </c>
      <c r="T62" s="816" cm="1" t="str">
        <f t="array" ref="T62:T62">T61</f>
        <v>false</v>
      </c>
      <c r="AB62" s="486" t="str">
        <f>AB60&amp;".2"</f>
        <v>3.4.2</v>
      </c>
      <c r="AC62" s="488" t="s">
        <v>1031</v>
      </c>
      <c r="AD62" s="486" t="s">
        <v>1019</v>
      </c>
      <c r="AE62" s="61"/>
      <c r="AF62" s="61"/>
      <c r="AG62" s="61"/>
      <c r="AH62" s="61"/>
      <c r="AI62" s="280"/>
      <c r="AJ62" s="280"/>
      <c r="AK62" s="280"/>
      <c r="AL62" s="280"/>
      <c r="AM62" s="280"/>
      <c r="AN62" s="61"/>
      <c r="AO62" s="61"/>
      <c r="AP62" s="61"/>
      <c r="AQ62" s="61"/>
      <c r="AR62" s="61"/>
      <c r="AS62" s="280"/>
      <c r="AT62" s="280"/>
      <c r="AU62" s="280"/>
      <c r="AV62" s="280"/>
      <c r="AW62" s="280"/>
      <c r="AX62" s="61"/>
      <c r="AY62" s="61"/>
      <c r="AZ62" s="61"/>
      <c r="BA62" s="61"/>
      <c r="BB62" s="61"/>
      <c r="BC62" s="73"/>
      <c r="BF62" s="1170" t="s">
        <v>1076</v>
      </c>
    </row>
    <row customHeight="1" ht="14.625" hidden="1">
      <c r="E63" s="794">
        <v>15</v>
      </c>
      <c r="F63" s="919" cm="1" t="str">
        <f t="array" ref="F63:F63">F62</f>
        <v>0</v>
      </c>
      <c r="T63" s="816" cm="1" t="str">
        <f t="array" ref="T63:T63">T62</f>
        <v>false</v>
      </c>
      <c r="AB63" s="486" t="str">
        <f>AB60&amp;".3"</f>
        <v>3.4.3</v>
      </c>
      <c r="AC63" s="488" t="s">
        <v>1034</v>
      </c>
      <c r="AD63" s="486" t="s">
        <v>1019</v>
      </c>
      <c r="AE63" s="61"/>
      <c r="AF63" s="61"/>
      <c r="AG63" s="61"/>
      <c r="AH63" s="61"/>
      <c r="AI63" s="280"/>
      <c r="AJ63" s="280"/>
      <c r="AK63" s="280"/>
      <c r="AL63" s="280"/>
      <c r="AM63" s="280"/>
      <c r="AN63" s="61"/>
      <c r="AO63" s="61"/>
      <c r="AP63" s="61"/>
      <c r="AQ63" s="61"/>
      <c r="AR63" s="61"/>
      <c r="AS63" s="280"/>
      <c r="AT63" s="280"/>
      <c r="AU63" s="280"/>
      <c r="AV63" s="280"/>
      <c r="AW63" s="280"/>
      <c r="AX63" s="61"/>
      <c r="AY63" s="61"/>
      <c r="AZ63" s="61"/>
      <c r="BA63" s="61"/>
      <c r="BB63" s="61"/>
      <c r="BC63" s="73"/>
      <c r="BF63" s="1170" t="s">
        <v>1077</v>
      </c>
    </row>
    <row customHeight="1" ht="14.625" hidden="1">
      <c r="E64" s="794">
        <v>15</v>
      </c>
      <c r="F64" s="919" cm="1" t="str">
        <f t="array" ref="F64:F64">F63</f>
        <v>0</v>
      </c>
      <c r="T64" s="816" cm="1" t="str">
        <f t="array" ref="T64:T64">T63</f>
        <v>false</v>
      </c>
      <c r="AB64" s="486" t="str">
        <f>AB60&amp;".4"</f>
        <v>3.4.4</v>
      </c>
      <c r="AC64" s="488" t="s">
        <v>1037</v>
      </c>
      <c r="AD64" s="486" t="s">
        <v>1019</v>
      </c>
      <c r="AE64" s="61"/>
      <c r="AF64" s="61"/>
      <c r="AG64" s="61"/>
      <c r="AH64" s="61"/>
      <c r="AI64" s="280"/>
      <c r="AJ64" s="280"/>
      <c r="AK64" s="280"/>
      <c r="AL64" s="280"/>
      <c r="AM64" s="280"/>
      <c r="AN64" s="61"/>
      <c r="AO64" s="61"/>
      <c r="AP64" s="61"/>
      <c r="AQ64" s="61"/>
      <c r="AR64" s="61"/>
      <c r="AS64" s="280"/>
      <c r="AT64" s="280"/>
      <c r="AU64" s="280"/>
      <c r="AV64" s="280"/>
      <c r="AW64" s="280"/>
      <c r="AX64" s="61"/>
      <c r="AY64" s="61"/>
      <c r="AZ64" s="61"/>
      <c r="BA64" s="61"/>
      <c r="BB64" s="61"/>
      <c r="BC64" s="73"/>
      <c r="BF64" s="1170" t="s">
        <v>1078</v>
      </c>
    </row>
    <row customHeight="1" ht="14.625" hidden="1">
      <c r="E65" s="794">
        <v>15</v>
      </c>
      <c r="F65" s="919" cm="1" t="str">
        <f t="array" ref="F65:F65">F64</f>
        <v>0</v>
      </c>
      <c r="T65" s="816" cm="1" t="str">
        <f t="array" ref="T65:T65">T64</f>
        <v>false</v>
      </c>
      <c r="AB65" s="486" t="str">
        <f>AB60&amp;".5"</f>
        <v>3.4.5</v>
      </c>
      <c r="AC65" s="488" t="s">
        <v>1040</v>
      </c>
      <c r="AD65" s="486" t="s">
        <v>1019</v>
      </c>
      <c r="AE65" s="61"/>
      <c r="AF65" s="61"/>
      <c r="AG65" s="61"/>
      <c r="AH65" s="61"/>
      <c r="AI65" s="280"/>
      <c r="AJ65" s="280"/>
      <c r="AK65" s="280"/>
      <c r="AL65" s="280"/>
      <c r="AM65" s="280"/>
      <c r="AN65" s="61"/>
      <c r="AO65" s="61"/>
      <c r="AP65" s="61"/>
      <c r="AQ65" s="61"/>
      <c r="AR65" s="61"/>
      <c r="AS65" s="280"/>
      <c r="AT65" s="280"/>
      <c r="AU65" s="280"/>
      <c r="AV65" s="280"/>
      <c r="AW65" s="280"/>
      <c r="AX65" s="61"/>
      <c r="AY65" s="61"/>
      <c r="AZ65" s="61"/>
      <c r="BA65" s="61"/>
      <c r="BB65" s="61"/>
      <c r="BC65" s="73"/>
      <c r="BF65" s="1170" t="s">
        <v>1079</v>
      </c>
    </row>
    <row customHeight="1" ht="14.625" hidden="1">
      <c r="E66" s="794">
        <v>15</v>
      </c>
      <c r="F66" s="919" cm="1" t="str">
        <f t="array" ref="F66:F66">F65</f>
        <v>0</v>
      </c>
      <c r="T66" s="816" cm="1" t="str">
        <f t="array" ref="T66:T66">T65</f>
        <v>false</v>
      </c>
      <c r="AB66" s="486" t="str">
        <f>AB56&amp;".5"</f>
        <v>3.5</v>
      </c>
      <c r="AC66" s="487" t="s">
        <v>1043</v>
      </c>
      <c r="AD66" s="486" t="s">
        <v>1019</v>
      </c>
      <c r="AE66" s="61"/>
      <c r="AF66" s="61"/>
      <c r="AG66" s="61"/>
      <c r="AH66" s="61"/>
      <c r="AI66" s="280"/>
      <c r="AJ66" s="280"/>
      <c r="AK66" s="280"/>
      <c r="AL66" s="280"/>
      <c r="AM66" s="280"/>
      <c r="AN66" s="61"/>
      <c r="AO66" s="61"/>
      <c r="AP66" s="61"/>
      <c r="AQ66" s="61"/>
      <c r="AR66" s="61"/>
      <c r="AS66" s="280"/>
      <c r="AT66" s="280"/>
      <c r="AU66" s="280"/>
      <c r="AV66" s="280"/>
      <c r="AW66" s="280"/>
      <c r="AX66" s="61"/>
      <c r="AY66" s="61"/>
      <c r="AZ66" s="61"/>
      <c r="BA66" s="61"/>
      <c r="BB66" s="61"/>
      <c r="BC66" s="73"/>
      <c r="BF66" s="1170" t="s">
        <v>1080</v>
      </c>
    </row>
    <row customHeight="1" ht="14.625" hidden="1">
      <c r="E67" s="794">
        <v>15</v>
      </c>
      <c r="F67" s="919" cm="1" t="str">
        <f t="array" ref="F67:F67">F66</f>
        <v>0</v>
      </c>
      <c r="T67" s="816" cm="1" t="str">
        <f t="array" ref="T67:T67">T66</f>
        <v>false</v>
      </c>
      <c r="AB67" s="486" t="str">
        <f>AB56&amp;".6"</f>
        <v>3.6</v>
      </c>
      <c r="AC67" s="487" t="s">
        <v>1046</v>
      </c>
      <c r="AD67" s="486" t="s">
        <v>1019</v>
      </c>
      <c r="AE67" s="61"/>
      <c r="AF67" s="61"/>
      <c r="AG67" s="61"/>
      <c r="AH67" s="61"/>
      <c r="AI67" s="280"/>
      <c r="AJ67" s="280"/>
      <c r="AK67" s="280"/>
      <c r="AL67" s="280"/>
      <c r="AM67" s="280"/>
      <c r="AN67" s="61"/>
      <c r="AO67" s="61"/>
      <c r="AP67" s="61"/>
      <c r="AQ67" s="61"/>
      <c r="AR67" s="61"/>
      <c r="AS67" s="280"/>
      <c r="AT67" s="280"/>
      <c r="AU67" s="280"/>
      <c r="AV67" s="280"/>
      <c r="AW67" s="280"/>
      <c r="AX67" s="61"/>
      <c r="AY67" s="61"/>
      <c r="AZ67" s="61"/>
      <c r="BA67" s="61"/>
      <c r="BB67" s="61"/>
      <c r="BC67" s="73"/>
      <c r="BF67" s="1170" t="s">
        <v>1081</v>
      </c>
    </row>
    <row customHeight="1" ht="14.625" hidden="1">
      <c r="E68" s="794">
        <v>15</v>
      </c>
      <c r="F68" s="919" cm="1" t="str">
        <f t="array" ref="F68:F68">F67</f>
        <v>0</v>
      </c>
      <c r="T68" s="816" cm="1" t="str">
        <f t="array" ref="T68:T68">T67</f>
        <v>false</v>
      </c>
      <c r="AB68" s="486" t="str">
        <f>AB56&amp;".7"</f>
        <v>3.7</v>
      </c>
      <c r="AC68" s="487" t="s">
        <v>1049</v>
      </c>
      <c r="AD68" s="486" t="s">
        <v>1019</v>
      </c>
      <c r="AE68" s="61"/>
      <c r="AF68" s="61"/>
      <c r="AG68" s="61"/>
      <c r="AH68" s="61"/>
      <c r="AI68" s="280"/>
      <c r="AJ68" s="280"/>
      <c r="AK68" s="280"/>
      <c r="AL68" s="280"/>
      <c r="AM68" s="280"/>
      <c r="AN68" s="61"/>
      <c r="AO68" s="61"/>
      <c r="AP68" s="61"/>
      <c r="AQ68" s="61"/>
      <c r="AR68" s="61"/>
      <c r="AS68" s="280"/>
      <c r="AT68" s="280"/>
      <c r="AU68" s="280"/>
      <c r="AV68" s="280"/>
      <c r="AW68" s="280"/>
      <c r="AX68" s="61"/>
      <c r="AY68" s="61"/>
      <c r="AZ68" s="61"/>
      <c r="BA68" s="61"/>
      <c r="BB68" s="61"/>
      <c r="BC68" s="73"/>
      <c r="BF68" s="1170" t="s">
        <v>1082</v>
      </c>
    </row>
    <row customHeight="1" ht="14.625" hidden="1">
      <c r="E69" s="794">
        <v>15</v>
      </c>
      <c r="F69" s="919" cm="1" t="str">
        <f t="array" ref="F69:F69">F68</f>
        <v>0</v>
      </c>
      <c r="T69" s="816" cm="1" t="str">
        <f t="array" ref="T69:T69">T68</f>
        <v>false</v>
      </c>
      <c r="AB69" s="486" t="str">
        <f>AB56&amp;".8"</f>
        <v>3.8</v>
      </c>
      <c r="AC69" s="487" t="s">
        <v>1052</v>
      </c>
      <c r="AD69" s="486" t="s">
        <v>1019</v>
      </c>
      <c r="AE69" s="61"/>
      <c r="AF69" s="61"/>
      <c r="AG69" s="61"/>
      <c r="AH69" s="61"/>
      <c r="AI69" s="280"/>
      <c r="AJ69" s="280"/>
      <c r="AK69" s="280"/>
      <c r="AL69" s="280"/>
      <c r="AM69" s="280"/>
      <c r="AN69" s="61"/>
      <c r="AO69" s="61"/>
      <c r="AP69" s="61"/>
      <c r="AQ69" s="61"/>
      <c r="AR69" s="61"/>
      <c r="AS69" s="280"/>
      <c r="AT69" s="280"/>
      <c r="AU69" s="280"/>
      <c r="AV69" s="280"/>
      <c r="AW69" s="280"/>
      <c r="AX69" s="61"/>
      <c r="AY69" s="61"/>
      <c r="AZ69" s="61"/>
      <c r="BA69" s="61"/>
      <c r="BB69" s="61"/>
      <c r="BC69" s="73"/>
      <c r="BF69" s="1170" t="s">
        <v>1083</v>
      </c>
    </row>
    <row s="214" customFormat="1" customHeight="1" ht="14.625" hidden="1">
      <c r="E70" s="794">
        <v>15</v>
      </c>
      <c r="F70" s="919" cm="1" t="str">
        <f t="array" ref="F70:F70">F69</f>
        <v>0</v>
      </c>
      <c r="T70" s="816" cm="1" t="str">
        <f t="array" ref="T70:T70">T69</f>
        <v>false</v>
      </c>
      <c r="AB70" s="277">
        <v>4</v>
      </c>
      <c r="AC70" s="278" t="s">
        <v>1084</v>
      </c>
      <c r="AD70" s="153" t="s">
        <v>805</v>
      </c>
      <c r="AE70" s="102">
        <f>SUM(AE71:AE74)+SUM(AE80:AE83)</f>
        <v>0</v>
      </c>
      <c r="AF70" s="102">
        <f>SUM(AF71:AF74)+SUM(AF80:AF83)</f>
        <v>0</v>
      </c>
      <c r="AG70" s="102">
        <f>SUM(AG71:AG74)+SUM(AG80:AG83)</f>
        <v>0</v>
      </c>
      <c r="AH70" s="102">
        <f>SUM(AH71:AH74)+SUM(AH80:AH83)</f>
        <v>0</v>
      </c>
      <c r="AI70" s="292">
        <f>SUM(AI71:AI74)+SUM(AI80:AI83)</f>
        <v>0</v>
      </c>
      <c r="AJ70" s="292">
        <f>SUM(AJ71:AJ74)+SUM(AJ80:AJ83)</f>
        <v>0</v>
      </c>
      <c r="AK70" s="292">
        <f>SUM(AK71:AK74)+SUM(AK80:AK83)</f>
        <v>0</v>
      </c>
      <c r="AL70" s="292">
        <f>SUM(AL71:AL74)+SUM(AL80:AL83)</f>
        <v>0</v>
      </c>
      <c r="AM70" s="292">
        <f>SUM(AM71:AM74)+SUM(AM80:AM83)</f>
        <v>0</v>
      </c>
      <c r="AN70" s="102">
        <f>SUM(AN71:AN74)+SUM(AN80:AN83)</f>
        <v>0</v>
      </c>
      <c r="AO70" s="102">
        <f>SUM(AO71:AO74)+SUM(AO80:AO83)</f>
        <v>0</v>
      </c>
      <c r="AP70" s="102">
        <f>SUM(AP71:AP74)+SUM(AP80:AP83)</f>
        <v>0</v>
      </c>
      <c r="AQ70" s="102">
        <f>SUM(AQ71:AQ74)+SUM(AQ80:AQ83)</f>
        <v>0</v>
      </c>
      <c r="AR70" s="102">
        <f>SUM(AR71:AR74)+SUM(AR80:AR83)</f>
        <v>0</v>
      </c>
      <c r="AS70" s="292">
        <f>SUM(AS71:AS74)+SUM(AS80:AS83)</f>
        <v>0</v>
      </c>
      <c r="AT70" s="292">
        <f>SUM(AT71:AT74)+SUM(AT80:AT83)</f>
        <v>0</v>
      </c>
      <c r="AU70" s="292">
        <f>SUM(AU71:AU74)+SUM(AU80:AU83)</f>
        <v>0</v>
      </c>
      <c r="AV70" s="292">
        <f>SUM(AV71:AV74)+SUM(AV80:AV83)</f>
        <v>0</v>
      </c>
      <c r="AW70" s="292">
        <f>SUM(AW71:AW74)+SUM(AW80:AW83)</f>
        <v>0</v>
      </c>
      <c r="AX70" s="102">
        <f>SUM(AX71:AX74)+SUM(AX80:AX83)</f>
        <v>0</v>
      </c>
      <c r="AY70" s="102">
        <f>SUM(AY71:AY74)+SUM(AY80:AY83)</f>
        <v>0</v>
      </c>
      <c r="AZ70" s="102">
        <f>SUM(AZ71:AZ74)+SUM(AZ80:AZ83)</f>
        <v>0</v>
      </c>
      <c r="BA70" s="102">
        <f>SUM(BA71:BA74)+SUM(BA80:BA83)</f>
        <v>0</v>
      </c>
      <c r="BB70" s="102">
        <f>SUM(BB71:BB74)+SUM(BB80:BB83)</f>
        <v>0</v>
      </c>
      <c r="BC70" s="73"/>
      <c r="BF70" s="1170" t="s">
        <v>1085</v>
      </c>
    </row>
    <row customHeight="1" ht="14.625" hidden="1">
      <c r="E71" s="794">
        <v>15</v>
      </c>
      <c r="F71" s="919" cm="1" t="str">
        <f t="array" ref="F71:F71">F70</f>
        <v>0</v>
      </c>
      <c r="T71" s="816" cm="1" t="str">
        <f t="array" ref="T71:T71">T70</f>
        <v>false</v>
      </c>
      <c r="AB71" s="486" t="str">
        <f>AB70&amp;".1"</f>
        <v>4.1</v>
      </c>
      <c r="AC71" s="487" t="s">
        <v>1018</v>
      </c>
      <c r="AD71" s="486" t="s">
        <v>1019</v>
      </c>
      <c r="AE71" s="61"/>
      <c r="AF71" s="61"/>
      <c r="AG71" s="61"/>
      <c r="AH71" s="61"/>
      <c r="AI71" s="280"/>
      <c r="AJ71" s="280"/>
      <c r="AK71" s="280"/>
      <c r="AL71" s="280"/>
      <c r="AM71" s="280"/>
      <c r="AN71" s="61"/>
      <c r="AO71" s="61"/>
      <c r="AP71" s="61"/>
      <c r="AQ71" s="61"/>
      <c r="AR71" s="61"/>
      <c r="AS71" s="280"/>
      <c r="AT71" s="280"/>
      <c r="AU71" s="280"/>
      <c r="AV71" s="280"/>
      <c r="AW71" s="280"/>
      <c r="AX71" s="61"/>
      <c r="AY71" s="61"/>
      <c r="AZ71" s="61"/>
      <c r="BA71" s="61"/>
      <c r="BB71" s="61"/>
      <c r="BC71" s="73"/>
      <c r="BF71" s="1170" t="s">
        <v>1086</v>
      </c>
    </row>
    <row customHeight="1" ht="14.625" hidden="1">
      <c r="E72" s="794">
        <v>15</v>
      </c>
      <c r="F72" s="919" cm="1" t="str">
        <f t="array" ref="F72:F72">F71</f>
        <v>0</v>
      </c>
      <c r="T72" s="816" cm="1" t="str">
        <f t="array" ref="T72:T72">T71</f>
        <v>false</v>
      </c>
      <c r="AB72" s="486" t="str">
        <f>AB70&amp;".2"</f>
        <v>4.2</v>
      </c>
      <c r="AC72" s="487" t="s">
        <v>1021</v>
      </c>
      <c r="AD72" s="486" t="s">
        <v>1019</v>
      </c>
      <c r="AE72" s="61"/>
      <c r="AF72" s="61"/>
      <c r="AG72" s="61"/>
      <c r="AH72" s="61"/>
      <c r="AI72" s="280"/>
      <c r="AJ72" s="280"/>
      <c r="AK72" s="280"/>
      <c r="AL72" s="280"/>
      <c r="AM72" s="280"/>
      <c r="AN72" s="61"/>
      <c r="AO72" s="61"/>
      <c r="AP72" s="61"/>
      <c r="AQ72" s="61"/>
      <c r="AR72" s="61"/>
      <c r="AS72" s="280"/>
      <c r="AT72" s="280"/>
      <c r="AU72" s="280"/>
      <c r="AV72" s="280"/>
      <c r="AW72" s="280"/>
      <c r="AX72" s="61"/>
      <c r="AY72" s="61"/>
      <c r="AZ72" s="61"/>
      <c r="BA72" s="61"/>
      <c r="BB72" s="61"/>
      <c r="BC72" s="73"/>
      <c r="BF72" s="1170" t="s">
        <v>1087</v>
      </c>
    </row>
    <row customHeight="1" ht="14.625" hidden="1">
      <c r="E73" s="794">
        <v>15</v>
      </c>
      <c r="F73" s="919" cm="1" t="str">
        <f t="array" ref="F73:F73">F72</f>
        <v>0</v>
      </c>
      <c r="T73" s="816" cm="1" t="str">
        <f t="array" ref="T73:T73">T72</f>
        <v>false</v>
      </c>
      <c r="AB73" s="486" t="str">
        <f>AB70&amp;".3"</f>
        <v>4.3</v>
      </c>
      <c r="AC73" s="487" t="s">
        <v>1023</v>
      </c>
      <c r="AD73" s="486" t="s">
        <v>1019</v>
      </c>
      <c r="AE73" s="61"/>
      <c r="AF73" s="61"/>
      <c r="AG73" s="61"/>
      <c r="AH73" s="61"/>
      <c r="AI73" s="280"/>
      <c r="AJ73" s="280"/>
      <c r="AK73" s="280"/>
      <c r="AL73" s="280"/>
      <c r="AM73" s="280"/>
      <c r="AN73" s="61"/>
      <c r="AO73" s="61"/>
      <c r="AP73" s="61"/>
      <c r="AQ73" s="61"/>
      <c r="AR73" s="61"/>
      <c r="AS73" s="280"/>
      <c r="AT73" s="280"/>
      <c r="AU73" s="280"/>
      <c r="AV73" s="280"/>
      <c r="AW73" s="280"/>
      <c r="AX73" s="61"/>
      <c r="AY73" s="61"/>
      <c r="AZ73" s="61"/>
      <c r="BA73" s="61"/>
      <c r="BB73" s="61"/>
      <c r="BC73" s="73"/>
      <c r="BF73" s="1170" t="s">
        <v>1088</v>
      </c>
    </row>
    <row customHeight="1" ht="14.625" hidden="1">
      <c r="E74" s="794">
        <v>15</v>
      </c>
      <c r="F74" s="919" cm="1" t="str">
        <f t="array" ref="F74:F74">F73</f>
        <v>0</v>
      </c>
      <c r="T74" s="816" cm="1" t="str">
        <f t="array" ref="T74:T74">T73</f>
        <v>false</v>
      </c>
      <c r="AB74" s="486" t="str">
        <f>AB70&amp;".4"</f>
        <v>4.4</v>
      </c>
      <c r="AC74" s="487" t="s">
        <v>1025</v>
      </c>
      <c r="AD74" s="486" t="s">
        <v>1019</v>
      </c>
      <c r="AE74" s="85">
        <f>SUM(AE75:AE79)</f>
        <v>0</v>
      </c>
      <c r="AF74" s="85">
        <f>SUM(AF75:AF79)</f>
        <v>0</v>
      </c>
      <c r="AG74" s="85">
        <f>SUM(AG75:AG79)</f>
        <v>0</v>
      </c>
      <c r="AH74" s="85">
        <f>SUM(AH75:AH79)</f>
        <v>0</v>
      </c>
      <c r="AI74" s="481">
        <f>SUM(AI75:AI79)</f>
        <v>0</v>
      </c>
      <c r="AJ74" s="481">
        <f>SUM(AJ75:AJ79)</f>
        <v>0</v>
      </c>
      <c r="AK74" s="481">
        <f>SUM(AK75:AK79)</f>
        <v>0</v>
      </c>
      <c r="AL74" s="481">
        <f>SUM(AL75:AL79)</f>
        <v>0</v>
      </c>
      <c r="AM74" s="481">
        <f>SUM(AM75:AM79)</f>
        <v>0</v>
      </c>
      <c r="AN74" s="85">
        <f>SUM(AN75:AN79)</f>
        <v>0</v>
      </c>
      <c r="AO74" s="85">
        <f>SUM(AO75:AO79)</f>
        <v>0</v>
      </c>
      <c r="AP74" s="85">
        <f>SUM(AP75:AP79)</f>
        <v>0</v>
      </c>
      <c r="AQ74" s="85">
        <f>SUM(AQ75:AQ79)</f>
        <v>0</v>
      </c>
      <c r="AR74" s="85">
        <f>SUM(AR75:AR79)</f>
        <v>0</v>
      </c>
      <c r="AS74" s="481">
        <f>SUM(AS75:AS79)</f>
        <v>0</v>
      </c>
      <c r="AT74" s="481">
        <f>SUM(AT75:AT79)</f>
        <v>0</v>
      </c>
      <c r="AU74" s="481">
        <f>SUM(AU75:AU79)</f>
        <v>0</v>
      </c>
      <c r="AV74" s="481">
        <f>SUM(AV75:AV79)</f>
        <v>0</v>
      </c>
      <c r="AW74" s="481">
        <f>SUM(AW75:AW79)</f>
        <v>0</v>
      </c>
      <c r="AX74" s="85">
        <f>SUM(AX75:AX79)</f>
        <v>0</v>
      </c>
      <c r="AY74" s="85">
        <f>SUM(AY75:AY79)</f>
        <v>0</v>
      </c>
      <c r="AZ74" s="85">
        <f>SUM(AZ75:AZ79)</f>
        <v>0</v>
      </c>
      <c r="BA74" s="85">
        <f>SUM(BA75:BA79)</f>
        <v>0</v>
      </c>
      <c r="BB74" s="85">
        <f>SUM(BB75:BB79)</f>
        <v>0</v>
      </c>
      <c r="BC74" s="73"/>
      <c r="BF74" s="1170" t="s">
        <v>1089</v>
      </c>
    </row>
    <row customHeight="1" ht="14.625" hidden="1">
      <c r="E75" s="794">
        <v>15</v>
      </c>
      <c r="F75" s="919" cm="1" t="str">
        <f t="array" ref="F75:F75">F74</f>
        <v>0</v>
      </c>
      <c r="T75" s="816" cm="1" t="str">
        <f t="array" ref="T75:T75">T74</f>
        <v>false</v>
      </c>
      <c r="AB75" s="486" t="str">
        <f>AB74&amp;".1"</f>
        <v>4.4.1</v>
      </c>
      <c r="AC75" s="488" t="s">
        <v>1028</v>
      </c>
      <c r="AD75" s="486" t="s">
        <v>1019</v>
      </c>
      <c r="AE75" s="61"/>
      <c r="AF75" s="61"/>
      <c r="AG75" s="61"/>
      <c r="AH75" s="61"/>
      <c r="AI75" s="280"/>
      <c r="AJ75" s="280"/>
      <c r="AK75" s="280"/>
      <c r="AL75" s="280"/>
      <c r="AM75" s="280"/>
      <c r="AN75" s="61"/>
      <c r="AO75" s="61"/>
      <c r="AP75" s="61"/>
      <c r="AQ75" s="61"/>
      <c r="AR75" s="61"/>
      <c r="AS75" s="280"/>
      <c r="AT75" s="280"/>
      <c r="AU75" s="280"/>
      <c r="AV75" s="280"/>
      <c r="AW75" s="280"/>
      <c r="AX75" s="61"/>
      <c r="AY75" s="61"/>
      <c r="AZ75" s="61"/>
      <c r="BA75" s="61"/>
      <c r="BB75" s="61"/>
      <c r="BC75" s="73"/>
      <c r="BF75" s="1170" t="s">
        <v>1090</v>
      </c>
    </row>
    <row customHeight="1" ht="14.625" hidden="1">
      <c r="E76" s="794">
        <v>15</v>
      </c>
      <c r="F76" s="919" cm="1" t="str">
        <f t="array" ref="F76:F76">F75</f>
        <v>0</v>
      </c>
      <c r="T76" s="816" cm="1" t="str">
        <f t="array" ref="T76:T76">T75</f>
        <v>false</v>
      </c>
      <c r="AB76" s="486" t="str">
        <f>AB74&amp;".2"</f>
        <v>4.4.2</v>
      </c>
      <c r="AC76" s="488" t="s">
        <v>1031</v>
      </c>
      <c r="AD76" s="486" t="s">
        <v>1019</v>
      </c>
      <c r="AE76" s="61"/>
      <c r="AF76" s="61"/>
      <c r="AG76" s="61"/>
      <c r="AH76" s="61"/>
      <c r="AI76" s="280"/>
      <c r="AJ76" s="280"/>
      <c r="AK76" s="280"/>
      <c r="AL76" s="280"/>
      <c r="AM76" s="280"/>
      <c r="AN76" s="61"/>
      <c r="AO76" s="61"/>
      <c r="AP76" s="61"/>
      <c r="AQ76" s="61"/>
      <c r="AR76" s="61"/>
      <c r="AS76" s="280"/>
      <c r="AT76" s="280"/>
      <c r="AU76" s="280"/>
      <c r="AV76" s="280"/>
      <c r="AW76" s="280"/>
      <c r="AX76" s="61"/>
      <c r="AY76" s="61"/>
      <c r="AZ76" s="61"/>
      <c r="BA76" s="61"/>
      <c r="BB76" s="61"/>
      <c r="BC76" s="73"/>
      <c r="BF76" s="1170" t="s">
        <v>1091</v>
      </c>
    </row>
    <row customHeight="1" ht="14.625" hidden="1">
      <c r="E77" s="794">
        <v>15</v>
      </c>
      <c r="F77" s="919" cm="1" t="str">
        <f t="array" ref="F77:F77">F76</f>
        <v>0</v>
      </c>
      <c r="T77" s="816" cm="1" t="str">
        <f t="array" ref="T77:T77">T76</f>
        <v>false</v>
      </c>
      <c r="AB77" s="486" t="str">
        <f>AB74&amp;".3"</f>
        <v>4.4.3</v>
      </c>
      <c r="AC77" s="488" t="s">
        <v>1034</v>
      </c>
      <c r="AD77" s="486" t="s">
        <v>1019</v>
      </c>
      <c r="AE77" s="61"/>
      <c r="AF77" s="61"/>
      <c r="AG77" s="61"/>
      <c r="AH77" s="61"/>
      <c r="AI77" s="280"/>
      <c r="AJ77" s="280"/>
      <c r="AK77" s="280"/>
      <c r="AL77" s="280"/>
      <c r="AM77" s="280"/>
      <c r="AN77" s="61"/>
      <c r="AO77" s="61"/>
      <c r="AP77" s="61"/>
      <c r="AQ77" s="61"/>
      <c r="AR77" s="61"/>
      <c r="AS77" s="280"/>
      <c r="AT77" s="280"/>
      <c r="AU77" s="280"/>
      <c r="AV77" s="280"/>
      <c r="AW77" s="280"/>
      <c r="AX77" s="61"/>
      <c r="AY77" s="61"/>
      <c r="AZ77" s="61"/>
      <c r="BA77" s="61"/>
      <c r="BB77" s="61"/>
      <c r="BC77" s="73"/>
      <c r="BF77" s="1170" t="s">
        <v>1092</v>
      </c>
    </row>
    <row customHeight="1" ht="14.625" hidden="1">
      <c r="E78" s="794">
        <v>15</v>
      </c>
      <c r="F78" s="919" cm="1" t="str">
        <f t="array" ref="F78:F78">F77</f>
        <v>0</v>
      </c>
      <c r="T78" s="816" cm="1" t="str">
        <f t="array" ref="T78:T78">T77</f>
        <v>false</v>
      </c>
      <c r="AB78" s="486" t="str">
        <f>AB74&amp;".4"</f>
        <v>4.4.4</v>
      </c>
      <c r="AC78" s="488" t="s">
        <v>1037</v>
      </c>
      <c r="AD78" s="486" t="s">
        <v>1019</v>
      </c>
      <c r="AE78" s="61"/>
      <c r="AF78" s="61"/>
      <c r="AG78" s="61"/>
      <c r="AH78" s="61"/>
      <c r="AI78" s="280"/>
      <c r="AJ78" s="280"/>
      <c r="AK78" s="280"/>
      <c r="AL78" s="280"/>
      <c r="AM78" s="280"/>
      <c r="AN78" s="61"/>
      <c r="AO78" s="61"/>
      <c r="AP78" s="61"/>
      <c r="AQ78" s="61"/>
      <c r="AR78" s="61"/>
      <c r="AS78" s="280"/>
      <c r="AT78" s="280"/>
      <c r="AU78" s="280"/>
      <c r="AV78" s="280"/>
      <c r="AW78" s="280"/>
      <c r="AX78" s="61"/>
      <c r="AY78" s="61"/>
      <c r="AZ78" s="61"/>
      <c r="BA78" s="61"/>
      <c r="BB78" s="61"/>
      <c r="BC78" s="73"/>
      <c r="BF78" s="1170" t="s">
        <v>1093</v>
      </c>
    </row>
    <row customHeight="1" ht="14.625" hidden="1">
      <c r="E79" s="794">
        <v>15</v>
      </c>
      <c r="F79" s="919" cm="1" t="str">
        <f t="array" ref="F79:F79">F78</f>
        <v>0</v>
      </c>
      <c r="T79" s="816" cm="1" t="str">
        <f t="array" ref="T79:T79">T78</f>
        <v>false</v>
      </c>
      <c r="AB79" s="486" t="str">
        <f>AB74&amp;".5"</f>
        <v>4.4.5</v>
      </c>
      <c r="AC79" s="488" t="s">
        <v>1040</v>
      </c>
      <c r="AD79" s="486" t="s">
        <v>1019</v>
      </c>
      <c r="AE79" s="61"/>
      <c r="AF79" s="61"/>
      <c r="AG79" s="61"/>
      <c r="AH79" s="61"/>
      <c r="AI79" s="280"/>
      <c r="AJ79" s="280"/>
      <c r="AK79" s="280"/>
      <c r="AL79" s="280"/>
      <c r="AM79" s="280"/>
      <c r="AN79" s="61"/>
      <c r="AO79" s="61"/>
      <c r="AP79" s="61"/>
      <c r="AQ79" s="61"/>
      <c r="AR79" s="61"/>
      <c r="AS79" s="280"/>
      <c r="AT79" s="280"/>
      <c r="AU79" s="280"/>
      <c r="AV79" s="280"/>
      <c r="AW79" s="280"/>
      <c r="AX79" s="61"/>
      <c r="AY79" s="61"/>
      <c r="AZ79" s="61"/>
      <c r="BA79" s="61"/>
      <c r="BB79" s="61"/>
      <c r="BC79" s="73"/>
      <c r="BF79" s="1170" t="s">
        <v>1094</v>
      </c>
    </row>
    <row customHeight="1" ht="14.625" hidden="1">
      <c r="E80" s="794">
        <v>15</v>
      </c>
      <c r="F80" s="919" cm="1" t="str">
        <f t="array" ref="F80:F80">F79</f>
        <v>0</v>
      </c>
      <c r="T80" s="816" cm="1" t="str">
        <f t="array" ref="T80:T80">T79</f>
        <v>false</v>
      </c>
      <c r="AB80" s="486" t="str">
        <f>AB70&amp;".5"</f>
        <v>4.5</v>
      </c>
      <c r="AC80" s="487" t="s">
        <v>1043</v>
      </c>
      <c r="AD80" s="486" t="s">
        <v>1019</v>
      </c>
      <c r="AE80" s="61"/>
      <c r="AF80" s="61"/>
      <c r="AG80" s="61"/>
      <c r="AH80" s="61"/>
      <c r="AI80" s="280"/>
      <c r="AJ80" s="280"/>
      <c r="AK80" s="280"/>
      <c r="AL80" s="280"/>
      <c r="AM80" s="280"/>
      <c r="AN80" s="61"/>
      <c r="AO80" s="61"/>
      <c r="AP80" s="61"/>
      <c r="AQ80" s="61"/>
      <c r="AR80" s="61"/>
      <c r="AS80" s="280"/>
      <c r="AT80" s="280"/>
      <c r="AU80" s="280"/>
      <c r="AV80" s="280"/>
      <c r="AW80" s="280"/>
      <c r="AX80" s="61"/>
      <c r="AY80" s="61"/>
      <c r="AZ80" s="61"/>
      <c r="BA80" s="61"/>
      <c r="BB80" s="61"/>
      <c r="BC80" s="73"/>
      <c r="BF80" s="1170" t="s">
        <v>1095</v>
      </c>
    </row>
    <row customHeight="1" ht="14.625" hidden="1">
      <c r="E81" s="794">
        <v>15</v>
      </c>
      <c r="F81" s="919" cm="1" t="str">
        <f t="array" ref="F81:F81">F80</f>
        <v>0</v>
      </c>
      <c r="T81" s="816" cm="1" t="str">
        <f t="array" ref="T81:T81">T80</f>
        <v>false</v>
      </c>
      <c r="AB81" s="486" t="str">
        <f>AB70&amp;".6"</f>
        <v>4.6</v>
      </c>
      <c r="AC81" s="487" t="s">
        <v>1046</v>
      </c>
      <c r="AD81" s="486" t="s">
        <v>1019</v>
      </c>
      <c r="AE81" s="61"/>
      <c r="AF81" s="61"/>
      <c r="AG81" s="61"/>
      <c r="AH81" s="61"/>
      <c r="AI81" s="280"/>
      <c r="AJ81" s="280"/>
      <c r="AK81" s="280"/>
      <c r="AL81" s="280"/>
      <c r="AM81" s="280"/>
      <c r="AN81" s="61"/>
      <c r="AO81" s="61"/>
      <c r="AP81" s="61"/>
      <c r="AQ81" s="61"/>
      <c r="AR81" s="61"/>
      <c r="AS81" s="280"/>
      <c r="AT81" s="280"/>
      <c r="AU81" s="280"/>
      <c r="AV81" s="280"/>
      <c r="AW81" s="280"/>
      <c r="AX81" s="61"/>
      <c r="AY81" s="61"/>
      <c r="AZ81" s="61"/>
      <c r="BA81" s="61"/>
      <c r="BB81" s="61"/>
      <c r="BC81" s="73"/>
      <c r="BF81" s="1170" t="s">
        <v>1096</v>
      </c>
    </row>
    <row customHeight="1" ht="14.625" hidden="1">
      <c r="E82" s="794">
        <v>15</v>
      </c>
      <c r="F82" s="919" cm="1" t="str">
        <f t="array" ref="F82:F82">F81</f>
        <v>0</v>
      </c>
      <c r="T82" s="816" cm="1" t="str">
        <f t="array" ref="T82:T82">T81</f>
        <v>false</v>
      </c>
      <c r="AB82" s="486" t="str">
        <f>AB70&amp;".7"</f>
        <v>4.7</v>
      </c>
      <c r="AC82" s="487" t="s">
        <v>1049</v>
      </c>
      <c r="AD82" s="486" t="s">
        <v>1019</v>
      </c>
      <c r="AE82" s="61"/>
      <c r="AF82" s="61"/>
      <c r="AG82" s="61"/>
      <c r="AH82" s="61"/>
      <c r="AI82" s="280"/>
      <c r="AJ82" s="280"/>
      <c r="AK82" s="280"/>
      <c r="AL82" s="280"/>
      <c r="AM82" s="280"/>
      <c r="AN82" s="61"/>
      <c r="AO82" s="61"/>
      <c r="AP82" s="61"/>
      <c r="AQ82" s="61"/>
      <c r="AR82" s="61"/>
      <c r="AS82" s="280"/>
      <c r="AT82" s="280"/>
      <c r="AU82" s="280"/>
      <c r="AV82" s="280"/>
      <c r="AW82" s="280"/>
      <c r="AX82" s="61"/>
      <c r="AY82" s="61"/>
      <c r="AZ82" s="61"/>
      <c r="BA82" s="61"/>
      <c r="BB82" s="61"/>
      <c r="BC82" s="73"/>
      <c r="BF82" s="1170" t="s">
        <v>1097</v>
      </c>
    </row>
    <row customHeight="1" ht="14.625" hidden="1">
      <c r="E83" s="794">
        <v>15</v>
      </c>
      <c r="F83" s="919" cm="1" t="str">
        <f t="array" ref="F83:F83">F82</f>
        <v>0</v>
      </c>
      <c r="T83" s="816" cm="1" t="str">
        <f t="array" ref="T83:T83">T82</f>
        <v>false</v>
      </c>
      <c r="AB83" s="486" t="str">
        <f>AB70&amp;".8"</f>
        <v>4.8</v>
      </c>
      <c r="AC83" s="487" t="s">
        <v>1052</v>
      </c>
      <c r="AD83" s="486" t="s">
        <v>1019</v>
      </c>
      <c r="AE83" s="61"/>
      <c r="AF83" s="61"/>
      <c r="AG83" s="61"/>
      <c r="AH83" s="61"/>
      <c r="AI83" s="280"/>
      <c r="AJ83" s="280"/>
      <c r="AK83" s="280"/>
      <c r="AL83" s="280"/>
      <c r="AM83" s="280"/>
      <c r="AN83" s="61"/>
      <c r="AO83" s="61"/>
      <c r="AP83" s="61"/>
      <c r="AQ83" s="61"/>
      <c r="AR83" s="61"/>
      <c r="AS83" s="280"/>
      <c r="AT83" s="280"/>
      <c r="AU83" s="280"/>
      <c r="AV83" s="280"/>
      <c r="AW83" s="280"/>
      <c r="AX83" s="61"/>
      <c r="AY83" s="61"/>
      <c r="AZ83" s="61"/>
      <c r="BA83" s="61"/>
      <c r="BB83" s="61"/>
      <c r="BC83" s="73"/>
      <c r="BF83" s="1170" t="s">
        <v>1098</v>
      </c>
    </row>
    <row s="214" customFormat="1" customHeight="1" ht="22.23" hidden="1">
      <c r="E84" s="794">
        <v>22.8</v>
      </c>
      <c r="F84" s="919" cm="1" t="str">
        <f t="array" ref="F84:F84">F83</f>
        <v>0</v>
      </c>
      <c r="T84" s="816" cm="1" t="str">
        <f t="array" ref="T84:T84">T83</f>
        <v>false</v>
      </c>
      <c r="AB84" s="277">
        <v>5</v>
      </c>
      <c r="AC84" s="278" t="s">
        <v>1099</v>
      </c>
      <c r="AD84" s="153" t="s">
        <v>805</v>
      </c>
      <c r="AE84" s="102">
        <f>SUM(AE85:AE88)+SUM(AE94:AE97)</f>
        <v>0</v>
      </c>
      <c r="AF84" s="102">
        <f>SUM(AF85:AF88)+SUM(AF94:AF97)</f>
        <v>0</v>
      </c>
      <c r="AG84" s="102">
        <f>SUM(AG85:AG88)+SUM(AG94:AG97)</f>
        <v>0</v>
      </c>
      <c r="AH84" s="102">
        <f>SUM(AH85:AH88)+SUM(AH94:AH97)</f>
        <v>0</v>
      </c>
      <c r="AI84" s="292">
        <f>SUM(AI85:AI88)+SUM(AI94:AI97)</f>
        <v>0</v>
      </c>
      <c r="AJ84" s="292">
        <f>SUM(AJ85:AJ88)+SUM(AJ94:AJ97)</f>
        <v>0</v>
      </c>
      <c r="AK84" s="292">
        <f>SUM(AK85:AK88)+SUM(AK94:AK97)</f>
        <v>0</v>
      </c>
      <c r="AL84" s="292">
        <f>SUM(AL85:AL88)+SUM(AL94:AL97)</f>
        <v>0</v>
      </c>
      <c r="AM84" s="292">
        <f>SUM(AM85:AM88)+SUM(AM94:AM97)</f>
        <v>0</v>
      </c>
      <c r="AN84" s="102">
        <f>SUM(AN85:AN88)+SUM(AN94:AN97)</f>
        <v>0</v>
      </c>
      <c r="AO84" s="102">
        <f>SUM(AO85:AO88)+SUM(AO94:AO97)</f>
        <v>0</v>
      </c>
      <c r="AP84" s="102">
        <f>SUM(AP85:AP88)+SUM(AP94:AP97)</f>
        <v>0</v>
      </c>
      <c r="AQ84" s="102">
        <f>SUM(AQ85:AQ88)+SUM(AQ94:AQ97)</f>
        <v>0</v>
      </c>
      <c r="AR84" s="102">
        <f>SUM(AR85:AR88)+SUM(AR94:AR97)</f>
        <v>0</v>
      </c>
      <c r="AS84" s="292">
        <f>SUM(AS85:AS88)+SUM(AS94:AS97)</f>
        <v>0</v>
      </c>
      <c r="AT84" s="292">
        <f>SUM(AT85:AT88)+SUM(AT94:AT97)</f>
        <v>0</v>
      </c>
      <c r="AU84" s="292">
        <f>SUM(AU85:AU88)+SUM(AU94:AU97)</f>
        <v>0</v>
      </c>
      <c r="AV84" s="292">
        <f>SUM(AV85:AV88)+SUM(AV94:AV97)</f>
        <v>0</v>
      </c>
      <c r="AW84" s="292">
        <f>SUM(AW85:AW88)+SUM(AW94:AW97)</f>
        <v>0</v>
      </c>
      <c r="AX84" s="102">
        <f>SUM(AX85:AX88)+SUM(AX94:AX97)</f>
        <v>0</v>
      </c>
      <c r="AY84" s="102">
        <f>SUM(AY85:AY88)+SUM(AY94:AY97)</f>
        <v>0</v>
      </c>
      <c r="AZ84" s="102">
        <f>SUM(AZ85:AZ88)+SUM(AZ94:AZ97)</f>
        <v>0</v>
      </c>
      <c r="BA84" s="102">
        <f>SUM(BA85:BA88)+SUM(BA94:BA97)</f>
        <v>0</v>
      </c>
      <c r="BB84" s="102">
        <f>SUM(BB85:BB88)+SUM(BB94:BB97)</f>
        <v>0</v>
      </c>
      <c r="BC84" s="73"/>
      <c r="BF84" s="1170" t="s">
        <v>1100</v>
      </c>
    </row>
    <row customHeight="1" ht="14.625" hidden="1">
      <c r="E85" s="794">
        <v>15</v>
      </c>
      <c r="F85" s="919" cm="1" t="str">
        <f t="array" ref="F85:F85">F84</f>
        <v>0</v>
      </c>
      <c r="T85" s="816" cm="1" t="str">
        <f t="array" ref="T85:T85">T84</f>
        <v>false</v>
      </c>
      <c r="AB85" s="477" t="str">
        <f>AB84&amp;".1"</f>
        <v>5.1</v>
      </c>
      <c r="AC85" s="469" t="s">
        <v>1018</v>
      </c>
      <c r="AD85" s="477" t="s">
        <v>1019</v>
      </c>
      <c r="AE85" s="85">
        <f>(AE29*2+AE43+AE57-AE71)/2</f>
        <v>0</v>
      </c>
      <c r="AF85" s="85">
        <f>(AF29*2+AF43+AF57-AF71)/2</f>
        <v>0</v>
      </c>
      <c r="AG85" s="85">
        <f>(AG29*2+AG43+AG57-AG71)/2</f>
        <v>0</v>
      </c>
      <c r="AH85" s="85">
        <f>(AH29*2+AH43+AH57-AH71)/2</f>
        <v>0</v>
      </c>
      <c r="AI85" s="481">
        <f>(AI29*2+AI43+AI57-AI71)/2</f>
        <v>0</v>
      </c>
      <c r="AJ85" s="481">
        <f>(AJ29*2+AJ43+AJ57-AJ71)/2</f>
        <v>0</v>
      </c>
      <c r="AK85" s="481">
        <f>(AK29*2+AK43+AK57-AK71)/2</f>
        <v>0</v>
      </c>
      <c r="AL85" s="481">
        <f>(AL29*2+AL43+AL57-AL71)/2</f>
        <v>0</v>
      </c>
      <c r="AM85" s="481">
        <f>(AM29*2+AM43+AM57-AM71)/2</f>
        <v>0</v>
      </c>
      <c r="AN85" s="85">
        <f>(AN29*2+AN43+AN57-AN71)/2</f>
        <v>0</v>
      </c>
      <c r="AO85" s="85">
        <f>(AO29*2+AO43+AO57-AO71)/2</f>
        <v>0</v>
      </c>
      <c r="AP85" s="85">
        <f>(AP29*2+AP43+AP57-AP71)/2</f>
        <v>0</v>
      </c>
      <c r="AQ85" s="85">
        <f>(AQ29*2+AQ43+AQ57-AQ71)/2</f>
        <v>0</v>
      </c>
      <c r="AR85" s="85">
        <f>(AR29*2+AR43+AR57-AR71)/2</f>
        <v>0</v>
      </c>
      <c r="AS85" s="481">
        <f>(AS29*2+AS43+AS57-AS71)/2</f>
        <v>0</v>
      </c>
      <c r="AT85" s="481">
        <f>(AT29*2+AT43+AT57-AT71)/2</f>
        <v>0</v>
      </c>
      <c r="AU85" s="481">
        <f>(AU29*2+AU43+AU57-AU71)/2</f>
        <v>0</v>
      </c>
      <c r="AV85" s="481">
        <f>(AV29*2+AV43+AV57-AV71)/2</f>
        <v>0</v>
      </c>
      <c r="AW85" s="481">
        <f>(AW29*2+AW43+AW57-AW71)/2</f>
        <v>0</v>
      </c>
      <c r="AX85" s="85">
        <f>(AX29*2+AX43+AX57-AX71)/2</f>
        <v>0</v>
      </c>
      <c r="AY85" s="85">
        <f>(AY29*2+AY43+AY57-AY71)/2</f>
        <v>0</v>
      </c>
      <c r="AZ85" s="85">
        <f>(AZ29*2+AZ43+AZ57-AZ71)/2</f>
        <v>0</v>
      </c>
      <c r="BA85" s="85">
        <f>(BA29*2+BA43+BA57-BA71)/2</f>
        <v>0</v>
      </c>
      <c r="BB85" s="85">
        <f>(BB29*2+BB43+BB57-BB71)/2</f>
        <v>0</v>
      </c>
      <c r="BC85" s="105"/>
      <c r="BF85" s="1170" t="s">
        <v>1101</v>
      </c>
    </row>
    <row customHeight="1" ht="14.625" hidden="1">
      <c r="E86" s="794">
        <v>15</v>
      </c>
      <c r="F86" s="919" cm="1" t="str">
        <f t="array" ref="F86:F86">F85</f>
        <v>0</v>
      </c>
      <c r="T86" s="816" cm="1" t="str">
        <f t="array" ref="T86:T86">T85</f>
        <v>false</v>
      </c>
      <c r="AB86" s="477" t="str">
        <f>AB84&amp;".2"</f>
        <v>5.2</v>
      </c>
      <c r="AC86" s="469" t="s">
        <v>1021</v>
      </c>
      <c r="AD86" s="477" t="s">
        <v>1019</v>
      </c>
      <c r="AE86" s="85">
        <f>(AE30*2+AE44+AE58-AE72)/2</f>
        <v>0</v>
      </c>
      <c r="AF86" s="85">
        <f>(AF30*2+AF44+AF58-AF72)/2</f>
        <v>0</v>
      </c>
      <c r="AG86" s="85">
        <f>(AG30*2+AG44+AG58-AG72)/2</f>
        <v>0</v>
      </c>
      <c r="AH86" s="85">
        <f>(AH30*2+AH44+AH58-AH72)/2</f>
        <v>0</v>
      </c>
      <c r="AI86" s="481">
        <f>(AI30*2+AI44+AI58-AI72)/2</f>
        <v>0</v>
      </c>
      <c r="AJ86" s="481">
        <f>(AJ30*2+AJ44+AJ58-AJ72)/2</f>
        <v>0</v>
      </c>
      <c r="AK86" s="481">
        <f>(AK30*2+AK44+AK58-AK72)/2</f>
        <v>0</v>
      </c>
      <c r="AL86" s="481">
        <f>(AL30*2+AL44+AL58-AL72)/2</f>
        <v>0</v>
      </c>
      <c r="AM86" s="481">
        <f>(AM30*2+AM44+AM58-AM72)/2</f>
        <v>0</v>
      </c>
      <c r="AN86" s="85">
        <f>(AN30*2+AN44+AN58-AN72)/2</f>
        <v>0</v>
      </c>
      <c r="AO86" s="85">
        <f>(AO30*2+AO44+AO58-AO72)/2</f>
        <v>0</v>
      </c>
      <c r="AP86" s="85">
        <f>(AP30*2+AP44+AP58-AP72)/2</f>
        <v>0</v>
      </c>
      <c r="AQ86" s="85">
        <f>(AQ30*2+AQ44+AQ58-AQ72)/2</f>
        <v>0</v>
      </c>
      <c r="AR86" s="85">
        <f>(AR30*2+AR44+AR58-AR72)/2</f>
        <v>0</v>
      </c>
      <c r="AS86" s="481">
        <f>(AS30*2+AS44+AS58-AS72)/2</f>
        <v>0</v>
      </c>
      <c r="AT86" s="481">
        <f>(AT30*2+AT44+AT58-AT72)/2</f>
        <v>0</v>
      </c>
      <c r="AU86" s="481">
        <f>(AU30*2+AU44+AU58-AU72)/2</f>
        <v>0</v>
      </c>
      <c r="AV86" s="481">
        <f>(AV30*2+AV44+AV58-AV72)/2</f>
        <v>0</v>
      </c>
      <c r="AW86" s="481">
        <f>(AW30*2+AW44+AW58-AW72)/2</f>
        <v>0</v>
      </c>
      <c r="AX86" s="85">
        <f>(AX30*2+AX44+AX58-AX72)/2</f>
        <v>0</v>
      </c>
      <c r="AY86" s="85">
        <f>(AY30*2+AY44+AY58-AY72)/2</f>
        <v>0</v>
      </c>
      <c r="AZ86" s="85">
        <f>(AZ30*2+AZ44+AZ58-AZ72)/2</f>
        <v>0</v>
      </c>
      <c r="BA86" s="85">
        <f>(BA30*2+BA44+BA58-BA72)/2</f>
        <v>0</v>
      </c>
      <c r="BB86" s="85">
        <f>(BB30*2+BB44+BB58-BB72)/2</f>
        <v>0</v>
      </c>
      <c r="BC86" s="105"/>
      <c r="BF86" s="1170" t="s">
        <v>1102</v>
      </c>
    </row>
    <row customHeight="1" ht="14.625" hidden="1">
      <c r="E87" s="794">
        <v>15</v>
      </c>
      <c r="F87" s="919" cm="1" t="str">
        <f t="array" ref="F87:F87">F86</f>
        <v>0</v>
      </c>
      <c r="T87" s="816" cm="1" t="str">
        <f t="array" ref="T87:T87">T86</f>
        <v>false</v>
      </c>
      <c r="AB87" s="477" t="str">
        <f>AB84&amp;".3"</f>
        <v>5.3</v>
      </c>
      <c r="AC87" s="469" t="s">
        <v>1023</v>
      </c>
      <c r="AD87" s="477" t="s">
        <v>1019</v>
      </c>
      <c r="AE87" s="85">
        <f>(AE31*2+AE45+AE59-AE73)/2</f>
        <v>0</v>
      </c>
      <c r="AF87" s="85">
        <f>(AF31*2+AF45+AF59-AF73)/2</f>
        <v>0</v>
      </c>
      <c r="AG87" s="85">
        <f>(AG31*2+AG45+AG59-AG73)/2</f>
        <v>0</v>
      </c>
      <c r="AH87" s="85">
        <f>(AH31*2+AH45+AH59-AH73)/2</f>
        <v>0</v>
      </c>
      <c r="AI87" s="481">
        <f>(AI31*2+AI45+AI59-AI73)/2</f>
        <v>0</v>
      </c>
      <c r="AJ87" s="481">
        <f>(AJ31*2+AJ45+AJ59-AJ73)/2</f>
        <v>0</v>
      </c>
      <c r="AK87" s="481">
        <f>(AK31*2+AK45+AK59-AK73)/2</f>
        <v>0</v>
      </c>
      <c r="AL87" s="481">
        <f>(AL31*2+AL45+AL59-AL73)/2</f>
        <v>0</v>
      </c>
      <c r="AM87" s="481">
        <f>(AM31*2+AM45+AM59-AM73)/2</f>
        <v>0</v>
      </c>
      <c r="AN87" s="85">
        <f>(AN31*2+AN45+AN59-AN73)/2</f>
        <v>0</v>
      </c>
      <c r="AO87" s="85">
        <f>(AO31*2+AO45+AO59-AO73)/2</f>
        <v>0</v>
      </c>
      <c r="AP87" s="85">
        <f>(AP31*2+AP45+AP59-AP73)/2</f>
        <v>0</v>
      </c>
      <c r="AQ87" s="85">
        <f>(AQ31*2+AQ45+AQ59-AQ73)/2</f>
        <v>0</v>
      </c>
      <c r="AR87" s="85">
        <f>(AR31*2+AR45+AR59-AR73)/2</f>
        <v>0</v>
      </c>
      <c r="AS87" s="481">
        <f>(AS31*2+AS45+AS59-AS73)/2</f>
        <v>0</v>
      </c>
      <c r="AT87" s="481">
        <f>(AT31*2+AT45+AT59-AT73)/2</f>
        <v>0</v>
      </c>
      <c r="AU87" s="481">
        <f>(AU31*2+AU45+AU59-AU73)/2</f>
        <v>0</v>
      </c>
      <c r="AV87" s="481">
        <f>(AV31*2+AV45+AV59-AV73)/2</f>
        <v>0</v>
      </c>
      <c r="AW87" s="481">
        <f>(AW31*2+AW45+AW59-AW73)/2</f>
        <v>0</v>
      </c>
      <c r="AX87" s="85">
        <f>(AX31*2+AX45+AX59-AX73)/2</f>
        <v>0</v>
      </c>
      <c r="AY87" s="85">
        <f>(AY31*2+AY45+AY59-AY73)/2</f>
        <v>0</v>
      </c>
      <c r="AZ87" s="85">
        <f>(AZ31*2+AZ45+AZ59-AZ73)/2</f>
        <v>0</v>
      </c>
      <c r="BA87" s="85">
        <f>(BA31*2+BA45+BA59-BA73)/2</f>
        <v>0</v>
      </c>
      <c r="BB87" s="85">
        <f>(BB31*2+BB45+BB59-BB73)/2</f>
        <v>0</v>
      </c>
      <c r="BC87" s="105"/>
      <c r="BF87" s="1170" t="s">
        <v>1103</v>
      </c>
    </row>
    <row customHeight="1" ht="14.625" hidden="1">
      <c r="E88" s="794">
        <v>15</v>
      </c>
      <c r="F88" s="919" cm="1" t="str">
        <f t="array" ref="F88:F88">F87</f>
        <v>0</v>
      </c>
      <c r="T88" s="816" cm="1" t="str">
        <f t="array" ref="T88:T88">T87</f>
        <v>false</v>
      </c>
      <c r="AB88" s="477" t="str">
        <f>AB84&amp;".4"</f>
        <v>5.4</v>
      </c>
      <c r="AC88" s="469" t="s">
        <v>1025</v>
      </c>
      <c r="AD88" s="477" t="s">
        <v>1019</v>
      </c>
      <c r="AE88" s="85">
        <f>SUM(AE89:AE93)</f>
        <v>0</v>
      </c>
      <c r="AF88" s="85">
        <f>SUM(AF89:AF93)</f>
        <v>0</v>
      </c>
      <c r="AG88" s="85">
        <f>SUM(AG89:AG93)</f>
        <v>0</v>
      </c>
      <c r="AH88" s="85">
        <f>SUM(AH89:AH93)</f>
        <v>0</v>
      </c>
      <c r="AI88" s="481">
        <f>SUM(AI89:AI93)</f>
        <v>0</v>
      </c>
      <c r="AJ88" s="481">
        <f>SUM(AJ89:AJ93)</f>
        <v>0</v>
      </c>
      <c r="AK88" s="481">
        <f>SUM(AK89:AK93)</f>
        <v>0</v>
      </c>
      <c r="AL88" s="481">
        <f>SUM(AL89:AL93)</f>
        <v>0</v>
      </c>
      <c r="AM88" s="481">
        <f>SUM(AM89:AM93)</f>
        <v>0</v>
      </c>
      <c r="AN88" s="85">
        <f>SUM(AN89:AN93)</f>
        <v>0</v>
      </c>
      <c r="AO88" s="85">
        <f>SUM(AO89:AO93)</f>
        <v>0</v>
      </c>
      <c r="AP88" s="85">
        <f>SUM(AP89:AP93)</f>
        <v>0</v>
      </c>
      <c r="AQ88" s="85">
        <f>SUM(AQ89:AQ93)</f>
        <v>0</v>
      </c>
      <c r="AR88" s="85">
        <f>SUM(AR89:AR93)</f>
        <v>0</v>
      </c>
      <c r="AS88" s="481">
        <f>SUM(AS89:AS93)</f>
        <v>0</v>
      </c>
      <c r="AT88" s="481">
        <f>SUM(AT89:AT93)</f>
        <v>0</v>
      </c>
      <c r="AU88" s="481">
        <f>SUM(AU89:AU93)</f>
        <v>0</v>
      </c>
      <c r="AV88" s="481">
        <f>SUM(AV89:AV93)</f>
        <v>0</v>
      </c>
      <c r="AW88" s="481">
        <f>SUM(AW89:AW93)</f>
        <v>0</v>
      </c>
      <c r="AX88" s="85">
        <f>SUM(AX89:AX93)</f>
        <v>0</v>
      </c>
      <c r="AY88" s="85">
        <f>SUM(AY89:AY93)</f>
        <v>0</v>
      </c>
      <c r="AZ88" s="85">
        <f>SUM(AZ89:AZ93)</f>
        <v>0</v>
      </c>
      <c r="BA88" s="85">
        <f>SUM(BA89:BA93)</f>
        <v>0</v>
      </c>
      <c r="BB88" s="85">
        <f>SUM(BB89:BB93)</f>
        <v>0</v>
      </c>
      <c r="BC88" s="105"/>
      <c r="BF88" s="1170" t="s">
        <v>1104</v>
      </c>
    </row>
    <row customHeight="1" ht="14.625" hidden="1">
      <c r="E89" s="794">
        <v>15</v>
      </c>
      <c r="F89" s="919" cm="1" t="str">
        <f t="array" ref="F89:F89">F88</f>
        <v>0</v>
      </c>
      <c r="T89" s="816" cm="1" t="str">
        <f t="array" ref="T89:T89">T88</f>
        <v>false</v>
      </c>
      <c r="AB89" s="477" t="str">
        <f>AB88&amp;".1"</f>
        <v>5.4.1</v>
      </c>
      <c r="AC89" s="527" t="s">
        <v>1028</v>
      </c>
      <c r="AD89" s="477" t="s">
        <v>1019</v>
      </c>
      <c r="AE89" s="85">
        <f>(AE33*2+AE47+AE61-AE75)/2</f>
        <v>0</v>
      </c>
      <c r="AF89" s="85">
        <f>(AF33*2+AF47+AF61-AF75)/2</f>
        <v>0</v>
      </c>
      <c r="AG89" s="85">
        <f>(AG33*2+AG47+AG61-AG75)/2</f>
        <v>0</v>
      </c>
      <c r="AH89" s="85">
        <f>(AH33*2+AH47+AH61-AH75)/2</f>
        <v>0</v>
      </c>
      <c r="AI89" s="481">
        <f>(AI33*2+AI47+AI61-AI75)/2</f>
        <v>0</v>
      </c>
      <c r="AJ89" s="481">
        <f>(AJ33*2+AJ47+AJ61-AJ75)/2</f>
        <v>0</v>
      </c>
      <c r="AK89" s="481">
        <f>(AK33*2+AK47+AK61-AK75)/2</f>
        <v>0</v>
      </c>
      <c r="AL89" s="481">
        <f>(AL33*2+AL47+AL61-AL75)/2</f>
        <v>0</v>
      </c>
      <c r="AM89" s="481">
        <f>(AM33*2+AM47+AM61-AM75)/2</f>
        <v>0</v>
      </c>
      <c r="AN89" s="85">
        <f>(AN33*2+AN47+AN61-AN75)/2</f>
        <v>0</v>
      </c>
      <c r="AO89" s="85">
        <f>(AO33*2+AO47+AO61-AO75)/2</f>
        <v>0</v>
      </c>
      <c r="AP89" s="85">
        <f>(AP33*2+AP47+AP61-AP75)/2</f>
        <v>0</v>
      </c>
      <c r="AQ89" s="85">
        <f>(AQ33*2+AQ47+AQ61-AQ75)/2</f>
        <v>0</v>
      </c>
      <c r="AR89" s="85">
        <f>(AR33*2+AR47+AR61-AR75)/2</f>
        <v>0</v>
      </c>
      <c r="AS89" s="481">
        <f>(AS33*2+AS47+AS61-AS75)/2</f>
        <v>0</v>
      </c>
      <c r="AT89" s="481">
        <f>(AT33*2+AT47+AT61-AT75)/2</f>
        <v>0</v>
      </c>
      <c r="AU89" s="481">
        <f>(AU33*2+AU47+AU61-AU75)/2</f>
        <v>0</v>
      </c>
      <c r="AV89" s="481">
        <f>(AV33*2+AV47+AV61-AV75)/2</f>
        <v>0</v>
      </c>
      <c r="AW89" s="481">
        <f>(AW33*2+AW47+AW61-AW75)/2</f>
        <v>0</v>
      </c>
      <c r="AX89" s="85">
        <f>(AX33*2+AX47+AX61-AX75)/2</f>
        <v>0</v>
      </c>
      <c r="AY89" s="85">
        <f>(AY33*2+AY47+AY61-AY75)/2</f>
        <v>0</v>
      </c>
      <c r="AZ89" s="85">
        <f>(AZ33*2+AZ47+AZ61-AZ75)/2</f>
        <v>0</v>
      </c>
      <c r="BA89" s="85">
        <f>(BA33*2+BA47+BA61-BA75)/2</f>
        <v>0</v>
      </c>
      <c r="BB89" s="85">
        <f>(BB33*2+BB47+BB61-BB75)/2</f>
        <v>0</v>
      </c>
      <c r="BC89" s="105"/>
      <c r="BF89" s="1170" t="s">
        <v>1105</v>
      </c>
    </row>
    <row customHeight="1" ht="14.625" hidden="1">
      <c r="E90" s="794">
        <v>15</v>
      </c>
      <c r="F90" s="919" cm="1" t="str">
        <f t="array" ref="F90:F90">F89</f>
        <v>0</v>
      </c>
      <c r="T90" s="816" cm="1" t="str">
        <f t="array" ref="T90:T90">T89</f>
        <v>false</v>
      </c>
      <c r="AB90" s="477" t="str">
        <f>AB88&amp;".2"</f>
        <v>5.4.2</v>
      </c>
      <c r="AC90" s="527" t="s">
        <v>1031</v>
      </c>
      <c r="AD90" s="477" t="s">
        <v>1019</v>
      </c>
      <c r="AE90" s="85">
        <f>(AE34*2+AE48+AE62-AE76)/2</f>
        <v>0</v>
      </c>
      <c r="AF90" s="85">
        <f>(AF34*2+AF48+AF62-AF76)/2</f>
        <v>0</v>
      </c>
      <c r="AG90" s="85">
        <f>(AG34*2+AG48+AG62-AG76)/2</f>
        <v>0</v>
      </c>
      <c r="AH90" s="85">
        <f>(AH34*2+AH48+AH62-AH76)/2</f>
        <v>0</v>
      </c>
      <c r="AI90" s="481">
        <f>(AI34*2+AI48+AI62-AI76)/2</f>
        <v>0</v>
      </c>
      <c r="AJ90" s="481">
        <f>(AJ34*2+AJ48+AJ62-AJ76)/2</f>
        <v>0</v>
      </c>
      <c r="AK90" s="481">
        <f>(AK34*2+AK48+AK62-AK76)/2</f>
        <v>0</v>
      </c>
      <c r="AL90" s="481">
        <f>(AL34*2+AL48+AL62-AL76)/2</f>
        <v>0</v>
      </c>
      <c r="AM90" s="481">
        <f>(AM34*2+AM48+AM62-AM76)/2</f>
        <v>0</v>
      </c>
      <c r="AN90" s="85">
        <f>(AN34*2+AN48+AN62-AN76)/2</f>
        <v>0</v>
      </c>
      <c r="AO90" s="85">
        <f>(AO34*2+AO48+AO62-AO76)/2</f>
        <v>0</v>
      </c>
      <c r="AP90" s="85">
        <f>(AP34*2+AP48+AP62-AP76)/2</f>
        <v>0</v>
      </c>
      <c r="AQ90" s="85">
        <f>(AQ34*2+AQ48+AQ62-AQ76)/2</f>
        <v>0</v>
      </c>
      <c r="AR90" s="85">
        <f>(AR34*2+AR48+AR62-AR76)/2</f>
        <v>0</v>
      </c>
      <c r="AS90" s="481">
        <f>(AS34*2+AS48+AS62-AS76)/2</f>
        <v>0</v>
      </c>
      <c r="AT90" s="481">
        <f>(AT34*2+AT48+AT62-AT76)/2</f>
        <v>0</v>
      </c>
      <c r="AU90" s="481">
        <f>(AU34*2+AU48+AU62-AU76)/2</f>
        <v>0</v>
      </c>
      <c r="AV90" s="481">
        <f>(AV34*2+AV48+AV62-AV76)/2</f>
        <v>0</v>
      </c>
      <c r="AW90" s="481">
        <f>(AW34*2+AW48+AW62-AW76)/2</f>
        <v>0</v>
      </c>
      <c r="AX90" s="85">
        <f>(AX34*2+AX48+AX62-AX76)/2</f>
        <v>0</v>
      </c>
      <c r="AY90" s="85">
        <f>(AY34*2+AY48+AY62-AY76)/2</f>
        <v>0</v>
      </c>
      <c r="AZ90" s="85">
        <f>(AZ34*2+AZ48+AZ62-AZ76)/2</f>
        <v>0</v>
      </c>
      <c r="BA90" s="85">
        <f>(BA34*2+BA48+BA62-BA76)/2</f>
        <v>0</v>
      </c>
      <c r="BB90" s="85">
        <f>(BB34*2+BB48+BB62-BB76)/2</f>
        <v>0</v>
      </c>
      <c r="BC90" s="105"/>
      <c r="BF90" s="1170" t="s">
        <v>1106</v>
      </c>
    </row>
    <row customHeight="1" ht="14.625" hidden="1">
      <c r="E91" s="794">
        <v>15</v>
      </c>
      <c r="F91" s="919" cm="1" t="str">
        <f t="array" ref="F91:F91">F90</f>
        <v>0</v>
      </c>
      <c r="T91" s="816" cm="1" t="str">
        <f t="array" ref="T91:T91">T90</f>
        <v>false</v>
      </c>
      <c r="AB91" s="477" t="str">
        <f>AB88&amp;".3"</f>
        <v>5.4.3</v>
      </c>
      <c r="AC91" s="527" t="s">
        <v>1034</v>
      </c>
      <c r="AD91" s="477" t="s">
        <v>1019</v>
      </c>
      <c r="AE91" s="85">
        <f>(AE35*2+AE49+AE63-AE77)/2</f>
        <v>0</v>
      </c>
      <c r="AF91" s="85">
        <f>(AF35*2+AF49+AF63-AF77)/2</f>
        <v>0</v>
      </c>
      <c r="AG91" s="85">
        <f>(AG35*2+AG49+AG63-AG77)/2</f>
        <v>0</v>
      </c>
      <c r="AH91" s="85">
        <f>(AH35*2+AH49+AH63-AH77)/2</f>
        <v>0</v>
      </c>
      <c r="AI91" s="481">
        <f>(AI35*2+AI49+AI63-AI77)/2</f>
        <v>0</v>
      </c>
      <c r="AJ91" s="481">
        <f>(AJ35*2+AJ49+AJ63-AJ77)/2</f>
        <v>0</v>
      </c>
      <c r="AK91" s="481">
        <f>(AK35*2+AK49+AK63-AK77)/2</f>
        <v>0</v>
      </c>
      <c r="AL91" s="481">
        <f>(AL35*2+AL49+AL63-AL77)/2</f>
        <v>0</v>
      </c>
      <c r="AM91" s="481">
        <f>(AM35*2+AM49+AM63-AM77)/2</f>
        <v>0</v>
      </c>
      <c r="AN91" s="85">
        <f>(AN35*2+AN49+AN63-AN77)/2</f>
        <v>0</v>
      </c>
      <c r="AO91" s="85">
        <f>(AO35*2+AO49+AO63-AO77)/2</f>
        <v>0</v>
      </c>
      <c r="AP91" s="85">
        <f>(AP35*2+AP49+AP63-AP77)/2</f>
        <v>0</v>
      </c>
      <c r="AQ91" s="85">
        <f>(AQ35*2+AQ49+AQ63-AQ77)/2</f>
        <v>0</v>
      </c>
      <c r="AR91" s="85">
        <f>(AR35*2+AR49+AR63-AR77)/2</f>
        <v>0</v>
      </c>
      <c r="AS91" s="481">
        <f>(AS35*2+AS49+AS63-AS77)/2</f>
        <v>0</v>
      </c>
      <c r="AT91" s="481">
        <f>(AT35*2+AT49+AT63-AT77)/2</f>
        <v>0</v>
      </c>
      <c r="AU91" s="481">
        <f>(AU35*2+AU49+AU63-AU77)/2</f>
        <v>0</v>
      </c>
      <c r="AV91" s="481">
        <f>(AV35*2+AV49+AV63-AV77)/2</f>
        <v>0</v>
      </c>
      <c r="AW91" s="481">
        <f>(AW35*2+AW49+AW63-AW77)/2</f>
        <v>0</v>
      </c>
      <c r="AX91" s="85">
        <f>(AX35*2+AX49+AX63-AX77)/2</f>
        <v>0</v>
      </c>
      <c r="AY91" s="85">
        <f>(AY35*2+AY49+AY63-AY77)/2</f>
        <v>0</v>
      </c>
      <c r="AZ91" s="85">
        <f>(AZ35*2+AZ49+AZ63-AZ77)/2</f>
        <v>0</v>
      </c>
      <c r="BA91" s="85">
        <f>(BA35*2+BA49+BA63-BA77)/2</f>
        <v>0</v>
      </c>
      <c r="BB91" s="85">
        <f>(BB35*2+BB49+BB63-BB77)/2</f>
        <v>0</v>
      </c>
      <c r="BC91" s="105"/>
      <c r="BF91" s="1170" t="s">
        <v>1107</v>
      </c>
    </row>
    <row customHeight="1" ht="14.625" hidden="1">
      <c r="E92" s="794">
        <v>15</v>
      </c>
      <c r="F92" s="919" cm="1" t="str">
        <f t="array" ref="F92:F92">F91</f>
        <v>0</v>
      </c>
      <c r="T92" s="816" cm="1" t="str">
        <f t="array" ref="T92:T92">T91</f>
        <v>false</v>
      </c>
      <c r="AB92" s="477" t="str">
        <f>AB88&amp;".4"</f>
        <v>5.4.4</v>
      </c>
      <c r="AC92" s="527" t="s">
        <v>1037</v>
      </c>
      <c r="AD92" s="477" t="s">
        <v>1019</v>
      </c>
      <c r="AE92" s="85">
        <f>(AE36*2+AE50+AE64-AE78)/2</f>
        <v>0</v>
      </c>
      <c r="AF92" s="85">
        <f>(AF36*2+AF50+AF64-AF78)/2</f>
        <v>0</v>
      </c>
      <c r="AG92" s="85">
        <f>(AG36*2+AG50+AG64-AG78)/2</f>
        <v>0</v>
      </c>
      <c r="AH92" s="85">
        <f>(AH36*2+AH50+AH64-AH78)/2</f>
        <v>0</v>
      </c>
      <c r="AI92" s="481">
        <f>(AI36*2+AI50+AI64-AI78)/2</f>
        <v>0</v>
      </c>
      <c r="AJ92" s="481">
        <f>(AJ36*2+AJ50+AJ64-AJ78)/2</f>
        <v>0</v>
      </c>
      <c r="AK92" s="481">
        <f>(AK36*2+AK50+AK64-AK78)/2</f>
        <v>0</v>
      </c>
      <c r="AL92" s="481">
        <f>(AL36*2+AL50+AL64-AL78)/2</f>
        <v>0</v>
      </c>
      <c r="AM92" s="481">
        <f>(AM36*2+AM50+AM64-AM78)/2</f>
        <v>0</v>
      </c>
      <c r="AN92" s="85">
        <f>(AN36*2+AN50+AN64-AN78)/2</f>
        <v>0</v>
      </c>
      <c r="AO92" s="85">
        <f>(AO36*2+AO50+AO64-AO78)/2</f>
        <v>0</v>
      </c>
      <c r="AP92" s="85">
        <f>(AP36*2+AP50+AP64-AP78)/2</f>
        <v>0</v>
      </c>
      <c r="AQ92" s="85">
        <f>(AQ36*2+AQ50+AQ64-AQ78)/2</f>
        <v>0</v>
      </c>
      <c r="AR92" s="85">
        <f>(AR36*2+AR50+AR64-AR78)/2</f>
        <v>0</v>
      </c>
      <c r="AS92" s="481">
        <f>(AS36*2+AS50+AS64-AS78)/2</f>
        <v>0</v>
      </c>
      <c r="AT92" s="481">
        <f>(AT36*2+AT50+AT64-AT78)/2</f>
        <v>0</v>
      </c>
      <c r="AU92" s="481">
        <f>(AU36*2+AU50+AU64-AU78)/2</f>
        <v>0</v>
      </c>
      <c r="AV92" s="481">
        <f>(AV36*2+AV50+AV64-AV78)/2</f>
        <v>0</v>
      </c>
      <c r="AW92" s="481">
        <f>(AW36*2+AW50+AW64-AW78)/2</f>
        <v>0</v>
      </c>
      <c r="AX92" s="85">
        <f>(AX36*2+AX50+AX64-AX78)/2</f>
        <v>0</v>
      </c>
      <c r="AY92" s="85">
        <f>(AY36*2+AY50+AY64-AY78)/2</f>
        <v>0</v>
      </c>
      <c r="AZ92" s="85">
        <f>(AZ36*2+AZ50+AZ64-AZ78)/2</f>
        <v>0</v>
      </c>
      <c r="BA92" s="85">
        <f>(BA36*2+BA50+BA64-BA78)/2</f>
        <v>0</v>
      </c>
      <c r="BB92" s="85">
        <f>(BB36*2+BB50+BB64-BB78)/2</f>
        <v>0</v>
      </c>
      <c r="BC92" s="105"/>
      <c r="BF92" s="1170" t="s">
        <v>1108</v>
      </c>
    </row>
    <row customHeight="1" ht="14.625" hidden="1">
      <c r="E93" s="794">
        <v>15</v>
      </c>
      <c r="F93" s="919" cm="1" t="str">
        <f t="array" ref="F93:F93">F92</f>
        <v>0</v>
      </c>
      <c r="T93" s="816" cm="1" t="str">
        <f t="array" ref="T93:T93">T92</f>
        <v>false</v>
      </c>
      <c r="AB93" s="477" t="str">
        <f>AB88&amp;".5"</f>
        <v>5.4.5</v>
      </c>
      <c r="AC93" s="527" t="s">
        <v>1040</v>
      </c>
      <c r="AD93" s="477" t="s">
        <v>1019</v>
      </c>
      <c r="AE93" s="85">
        <f>(AE37*2+AE51+AE65-AE79)/2</f>
        <v>0</v>
      </c>
      <c r="AF93" s="85">
        <f>(AF37*2+AF51+AF65-AF79)/2</f>
        <v>0</v>
      </c>
      <c r="AG93" s="85">
        <f>(AG37*2+AG51+AG65-AG79)/2</f>
        <v>0</v>
      </c>
      <c r="AH93" s="85">
        <f>(AH37*2+AH51+AH65-AH79)/2</f>
        <v>0</v>
      </c>
      <c r="AI93" s="481">
        <f>(AI37*2+AI51+AI65-AI79)/2</f>
        <v>0</v>
      </c>
      <c r="AJ93" s="481">
        <f>(AJ37*2+AJ51+AJ65-AJ79)/2</f>
        <v>0</v>
      </c>
      <c r="AK93" s="481">
        <f>(AK37*2+AK51+AK65-AK79)/2</f>
        <v>0</v>
      </c>
      <c r="AL93" s="481">
        <f>(AL37*2+AL51+AL65-AL79)/2</f>
        <v>0</v>
      </c>
      <c r="AM93" s="481">
        <f>(AM37*2+AM51+AM65-AM79)/2</f>
        <v>0</v>
      </c>
      <c r="AN93" s="85">
        <f>(AN37*2+AN51+AN65-AN79)/2</f>
        <v>0</v>
      </c>
      <c r="AO93" s="85">
        <f>(AO37*2+AO51+AO65-AO79)/2</f>
        <v>0</v>
      </c>
      <c r="AP93" s="85">
        <f>(AP37*2+AP51+AP65-AP79)/2</f>
        <v>0</v>
      </c>
      <c r="AQ93" s="85">
        <f>(AQ37*2+AQ51+AQ65-AQ79)/2</f>
        <v>0</v>
      </c>
      <c r="AR93" s="85">
        <f>(AR37*2+AR51+AR65-AR79)/2</f>
        <v>0</v>
      </c>
      <c r="AS93" s="481">
        <f>(AS37*2+AS51+AS65-AS79)/2</f>
        <v>0</v>
      </c>
      <c r="AT93" s="481">
        <f>(AT37*2+AT51+AT65-AT79)/2</f>
        <v>0</v>
      </c>
      <c r="AU93" s="481">
        <f>(AU37*2+AU51+AU65-AU79)/2</f>
        <v>0</v>
      </c>
      <c r="AV93" s="481">
        <f>(AV37*2+AV51+AV65-AV79)/2</f>
        <v>0</v>
      </c>
      <c r="AW93" s="481">
        <f>(AW37*2+AW51+AW65-AW79)/2</f>
        <v>0</v>
      </c>
      <c r="AX93" s="85">
        <f>(AX37*2+AX51+AX65-AX79)/2</f>
        <v>0</v>
      </c>
      <c r="AY93" s="85">
        <f>(AY37*2+AY51+AY65-AY79)/2</f>
        <v>0</v>
      </c>
      <c r="AZ93" s="85">
        <f>(AZ37*2+AZ51+AZ65-AZ79)/2</f>
        <v>0</v>
      </c>
      <c r="BA93" s="85">
        <f>(BA37*2+BA51+BA65-BA79)/2</f>
        <v>0</v>
      </c>
      <c r="BB93" s="85">
        <f>(BB37*2+BB51+BB65-BB79)/2</f>
        <v>0</v>
      </c>
      <c r="BC93" s="105"/>
      <c r="BF93" s="1170" t="s">
        <v>1109</v>
      </c>
    </row>
    <row customHeight="1" ht="14.625" hidden="1">
      <c r="E94" s="794">
        <v>15</v>
      </c>
      <c r="F94" s="919" cm="1" t="str">
        <f t="array" ref="F94:F94">F93</f>
        <v>0</v>
      </c>
      <c r="T94" s="816" cm="1" t="str">
        <f t="array" ref="T94:T94">T93</f>
        <v>false</v>
      </c>
      <c r="AB94" s="477" t="str">
        <f>AB84&amp;".5"</f>
        <v>5.5</v>
      </c>
      <c r="AC94" s="469" t="s">
        <v>1043</v>
      </c>
      <c r="AD94" s="477" t="s">
        <v>1019</v>
      </c>
      <c r="AE94" s="85">
        <f>(AE38*2+AE52+AE66-AE80)/2</f>
        <v>0</v>
      </c>
      <c r="AF94" s="85">
        <f>(AF38*2+AF52+AF66-AF80)/2</f>
        <v>0</v>
      </c>
      <c r="AG94" s="85">
        <f>(AG38*2+AG52+AG66-AG80)/2</f>
        <v>0</v>
      </c>
      <c r="AH94" s="85">
        <f>(AH38*2+AH52+AH66-AH80)/2</f>
        <v>0</v>
      </c>
      <c r="AI94" s="481">
        <f>(AI38*2+AI52+AI66-AI80)/2</f>
        <v>0</v>
      </c>
      <c r="AJ94" s="481">
        <f>(AJ38*2+AJ52+AJ66-AJ80)/2</f>
        <v>0</v>
      </c>
      <c r="AK94" s="481">
        <f>(AK38*2+AK52+AK66-AK80)/2</f>
        <v>0</v>
      </c>
      <c r="AL94" s="481">
        <f>(AL38*2+AL52+AL66-AL80)/2</f>
        <v>0</v>
      </c>
      <c r="AM94" s="481">
        <f>(AM38*2+AM52+AM66-AM80)/2</f>
        <v>0</v>
      </c>
      <c r="AN94" s="85">
        <f>(AN38*2+AN52+AN66-AN80)/2</f>
        <v>0</v>
      </c>
      <c r="AO94" s="85">
        <f>(AO38*2+AO52+AO66-AO80)/2</f>
        <v>0</v>
      </c>
      <c r="AP94" s="85">
        <f>(AP38*2+AP52+AP66-AP80)/2</f>
        <v>0</v>
      </c>
      <c r="AQ94" s="85">
        <f>(AQ38*2+AQ52+AQ66-AQ80)/2</f>
        <v>0</v>
      </c>
      <c r="AR94" s="85">
        <f>(AR38*2+AR52+AR66-AR80)/2</f>
        <v>0</v>
      </c>
      <c r="AS94" s="481">
        <f>(AS38*2+AS52+AS66-AS80)/2</f>
        <v>0</v>
      </c>
      <c r="AT94" s="481">
        <f>(AT38*2+AT52+AT66-AT80)/2</f>
        <v>0</v>
      </c>
      <c r="AU94" s="481">
        <f>(AU38*2+AU52+AU66-AU80)/2</f>
        <v>0</v>
      </c>
      <c r="AV94" s="481">
        <f>(AV38*2+AV52+AV66-AV80)/2</f>
        <v>0</v>
      </c>
      <c r="AW94" s="481">
        <f>(AW38*2+AW52+AW66-AW80)/2</f>
        <v>0</v>
      </c>
      <c r="AX94" s="85">
        <f>(AX38*2+AX52+AX66-AX80)/2</f>
        <v>0</v>
      </c>
      <c r="AY94" s="85">
        <f>(AY38*2+AY52+AY66-AY80)/2</f>
        <v>0</v>
      </c>
      <c r="AZ94" s="85">
        <f>(AZ38*2+AZ52+AZ66-AZ80)/2</f>
        <v>0</v>
      </c>
      <c r="BA94" s="85">
        <f>(BA38*2+BA52+BA66-BA80)/2</f>
        <v>0</v>
      </c>
      <c r="BB94" s="85">
        <f>(BB38*2+BB52+BB66-BB80)/2</f>
        <v>0</v>
      </c>
      <c r="BC94" s="105"/>
      <c r="BF94" s="1170" t="s">
        <v>1110</v>
      </c>
    </row>
    <row customHeight="1" ht="14.625" hidden="1">
      <c r="E95" s="794">
        <v>15</v>
      </c>
      <c r="F95" s="919" cm="1" t="str">
        <f t="array" ref="F95:F95">F94</f>
        <v>0</v>
      </c>
      <c r="T95" s="816" cm="1" t="str">
        <f t="array" ref="T95:T95">T94</f>
        <v>false</v>
      </c>
      <c r="AB95" s="477" t="str">
        <f>AB84&amp;".6"</f>
        <v>5.6</v>
      </c>
      <c r="AC95" s="469" t="s">
        <v>1046</v>
      </c>
      <c r="AD95" s="477" t="s">
        <v>1019</v>
      </c>
      <c r="AE95" s="85">
        <f>(AE39*2+AE53+AE67-AE81)/2</f>
        <v>0</v>
      </c>
      <c r="AF95" s="85">
        <f>(AF39*2+AF53+AF67-AF81)/2</f>
        <v>0</v>
      </c>
      <c r="AG95" s="85">
        <f>(AG39*2+AG53+AG67-AG81)/2</f>
        <v>0</v>
      </c>
      <c r="AH95" s="85">
        <f>(AH39*2+AH53+AH67-AH81)/2</f>
        <v>0</v>
      </c>
      <c r="AI95" s="481">
        <f>(AI39*2+AI53+AI67-AI81)/2</f>
        <v>0</v>
      </c>
      <c r="AJ95" s="481">
        <f>(AJ39*2+AJ53+AJ67-AJ81)/2</f>
        <v>0</v>
      </c>
      <c r="AK95" s="481">
        <f>(AK39*2+AK53+AK67-AK81)/2</f>
        <v>0</v>
      </c>
      <c r="AL95" s="481">
        <f>(AL39*2+AL53+AL67-AL81)/2</f>
        <v>0</v>
      </c>
      <c r="AM95" s="481">
        <f>(AM39*2+AM53+AM67-AM81)/2</f>
        <v>0</v>
      </c>
      <c r="AN95" s="85">
        <f>(AN39*2+AN53+AN67-AN81)/2</f>
        <v>0</v>
      </c>
      <c r="AO95" s="85">
        <f>(AO39*2+AO53+AO67-AO81)/2</f>
        <v>0</v>
      </c>
      <c r="AP95" s="85">
        <f>(AP39*2+AP53+AP67-AP81)/2</f>
        <v>0</v>
      </c>
      <c r="AQ95" s="85">
        <f>(AQ39*2+AQ53+AQ67-AQ81)/2</f>
        <v>0</v>
      </c>
      <c r="AR95" s="85">
        <f>(AR39*2+AR53+AR67-AR81)/2</f>
        <v>0</v>
      </c>
      <c r="AS95" s="481">
        <f>(AS39*2+AS53+AS67-AS81)/2</f>
        <v>0</v>
      </c>
      <c r="AT95" s="481">
        <f>(AT39*2+AT53+AT67-AT81)/2</f>
        <v>0</v>
      </c>
      <c r="AU95" s="481">
        <f>(AU39*2+AU53+AU67-AU81)/2</f>
        <v>0</v>
      </c>
      <c r="AV95" s="481">
        <f>(AV39*2+AV53+AV67-AV81)/2</f>
        <v>0</v>
      </c>
      <c r="AW95" s="481">
        <f>(AW39*2+AW53+AW67-AW81)/2</f>
        <v>0</v>
      </c>
      <c r="AX95" s="85">
        <f>(AX39*2+AX53+AX67-AX81)/2</f>
        <v>0</v>
      </c>
      <c r="AY95" s="85">
        <f>(AY39*2+AY53+AY67-AY81)/2</f>
        <v>0</v>
      </c>
      <c r="AZ95" s="85">
        <f>(AZ39*2+AZ53+AZ67-AZ81)/2</f>
        <v>0</v>
      </c>
      <c r="BA95" s="85">
        <f>(BA39*2+BA53+BA67-BA81)/2</f>
        <v>0</v>
      </c>
      <c r="BB95" s="85">
        <f>(BB39*2+BB53+BB67-BB81)/2</f>
        <v>0</v>
      </c>
      <c r="BC95" s="105"/>
      <c r="BF95" s="1170" t="s">
        <v>1111</v>
      </c>
    </row>
    <row customHeight="1" ht="14.625" hidden="1">
      <c r="E96" s="794">
        <v>15</v>
      </c>
      <c r="F96" s="919" cm="1" t="str">
        <f t="array" ref="F96:F96">F95</f>
        <v>0</v>
      </c>
      <c r="T96" s="816" cm="1" t="str">
        <f t="array" ref="T96:T96">T95</f>
        <v>false</v>
      </c>
      <c r="AB96" s="477" t="str">
        <f>AB84&amp;".7"</f>
        <v>5.7</v>
      </c>
      <c r="AC96" s="469" t="s">
        <v>1049</v>
      </c>
      <c r="AD96" s="477" t="s">
        <v>1019</v>
      </c>
      <c r="AE96" s="85">
        <f>(AE40*2+AE54+AE68-AE82)/2</f>
        <v>0</v>
      </c>
      <c r="AF96" s="85">
        <f>(AF40*2+AF54+AF68-AF82)/2</f>
        <v>0</v>
      </c>
      <c r="AG96" s="85">
        <f>(AG40*2+AG54+AG68-AG82)/2</f>
        <v>0</v>
      </c>
      <c r="AH96" s="85">
        <f>(AH40*2+AH54+AH68-AH82)/2</f>
        <v>0</v>
      </c>
      <c r="AI96" s="481">
        <f>(AI40*2+AI54+AI68-AI82)/2</f>
        <v>0</v>
      </c>
      <c r="AJ96" s="481">
        <f>(AJ40*2+AJ54+AJ68-AJ82)/2</f>
        <v>0</v>
      </c>
      <c r="AK96" s="481">
        <f>(AK40*2+AK54+AK68-AK82)/2</f>
        <v>0</v>
      </c>
      <c r="AL96" s="481">
        <f>(AL40*2+AL54+AL68-AL82)/2</f>
        <v>0</v>
      </c>
      <c r="AM96" s="481">
        <f>(AM40*2+AM54+AM68-AM82)/2</f>
        <v>0</v>
      </c>
      <c r="AN96" s="85">
        <f>(AN40*2+AN54+AN68-AN82)/2</f>
        <v>0</v>
      </c>
      <c r="AO96" s="85">
        <f>(AO40*2+AO54+AO68-AO82)/2</f>
        <v>0</v>
      </c>
      <c r="AP96" s="85">
        <f>(AP40*2+AP54+AP68-AP82)/2</f>
        <v>0</v>
      </c>
      <c r="AQ96" s="85">
        <f>(AQ40*2+AQ54+AQ68-AQ82)/2</f>
        <v>0</v>
      </c>
      <c r="AR96" s="85">
        <f>(AR40*2+AR54+AR68-AR82)/2</f>
        <v>0</v>
      </c>
      <c r="AS96" s="481">
        <f>(AS40*2+AS54+AS68-AS82)/2</f>
        <v>0</v>
      </c>
      <c r="AT96" s="481">
        <f>(AT40*2+AT54+AT68-AT82)/2</f>
        <v>0</v>
      </c>
      <c r="AU96" s="481">
        <f>(AU40*2+AU54+AU68-AU82)/2</f>
        <v>0</v>
      </c>
      <c r="AV96" s="481">
        <f>(AV40*2+AV54+AV68-AV82)/2</f>
        <v>0</v>
      </c>
      <c r="AW96" s="481">
        <f>(AW40*2+AW54+AW68-AW82)/2</f>
        <v>0</v>
      </c>
      <c r="AX96" s="85">
        <f>(AX40*2+AX54+AX68-AX82)/2</f>
        <v>0</v>
      </c>
      <c r="AY96" s="85">
        <f>(AY40*2+AY54+AY68-AY82)/2</f>
        <v>0</v>
      </c>
      <c r="AZ96" s="85">
        <f>(AZ40*2+AZ54+AZ68-AZ82)/2</f>
        <v>0</v>
      </c>
      <c r="BA96" s="85">
        <f>(BA40*2+BA54+BA68-BA82)/2</f>
        <v>0</v>
      </c>
      <c r="BB96" s="85">
        <f>(BB40*2+BB54+BB68-BB82)/2</f>
        <v>0</v>
      </c>
      <c r="BC96" s="105"/>
      <c r="BF96" s="1170" t="s">
        <v>1112</v>
      </c>
    </row>
    <row customHeight="1" ht="14.625" hidden="1">
      <c r="E97" s="794">
        <v>15</v>
      </c>
      <c r="F97" s="919" cm="1" t="str">
        <f t="array" ref="F97:F97">F96</f>
        <v>0</v>
      </c>
      <c r="T97" s="816" cm="1" t="str">
        <f t="array" ref="T97:T97">T96</f>
        <v>false</v>
      </c>
      <c r="AB97" s="477" t="str">
        <f>AB84&amp;".8"</f>
        <v>5.8</v>
      </c>
      <c r="AC97" s="469" t="s">
        <v>1052</v>
      </c>
      <c r="AD97" s="477" t="s">
        <v>1019</v>
      </c>
      <c r="AE97" s="85">
        <f>(AE41*2+AE55+AE69-AE83)/2</f>
        <v>0</v>
      </c>
      <c r="AF97" s="85">
        <f>(AF41*2+AF55+AF69-AF83)/2</f>
        <v>0</v>
      </c>
      <c r="AG97" s="85">
        <f>(AG41*2+AG55+AG69-AG83)/2</f>
        <v>0</v>
      </c>
      <c r="AH97" s="85">
        <f>(AH41*2+AH55+AH69-AH83)/2</f>
        <v>0</v>
      </c>
      <c r="AI97" s="481">
        <f>(AI41*2+AI55+AI69-AI83)/2</f>
        <v>0</v>
      </c>
      <c r="AJ97" s="481">
        <f>(AJ41*2+AJ55+AJ69-AJ83)/2</f>
        <v>0</v>
      </c>
      <c r="AK97" s="481">
        <f>(AK41*2+AK55+AK69-AK83)/2</f>
        <v>0</v>
      </c>
      <c r="AL97" s="481">
        <f>(AL41*2+AL55+AL69-AL83)/2</f>
        <v>0</v>
      </c>
      <c r="AM97" s="481">
        <f>(AM41*2+AM55+AM69-AM83)/2</f>
        <v>0</v>
      </c>
      <c r="AN97" s="85">
        <f>(AN41*2+AN55+AN69-AN83)/2</f>
        <v>0</v>
      </c>
      <c r="AO97" s="85">
        <f>(AO41*2+AO55+AO69-AO83)/2</f>
        <v>0</v>
      </c>
      <c r="AP97" s="85">
        <f>(AP41*2+AP55+AP69-AP83)/2</f>
        <v>0</v>
      </c>
      <c r="AQ97" s="85">
        <f>(AQ41*2+AQ55+AQ69-AQ83)/2</f>
        <v>0</v>
      </c>
      <c r="AR97" s="85">
        <f>(AR41*2+AR55+AR69-AR83)/2</f>
        <v>0</v>
      </c>
      <c r="AS97" s="481">
        <f>(AS41*2+AS55+AS69-AS83)/2</f>
        <v>0</v>
      </c>
      <c r="AT97" s="481">
        <f>(AT41*2+AT55+AT69-AT83)/2</f>
        <v>0</v>
      </c>
      <c r="AU97" s="481">
        <f>(AU41*2+AU55+AU69-AU83)/2</f>
        <v>0</v>
      </c>
      <c r="AV97" s="481">
        <f>(AV41*2+AV55+AV69-AV83)/2</f>
        <v>0</v>
      </c>
      <c r="AW97" s="481">
        <f>(AW41*2+AW55+AW69-AW83)/2</f>
        <v>0</v>
      </c>
      <c r="AX97" s="85">
        <f>(AX41*2+AX55+AX69-AX83)/2</f>
        <v>0</v>
      </c>
      <c r="AY97" s="85">
        <f>(AY41*2+AY55+AY69-AY83)/2</f>
        <v>0</v>
      </c>
      <c r="AZ97" s="85">
        <f>(AZ41*2+AZ55+AZ69-AZ83)/2</f>
        <v>0</v>
      </c>
      <c r="BA97" s="85">
        <f>(BA41*2+BA55+BA69-BA83)/2</f>
        <v>0</v>
      </c>
      <c r="BB97" s="85">
        <f>(BB41*2+BB55+BB69-BB83)/2</f>
        <v>0</v>
      </c>
      <c r="BC97" s="105"/>
      <c r="BF97" s="1170" t="s">
        <v>1113</v>
      </c>
    </row>
    <row s="214" customFormat="1" customHeight="1" ht="22.23" hidden="1">
      <c r="E98" s="794">
        <v>22.8</v>
      </c>
      <c r="F98" s="919" cm="1" t="str">
        <f t="array" ref="F98:F98">F97</f>
        <v>0</v>
      </c>
      <c r="T98" s="816" cm="1" t="str">
        <f t="array" ref="T98:T98">T97</f>
        <v>false</v>
      </c>
      <c r="AB98" s="277">
        <v>6</v>
      </c>
      <c r="AC98" s="278" t="s">
        <v>1114</v>
      </c>
      <c r="AD98" s="486" t="s">
        <v>490</v>
      </c>
      <c r="AE98" s="102"/>
      <c r="AF98" s="102"/>
      <c r="AG98" s="102"/>
      <c r="AH98" s="102"/>
      <c r="AI98" s="292"/>
      <c r="AJ98" s="292"/>
      <c r="AK98" s="292"/>
      <c r="AL98" s="292"/>
      <c r="AM98" s="292"/>
      <c r="AN98" s="102"/>
      <c r="AO98" s="102"/>
      <c r="AP98" s="102"/>
      <c r="AQ98" s="102"/>
      <c r="AR98" s="102"/>
      <c r="AS98" s="292"/>
      <c r="AT98" s="292"/>
      <c r="AU98" s="292"/>
      <c r="AV98" s="292"/>
      <c r="AW98" s="292"/>
      <c r="AX98" s="102"/>
      <c r="AY98" s="102"/>
      <c r="AZ98" s="102"/>
      <c r="BA98" s="102"/>
      <c r="BB98" s="102"/>
      <c r="BC98" s="73"/>
      <c r="BF98" s="1170" t="s">
        <v>1115</v>
      </c>
    </row>
    <row customHeight="1" ht="14.625" hidden="1">
      <c r="E99" s="794">
        <v>15</v>
      </c>
      <c r="F99" s="919" cm="1" t="str">
        <f t="array" ref="F99:F99">F98</f>
        <v>0</v>
      </c>
      <c r="T99" s="816" cm="1" t="str">
        <f t="array" ref="T99:T99">T98</f>
        <v>false</v>
      </c>
      <c r="AB99" s="486" t="str">
        <f>AB98&amp;".1"</f>
        <v>6.1</v>
      </c>
      <c r="AC99" s="487" t="s">
        <v>1018</v>
      </c>
      <c r="AD99" s="486" t="s">
        <v>490</v>
      </c>
      <c r="AE99" s="61">
        <f>IF(AE85=0,0,AE113/AE85*100)</f>
        <v>0</v>
      </c>
      <c r="AF99" s="61">
        <f>IF(AF85=0,0,AF113/AF85*100)</f>
        <v>0</v>
      </c>
      <c r="AG99" s="61">
        <f>IF(AG85=0,0,AG113/AG85*100)</f>
        <v>0</v>
      </c>
      <c r="AH99" s="61">
        <f>IF(AH85=0,0,AH113/AH85*100)</f>
        <v>0</v>
      </c>
      <c r="AI99" s="280">
        <f>IF(AI85=0,0,AI113/AI85*100)</f>
        <v>0</v>
      </c>
      <c r="AJ99" s="280">
        <f>IF(AJ85=0,0,AJ113/AJ85*100)</f>
        <v>0</v>
      </c>
      <c r="AK99" s="280">
        <f>IF(AK85=0,0,AK113/AK85*100)</f>
        <v>0</v>
      </c>
      <c r="AL99" s="280">
        <f>IF(AL85=0,0,AL113/AL85*100)</f>
        <v>0</v>
      </c>
      <c r="AM99" s="280">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280">
        <f>IF(AT85=0,0,AT113/AT85*100)</f>
        <v>0</v>
      </c>
      <c r="AU99" s="280">
        <f>IF(AU85=0,0,AU113/AU85*100)</f>
        <v>0</v>
      </c>
      <c r="AV99" s="280">
        <f>IF(AV85=0,0,AV113/AV85*100)</f>
        <v>0</v>
      </c>
      <c r="AW99" s="280">
        <f>IF(AW85=0,0,AW113/AW85*100)</f>
        <v>0</v>
      </c>
      <c r="AX99" s="61">
        <f>IF(AX85=0,0,AX113/AX85*100)</f>
        <v>0</v>
      </c>
      <c r="AY99" s="61">
        <f>IF(AY85=0,0,AY113/AY85*100)</f>
        <v>0</v>
      </c>
      <c r="AZ99" s="61">
        <f>IF(AZ85=0,0,AZ113/AZ85*100)</f>
        <v>0</v>
      </c>
      <c r="BA99" s="61">
        <f>IF(BA85=0,0,BA113/BA85*100)</f>
        <v>0</v>
      </c>
      <c r="BB99" s="61">
        <f>IF(BB85=0,0,BB113/BB85*100)</f>
        <v>0</v>
      </c>
      <c r="BC99" s="73"/>
      <c r="BF99" s="1170" t="s">
        <v>1116</v>
      </c>
    </row>
    <row customHeight="1" ht="14.625" hidden="1">
      <c r="E100" s="794">
        <v>15</v>
      </c>
      <c r="F100" s="919" cm="1" t="str">
        <f t="array" ref="F100:F100">F99</f>
        <v>0</v>
      </c>
      <c r="T100" s="816" cm="1" t="str">
        <f t="array" ref="T100:T100">T99</f>
        <v>false</v>
      </c>
      <c r="AB100" s="486" t="str">
        <f>AB98&amp;".2"</f>
        <v>6.2</v>
      </c>
      <c r="AC100" s="487" t="s">
        <v>1021</v>
      </c>
      <c r="AD100" s="486" t="s">
        <v>490</v>
      </c>
      <c r="AE100" s="61">
        <f>IF(AE86=0,0,AE114/AE86*100)</f>
        <v>0</v>
      </c>
      <c r="AF100" s="61">
        <f>IF(AF86=0,0,AF114/AF86*100)</f>
        <v>0</v>
      </c>
      <c r="AG100" s="61">
        <f>IF(AG86=0,0,AG114/AG86*100)</f>
        <v>0</v>
      </c>
      <c r="AH100" s="61">
        <f>IF(AH86=0,0,AH114/AH86*100)</f>
        <v>0</v>
      </c>
      <c r="AI100" s="280">
        <f>IF(AI86=0,0,AI114/AI86*100)</f>
        <v>0</v>
      </c>
      <c r="AJ100" s="280">
        <f>IF(AJ86=0,0,AJ114/AJ86*100)</f>
        <v>0</v>
      </c>
      <c r="AK100" s="280">
        <f>IF(AK86=0,0,AK114/AK86*100)</f>
        <v>0</v>
      </c>
      <c r="AL100" s="280">
        <f>IF(AL86=0,0,AL114/AL86*100)</f>
        <v>0</v>
      </c>
      <c r="AM100" s="280">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280">
        <f>IF(AT86=0,0,AT114/AT86*100)</f>
        <v>0</v>
      </c>
      <c r="AU100" s="280">
        <f>IF(AU86=0,0,AU114/AU86*100)</f>
        <v>0</v>
      </c>
      <c r="AV100" s="280">
        <f>IF(AV86=0,0,AV114/AV86*100)</f>
        <v>0</v>
      </c>
      <c r="AW100" s="280">
        <f>IF(AW86=0,0,AW114/AW86*100)</f>
        <v>0</v>
      </c>
      <c r="AX100" s="61">
        <f>IF(AX86=0,0,AX114/AX86*100)</f>
        <v>0</v>
      </c>
      <c r="AY100" s="61">
        <f>IF(AY86=0,0,AY114/AY86*100)</f>
        <v>0</v>
      </c>
      <c r="AZ100" s="61">
        <f>IF(AZ86=0,0,AZ114/AZ86*100)</f>
        <v>0</v>
      </c>
      <c r="BA100" s="61">
        <f>IF(BA86=0,0,BA114/BA86*100)</f>
        <v>0</v>
      </c>
      <c r="BB100" s="61">
        <f>IF(BB86=0,0,BB114/BB86*100)</f>
        <v>0</v>
      </c>
      <c r="BC100" s="73"/>
      <c r="BF100" s="1170" t="s">
        <v>1117</v>
      </c>
    </row>
    <row customHeight="1" ht="14.625" hidden="1">
      <c r="E101" s="794">
        <v>15</v>
      </c>
      <c r="F101" s="919" cm="1" t="str">
        <f t="array" ref="F101:F101">F100</f>
        <v>0</v>
      </c>
      <c r="T101" s="816" cm="1" t="str">
        <f t="array" ref="T101:T101">T100</f>
        <v>false</v>
      </c>
      <c r="AB101" s="486" t="str">
        <f>AB98&amp;".3"</f>
        <v>6.3</v>
      </c>
      <c r="AC101" s="487" t="s">
        <v>1023</v>
      </c>
      <c r="AD101" s="486" t="s">
        <v>490</v>
      </c>
      <c r="AE101" s="61">
        <f>IF(AE87=0,0,AE115/AE87*100)</f>
        <v>0</v>
      </c>
      <c r="AF101" s="61">
        <f>IF(AF87=0,0,AF115/AF87*100)</f>
        <v>0</v>
      </c>
      <c r="AG101" s="61">
        <f>IF(AG87=0,0,AG115/AG87*100)</f>
        <v>0</v>
      </c>
      <c r="AH101" s="61">
        <f>IF(AH87=0,0,AH115/AH87*100)</f>
        <v>0</v>
      </c>
      <c r="AI101" s="280">
        <f>IF(AI87=0,0,AI115/AI87*100)</f>
        <v>0</v>
      </c>
      <c r="AJ101" s="280">
        <f>IF(AJ87=0,0,AJ115/AJ87*100)</f>
        <v>0</v>
      </c>
      <c r="AK101" s="280">
        <f>IF(AK87=0,0,AK115/AK87*100)</f>
        <v>0</v>
      </c>
      <c r="AL101" s="280">
        <f>IF(AL87=0,0,AL115/AL87*100)</f>
        <v>0</v>
      </c>
      <c r="AM101" s="280">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280">
        <f>IF(AT87=0,0,AT115/AT87*100)</f>
        <v>0</v>
      </c>
      <c r="AU101" s="280">
        <f>IF(AU87=0,0,AU115/AU87*100)</f>
        <v>0</v>
      </c>
      <c r="AV101" s="280">
        <f>IF(AV87=0,0,AV115/AV87*100)</f>
        <v>0</v>
      </c>
      <c r="AW101" s="280">
        <f>IF(AW87=0,0,AW115/AW87*100)</f>
        <v>0</v>
      </c>
      <c r="AX101" s="61">
        <f>IF(AX87=0,0,AX115/AX87*100)</f>
        <v>0</v>
      </c>
      <c r="AY101" s="61">
        <f>IF(AY87=0,0,AY115/AY87*100)</f>
        <v>0</v>
      </c>
      <c r="AZ101" s="61">
        <f>IF(AZ87=0,0,AZ115/AZ87*100)</f>
        <v>0</v>
      </c>
      <c r="BA101" s="61">
        <f>IF(BA87=0,0,BA115/BA87*100)</f>
        <v>0</v>
      </c>
      <c r="BB101" s="61">
        <f>IF(BB87=0,0,BB115/BB87*100)</f>
        <v>0</v>
      </c>
      <c r="BC101" s="73"/>
      <c r="BF101" s="1170" t="s">
        <v>1118</v>
      </c>
    </row>
    <row customHeight="1" ht="14.625" hidden="1">
      <c r="E102" s="794">
        <v>15</v>
      </c>
      <c r="F102" s="919" cm="1" t="str">
        <f t="array" ref="F102:F102">F101</f>
        <v>0</v>
      </c>
      <c r="T102" s="816" cm="1" t="str">
        <f t="array" ref="T102:T102">T101</f>
        <v>false</v>
      </c>
      <c r="AB102" s="486" t="str">
        <f>AB98&amp;".4"</f>
        <v>6.4</v>
      </c>
      <c r="AC102" s="487" t="s">
        <v>1025</v>
      </c>
      <c r="AD102" s="486" t="s">
        <v>490</v>
      </c>
      <c r="AE102" s="61">
        <f>IF(AE88=0,0,AE116/AE88*100)</f>
        <v>0</v>
      </c>
      <c r="AF102" s="61">
        <f>IF(AF88=0,0,AF116/AF88*100)</f>
        <v>0</v>
      </c>
      <c r="AG102" s="61">
        <f>IF(AG88=0,0,AG116/AG88*100)</f>
        <v>0</v>
      </c>
      <c r="AH102" s="61">
        <f>IF(AH88=0,0,AH116/AH88*100)</f>
        <v>0</v>
      </c>
      <c r="AI102" s="280">
        <f>IF(AI88=0,0,AI116/AI88*100)</f>
        <v>0</v>
      </c>
      <c r="AJ102" s="280">
        <f>IF(AJ88=0,0,AJ116/AJ88*100)</f>
        <v>0</v>
      </c>
      <c r="AK102" s="280">
        <f>IF(AK88=0,0,AK116/AK88*100)</f>
        <v>0</v>
      </c>
      <c r="AL102" s="280">
        <f>IF(AL88=0,0,AL116/AL88*100)</f>
        <v>0</v>
      </c>
      <c r="AM102" s="280">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280">
        <f>IF(AT88=0,0,AT116/AT88*100)</f>
        <v>0</v>
      </c>
      <c r="AU102" s="280">
        <f>IF(AU88=0,0,AU116/AU88*100)</f>
        <v>0</v>
      </c>
      <c r="AV102" s="280">
        <f>IF(AV88=0,0,AV116/AV88*100)</f>
        <v>0</v>
      </c>
      <c r="AW102" s="280">
        <f>IF(AW88=0,0,AW116/AW88*100)</f>
        <v>0</v>
      </c>
      <c r="AX102" s="61">
        <f>IF(AX88=0,0,AX116/AX88*100)</f>
        <v>0</v>
      </c>
      <c r="AY102" s="61">
        <f>IF(AY88=0,0,AY116/AY88*100)</f>
        <v>0</v>
      </c>
      <c r="AZ102" s="61">
        <f>IF(AZ88=0,0,AZ116/AZ88*100)</f>
        <v>0</v>
      </c>
      <c r="BA102" s="61">
        <f>IF(BA88=0,0,BA116/BA88*100)</f>
        <v>0</v>
      </c>
      <c r="BB102" s="61">
        <f>IF(BB88=0,0,BB116/BB88*100)</f>
        <v>0</v>
      </c>
      <c r="BC102" s="73"/>
      <c r="BF102" s="1170" t="s">
        <v>1119</v>
      </c>
    </row>
    <row customHeight="1" ht="14.625" hidden="1">
      <c r="E103" s="794">
        <v>15</v>
      </c>
      <c r="F103" s="919" cm="1" t="str">
        <f t="array" ref="F103:F103">F102</f>
        <v>0</v>
      </c>
      <c r="T103" s="816" cm="1" t="str">
        <f t="array" ref="T103:T103">T102</f>
        <v>false</v>
      </c>
      <c r="AB103" s="486" t="str">
        <f>AB102&amp;".1"</f>
        <v>6.4.1</v>
      </c>
      <c r="AC103" s="488" t="s">
        <v>1028</v>
      </c>
      <c r="AD103" s="486" t="s">
        <v>490</v>
      </c>
      <c r="AE103" s="61">
        <f>IF(AE89=0,0,AE117/AE89*100)</f>
        <v>0</v>
      </c>
      <c r="AF103" s="61">
        <f>IF(AF89=0,0,AF117/AF89*100)</f>
        <v>0</v>
      </c>
      <c r="AG103" s="61">
        <f>IF(AG89=0,0,AG117/AG89*100)</f>
        <v>0</v>
      </c>
      <c r="AH103" s="61">
        <f>IF(AH89=0,0,AH117/AH89*100)</f>
        <v>0</v>
      </c>
      <c r="AI103" s="280">
        <f>IF(AI89=0,0,AI117/AI89*100)</f>
        <v>0</v>
      </c>
      <c r="AJ103" s="280">
        <f>IF(AJ89=0,0,AJ117/AJ89*100)</f>
        <v>0</v>
      </c>
      <c r="AK103" s="280">
        <f>IF(AK89=0,0,AK117/AK89*100)</f>
        <v>0</v>
      </c>
      <c r="AL103" s="280">
        <f>IF(AL89=0,0,AL117/AL89*100)</f>
        <v>0</v>
      </c>
      <c r="AM103" s="280">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280">
        <f>IF(AT89=0,0,AT117/AT89*100)</f>
        <v>0</v>
      </c>
      <c r="AU103" s="280">
        <f>IF(AU89=0,0,AU117/AU89*100)</f>
        <v>0</v>
      </c>
      <c r="AV103" s="280">
        <f>IF(AV89=0,0,AV117/AV89*100)</f>
        <v>0</v>
      </c>
      <c r="AW103" s="280">
        <f>IF(AW89=0,0,AW117/AW89*100)</f>
        <v>0</v>
      </c>
      <c r="AX103" s="61">
        <f>IF(AX89=0,0,AX117/AX89*100)</f>
        <v>0</v>
      </c>
      <c r="AY103" s="61">
        <f>IF(AY89=0,0,AY117/AY89*100)</f>
        <v>0</v>
      </c>
      <c r="AZ103" s="61">
        <f>IF(AZ89=0,0,AZ117/AZ89*100)</f>
        <v>0</v>
      </c>
      <c r="BA103" s="61">
        <f>IF(BA89=0,0,BA117/BA89*100)</f>
        <v>0</v>
      </c>
      <c r="BB103" s="61">
        <f>IF(BB89=0,0,BB117/BB89*100)</f>
        <v>0</v>
      </c>
      <c r="BC103" s="73"/>
      <c r="BF103" s="1170" t="s">
        <v>1120</v>
      </c>
    </row>
    <row customHeight="1" ht="14.625" hidden="1">
      <c r="E104" s="794">
        <v>15</v>
      </c>
      <c r="F104" s="919" cm="1" t="str">
        <f t="array" ref="F104:F104">F103</f>
        <v>0</v>
      </c>
      <c r="T104" s="816" cm="1" t="str">
        <f t="array" ref="T104:T104">T103</f>
        <v>false</v>
      </c>
      <c r="AB104" s="486" t="str">
        <f>AB102&amp;".2"</f>
        <v>6.4.2</v>
      </c>
      <c r="AC104" s="488" t="s">
        <v>1031</v>
      </c>
      <c r="AD104" s="486" t="s">
        <v>490</v>
      </c>
      <c r="AE104" s="61">
        <f>IF(AE90=0,0,AE118/AE90*100)</f>
        <v>0</v>
      </c>
      <c r="AF104" s="61">
        <f>IF(AF90=0,0,AF118/AF90*100)</f>
        <v>0</v>
      </c>
      <c r="AG104" s="61">
        <f>IF(AG90=0,0,AG118/AG90*100)</f>
        <v>0</v>
      </c>
      <c r="AH104" s="61">
        <f>IF(AH90=0,0,AH118/AH90*100)</f>
        <v>0</v>
      </c>
      <c r="AI104" s="280">
        <f>IF(AI90=0,0,AI118/AI90*100)</f>
        <v>0</v>
      </c>
      <c r="AJ104" s="280">
        <f>IF(AJ90=0,0,AJ118/AJ90*100)</f>
        <v>0</v>
      </c>
      <c r="AK104" s="280">
        <f>IF(AK90=0,0,AK118/AK90*100)</f>
        <v>0</v>
      </c>
      <c r="AL104" s="280">
        <f>IF(AL90=0,0,AL118/AL90*100)</f>
        <v>0</v>
      </c>
      <c r="AM104" s="280">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280">
        <f>IF(AT90=0,0,AT118/AT90*100)</f>
        <v>0</v>
      </c>
      <c r="AU104" s="280">
        <f>IF(AU90=0,0,AU118/AU90*100)</f>
        <v>0</v>
      </c>
      <c r="AV104" s="280">
        <f>IF(AV90=0,0,AV118/AV90*100)</f>
        <v>0</v>
      </c>
      <c r="AW104" s="280">
        <f>IF(AW90=0,0,AW118/AW90*100)</f>
        <v>0</v>
      </c>
      <c r="AX104" s="61">
        <f>IF(AX90=0,0,AX118/AX90*100)</f>
        <v>0</v>
      </c>
      <c r="AY104" s="61">
        <f>IF(AY90=0,0,AY118/AY90*100)</f>
        <v>0</v>
      </c>
      <c r="AZ104" s="61">
        <f>IF(AZ90=0,0,AZ118/AZ90*100)</f>
        <v>0</v>
      </c>
      <c r="BA104" s="61">
        <f>IF(BA90=0,0,BA118/BA90*100)</f>
        <v>0</v>
      </c>
      <c r="BB104" s="61">
        <f>IF(BB90=0,0,BB118/BB90*100)</f>
        <v>0</v>
      </c>
      <c r="BC104" s="73"/>
      <c r="BF104" s="1170" t="s">
        <v>1121</v>
      </c>
    </row>
    <row customHeight="1" ht="14.625" hidden="1">
      <c r="E105" s="794">
        <v>15</v>
      </c>
      <c r="F105" s="919" cm="1" t="str">
        <f t="array" ref="F105:F105">F104</f>
        <v>0</v>
      </c>
      <c r="T105" s="816" cm="1" t="str">
        <f t="array" ref="T105:T105">T104</f>
        <v>false</v>
      </c>
      <c r="AB105" s="486" t="str">
        <f>AB102&amp;".3"</f>
        <v>6.4.3</v>
      </c>
      <c r="AC105" s="488" t="s">
        <v>1034</v>
      </c>
      <c r="AD105" s="486" t="s">
        <v>490</v>
      </c>
      <c r="AE105" s="61">
        <f>IF(AE91=0,0,AE119/AE91*100)</f>
        <v>0</v>
      </c>
      <c r="AF105" s="61">
        <f>IF(AF91=0,0,AF119/AF91*100)</f>
        <v>0</v>
      </c>
      <c r="AG105" s="61">
        <f>IF(AG91=0,0,AG119/AG91*100)</f>
        <v>0</v>
      </c>
      <c r="AH105" s="61">
        <f>IF(AH91=0,0,AH119/AH91*100)</f>
        <v>0</v>
      </c>
      <c r="AI105" s="280">
        <f>IF(AI91=0,0,AI119/AI91*100)</f>
        <v>0</v>
      </c>
      <c r="AJ105" s="280">
        <f>IF(AJ91=0,0,AJ119/AJ91*100)</f>
        <v>0</v>
      </c>
      <c r="AK105" s="280">
        <f>IF(AK91=0,0,AK119/AK91*100)</f>
        <v>0</v>
      </c>
      <c r="AL105" s="280">
        <f>IF(AL91=0,0,AL119/AL91*100)</f>
        <v>0</v>
      </c>
      <c r="AM105" s="280">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280">
        <f>IF(AT91=0,0,AT119/AT91*100)</f>
        <v>0</v>
      </c>
      <c r="AU105" s="280">
        <f>IF(AU91=0,0,AU119/AU91*100)</f>
        <v>0</v>
      </c>
      <c r="AV105" s="280">
        <f>IF(AV91=0,0,AV119/AV91*100)</f>
        <v>0</v>
      </c>
      <c r="AW105" s="280">
        <f>IF(AW91=0,0,AW119/AW91*100)</f>
        <v>0</v>
      </c>
      <c r="AX105" s="61">
        <f>IF(AX91=0,0,AX119/AX91*100)</f>
        <v>0</v>
      </c>
      <c r="AY105" s="61">
        <f>IF(AY91=0,0,AY119/AY91*100)</f>
        <v>0</v>
      </c>
      <c r="AZ105" s="61">
        <f>IF(AZ91=0,0,AZ119/AZ91*100)</f>
        <v>0</v>
      </c>
      <c r="BA105" s="61">
        <f>IF(BA91=0,0,BA119/BA91*100)</f>
        <v>0</v>
      </c>
      <c r="BB105" s="61">
        <f>IF(BB91=0,0,BB119/BB91*100)</f>
        <v>0</v>
      </c>
      <c r="BC105" s="73"/>
      <c r="BF105" s="1170" t="s">
        <v>1122</v>
      </c>
    </row>
    <row customHeight="1" ht="14.625" hidden="1">
      <c r="E106" s="794">
        <v>15</v>
      </c>
      <c r="F106" s="919" cm="1" t="str">
        <f t="array" ref="F106:F106">F105</f>
        <v>0</v>
      </c>
      <c r="T106" s="816" cm="1" t="str">
        <f t="array" ref="T106:T106">T105</f>
        <v>false</v>
      </c>
      <c r="AB106" s="486" t="str">
        <f>AB102&amp;".4"</f>
        <v>6.4.4</v>
      </c>
      <c r="AC106" s="488" t="s">
        <v>1037</v>
      </c>
      <c r="AD106" s="486" t="s">
        <v>490</v>
      </c>
      <c r="AE106" s="61">
        <f>IF(AE92=0,0,AE120/AE92*100)</f>
        <v>0</v>
      </c>
      <c r="AF106" s="61">
        <f>IF(AF92=0,0,AF120/AF92*100)</f>
        <v>0</v>
      </c>
      <c r="AG106" s="61">
        <f>IF(AG92=0,0,AG120/AG92*100)</f>
        <v>0</v>
      </c>
      <c r="AH106" s="61">
        <f>IF(AH92=0,0,AH120/AH92*100)</f>
        <v>0</v>
      </c>
      <c r="AI106" s="280">
        <f>IF(AI92=0,0,AI120/AI92*100)</f>
        <v>0</v>
      </c>
      <c r="AJ106" s="280">
        <f>IF(AJ92=0,0,AJ120/AJ92*100)</f>
        <v>0</v>
      </c>
      <c r="AK106" s="280">
        <f>IF(AK92=0,0,AK120/AK92*100)</f>
        <v>0</v>
      </c>
      <c r="AL106" s="280">
        <f>IF(AL92=0,0,AL120/AL92*100)</f>
        <v>0</v>
      </c>
      <c r="AM106" s="280">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280">
        <f>IF(AT92=0,0,AT120/AT92*100)</f>
        <v>0</v>
      </c>
      <c r="AU106" s="280">
        <f>IF(AU92=0,0,AU120/AU92*100)</f>
        <v>0</v>
      </c>
      <c r="AV106" s="280">
        <f>IF(AV92=0,0,AV120/AV92*100)</f>
        <v>0</v>
      </c>
      <c r="AW106" s="280">
        <f>IF(AW92=0,0,AW120/AW92*100)</f>
        <v>0</v>
      </c>
      <c r="AX106" s="61">
        <f>IF(AX92=0,0,AX120/AX92*100)</f>
        <v>0</v>
      </c>
      <c r="AY106" s="61">
        <f>IF(AY92=0,0,AY120/AY92*100)</f>
        <v>0</v>
      </c>
      <c r="AZ106" s="61">
        <f>IF(AZ92=0,0,AZ120/AZ92*100)</f>
        <v>0</v>
      </c>
      <c r="BA106" s="61">
        <f>IF(BA92=0,0,BA120/BA92*100)</f>
        <v>0</v>
      </c>
      <c r="BB106" s="61">
        <f>IF(BB92=0,0,BB120/BB92*100)</f>
        <v>0</v>
      </c>
      <c r="BC106" s="73"/>
      <c r="BF106" s="1170" t="s">
        <v>1123</v>
      </c>
    </row>
    <row customHeight="1" ht="14.625" hidden="1">
      <c r="E107" s="794">
        <v>15</v>
      </c>
      <c r="F107" s="919" cm="1" t="str">
        <f t="array" ref="F107:F107">F106</f>
        <v>0</v>
      </c>
      <c r="T107" s="816" cm="1" t="str">
        <f t="array" ref="T107:T107">T106</f>
        <v>false</v>
      </c>
      <c r="AB107" s="486" t="str">
        <f>AB102&amp;".5"</f>
        <v>6.4.5</v>
      </c>
      <c r="AC107" s="488" t="s">
        <v>1040</v>
      </c>
      <c r="AD107" s="486" t="s">
        <v>490</v>
      </c>
      <c r="AE107" s="61">
        <f>IF(AE93=0,0,AE121/AE93*100)</f>
        <v>0</v>
      </c>
      <c r="AF107" s="61">
        <f>IF(AF93=0,0,AF121/AF93*100)</f>
        <v>0</v>
      </c>
      <c r="AG107" s="61">
        <f>IF(AG93=0,0,AG121/AG93*100)</f>
        <v>0</v>
      </c>
      <c r="AH107" s="61">
        <f>IF(AH93=0,0,AH121/AH93*100)</f>
        <v>0</v>
      </c>
      <c r="AI107" s="280">
        <f>IF(AI93=0,0,AI121/AI93*100)</f>
        <v>0</v>
      </c>
      <c r="AJ107" s="280">
        <f>IF(AJ93=0,0,AJ121/AJ93*100)</f>
        <v>0</v>
      </c>
      <c r="AK107" s="280">
        <f>IF(AK93=0,0,AK121/AK93*100)</f>
        <v>0</v>
      </c>
      <c r="AL107" s="280">
        <f>IF(AL93=0,0,AL121/AL93*100)</f>
        <v>0</v>
      </c>
      <c r="AM107" s="280">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280">
        <f>IF(AT93=0,0,AT121/AT93*100)</f>
        <v>0</v>
      </c>
      <c r="AU107" s="280">
        <f>IF(AU93=0,0,AU121/AU93*100)</f>
        <v>0</v>
      </c>
      <c r="AV107" s="280">
        <f>IF(AV93=0,0,AV121/AV93*100)</f>
        <v>0</v>
      </c>
      <c r="AW107" s="280">
        <f>IF(AW93=0,0,AW121/AW93*100)</f>
        <v>0</v>
      </c>
      <c r="AX107" s="61">
        <f>IF(AX93=0,0,AX121/AX93*100)</f>
        <v>0</v>
      </c>
      <c r="AY107" s="61">
        <f>IF(AY93=0,0,AY121/AY93*100)</f>
        <v>0</v>
      </c>
      <c r="AZ107" s="61">
        <f>IF(AZ93=0,0,AZ121/AZ93*100)</f>
        <v>0</v>
      </c>
      <c r="BA107" s="61">
        <f>IF(BA93=0,0,BA121/BA93*100)</f>
        <v>0</v>
      </c>
      <c r="BB107" s="61">
        <f>IF(BB93=0,0,BB121/BB93*100)</f>
        <v>0</v>
      </c>
      <c r="BC107" s="73"/>
      <c r="BF107" s="1170" t="s">
        <v>1124</v>
      </c>
    </row>
    <row customHeight="1" ht="14.625" hidden="1">
      <c r="E108" s="794">
        <v>15</v>
      </c>
      <c r="F108" s="919" cm="1" t="str">
        <f t="array" ref="F108:F108">F107</f>
        <v>0</v>
      </c>
      <c r="T108" s="816" cm="1" t="str">
        <f t="array" ref="T108:T108">T107</f>
        <v>false</v>
      </c>
      <c r="AB108" s="486" t="str">
        <f>AB98&amp;".5"</f>
        <v>6.5</v>
      </c>
      <c r="AC108" s="487" t="s">
        <v>1043</v>
      </c>
      <c r="AD108" s="486" t="s">
        <v>490</v>
      </c>
      <c r="AE108" s="61">
        <f>IF(AE94=0,0,AE122/AE94*100)</f>
        <v>0</v>
      </c>
      <c r="AF108" s="61">
        <f>IF(AF94=0,0,AF122/AF94*100)</f>
        <v>0</v>
      </c>
      <c r="AG108" s="61">
        <f>IF(AG94=0,0,AG122/AG94*100)</f>
        <v>0</v>
      </c>
      <c r="AH108" s="61">
        <f>IF(AH94=0,0,AH122/AH94*100)</f>
        <v>0</v>
      </c>
      <c r="AI108" s="280">
        <f>IF(AI94=0,0,AI122/AI94*100)</f>
        <v>0</v>
      </c>
      <c r="AJ108" s="280">
        <f>IF(AJ94=0,0,AJ122/AJ94*100)</f>
        <v>0</v>
      </c>
      <c r="AK108" s="280">
        <f>IF(AK94=0,0,AK122/AK94*100)</f>
        <v>0</v>
      </c>
      <c r="AL108" s="280">
        <f>IF(AL94=0,0,AL122/AL94*100)</f>
        <v>0</v>
      </c>
      <c r="AM108" s="280">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280">
        <f>IF(AT94=0,0,AT122/AT94*100)</f>
        <v>0</v>
      </c>
      <c r="AU108" s="280">
        <f>IF(AU94=0,0,AU122/AU94*100)</f>
        <v>0</v>
      </c>
      <c r="AV108" s="280">
        <f>IF(AV94=0,0,AV122/AV94*100)</f>
        <v>0</v>
      </c>
      <c r="AW108" s="280">
        <f>IF(AW94=0,0,AW122/AW94*100)</f>
        <v>0</v>
      </c>
      <c r="AX108" s="61">
        <f>IF(AX94=0,0,AX122/AX94*100)</f>
        <v>0</v>
      </c>
      <c r="AY108" s="61">
        <f>IF(AY94=0,0,AY122/AY94*100)</f>
        <v>0</v>
      </c>
      <c r="AZ108" s="61">
        <f>IF(AZ94=0,0,AZ122/AZ94*100)</f>
        <v>0</v>
      </c>
      <c r="BA108" s="61">
        <f>IF(BA94=0,0,BA122/BA94*100)</f>
        <v>0</v>
      </c>
      <c r="BB108" s="61">
        <f>IF(BB94=0,0,BB122/BB94*100)</f>
        <v>0</v>
      </c>
      <c r="BC108" s="73"/>
      <c r="BF108" s="1170" t="s">
        <v>1125</v>
      </c>
    </row>
    <row customHeight="1" ht="14.625" hidden="1">
      <c r="E109" s="794">
        <v>15</v>
      </c>
      <c r="F109" s="919" cm="1" t="str">
        <f t="array" ref="F109:F109">F108</f>
        <v>0</v>
      </c>
      <c r="T109" s="816" cm="1" t="str">
        <f t="array" ref="T109:T109">T108</f>
        <v>false</v>
      </c>
      <c r="AB109" s="486" t="str">
        <f>AB98&amp;".6"</f>
        <v>6.6</v>
      </c>
      <c r="AC109" s="487" t="s">
        <v>1046</v>
      </c>
      <c r="AD109" s="486" t="s">
        <v>490</v>
      </c>
      <c r="AE109" s="61">
        <f>IF(AE95=0,0,AE123/AE95*100)</f>
        <v>0</v>
      </c>
      <c r="AF109" s="61">
        <f>IF(AF95=0,0,AF123/AF95*100)</f>
        <v>0</v>
      </c>
      <c r="AG109" s="61">
        <f>IF(AG95=0,0,AG123/AG95*100)</f>
        <v>0</v>
      </c>
      <c r="AH109" s="61">
        <f>IF(AH95=0,0,AH123/AH95*100)</f>
        <v>0</v>
      </c>
      <c r="AI109" s="280">
        <f>IF(AI95=0,0,AI123/AI95*100)</f>
        <v>0</v>
      </c>
      <c r="AJ109" s="280">
        <f>IF(AJ95=0,0,AJ123/AJ95*100)</f>
        <v>0</v>
      </c>
      <c r="AK109" s="280">
        <f>IF(AK95=0,0,AK123/AK95*100)</f>
        <v>0</v>
      </c>
      <c r="AL109" s="280">
        <f>IF(AL95=0,0,AL123/AL95*100)</f>
        <v>0</v>
      </c>
      <c r="AM109" s="280">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280">
        <f>IF(AT95=0,0,AT123/AT95*100)</f>
        <v>0</v>
      </c>
      <c r="AU109" s="280">
        <f>IF(AU95=0,0,AU123/AU95*100)</f>
        <v>0</v>
      </c>
      <c r="AV109" s="280">
        <f>IF(AV95=0,0,AV123/AV95*100)</f>
        <v>0</v>
      </c>
      <c r="AW109" s="280">
        <f>IF(AW95=0,0,AW123/AW95*100)</f>
        <v>0</v>
      </c>
      <c r="AX109" s="61">
        <f>IF(AX95=0,0,AX123/AX95*100)</f>
        <v>0</v>
      </c>
      <c r="AY109" s="61">
        <f>IF(AY95=0,0,AY123/AY95*100)</f>
        <v>0</v>
      </c>
      <c r="AZ109" s="61">
        <f>IF(AZ95=0,0,AZ123/AZ95*100)</f>
        <v>0</v>
      </c>
      <c r="BA109" s="61">
        <f>IF(BA95=0,0,BA123/BA95*100)</f>
        <v>0</v>
      </c>
      <c r="BB109" s="61">
        <f>IF(BB95=0,0,BB123/BB95*100)</f>
        <v>0</v>
      </c>
      <c r="BC109" s="73"/>
      <c r="BF109" s="1170" t="s">
        <v>1126</v>
      </c>
    </row>
    <row customHeight="1" ht="14.625" hidden="1">
      <c r="E110" s="794">
        <v>15</v>
      </c>
      <c r="F110" s="919" cm="1" t="str">
        <f t="array" ref="F110:F110">F109</f>
        <v>0</v>
      </c>
      <c r="T110" s="816" cm="1" t="str">
        <f t="array" ref="T110:T110">T109</f>
        <v>false</v>
      </c>
      <c r="AB110" s="486" t="str">
        <f>AB98&amp;".7"</f>
        <v>6.7</v>
      </c>
      <c r="AC110" s="487" t="s">
        <v>1049</v>
      </c>
      <c r="AD110" s="486" t="s">
        <v>490</v>
      </c>
      <c r="AE110" s="61">
        <f>IF(AE96=0,0,AE124/AE96*100)</f>
        <v>0</v>
      </c>
      <c r="AF110" s="61">
        <f>IF(AF96=0,0,AF124/AF96*100)</f>
        <v>0</v>
      </c>
      <c r="AG110" s="61">
        <f>IF(AG96=0,0,AG124/AG96*100)</f>
        <v>0</v>
      </c>
      <c r="AH110" s="61">
        <f>IF(AH96=0,0,AH124/AH96*100)</f>
        <v>0</v>
      </c>
      <c r="AI110" s="280">
        <f>IF(AI96=0,0,AI124/AI96*100)</f>
        <v>0</v>
      </c>
      <c r="AJ110" s="280">
        <f>IF(AJ96=0,0,AJ124/AJ96*100)</f>
        <v>0</v>
      </c>
      <c r="AK110" s="280">
        <f>IF(AK96=0,0,AK124/AK96*100)</f>
        <v>0</v>
      </c>
      <c r="AL110" s="280">
        <f>IF(AL96=0,0,AL124/AL96*100)</f>
        <v>0</v>
      </c>
      <c r="AM110" s="280">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280">
        <f>IF(AT96=0,0,AT124/AT96*100)</f>
        <v>0</v>
      </c>
      <c r="AU110" s="280">
        <f>IF(AU96=0,0,AU124/AU96*100)</f>
        <v>0</v>
      </c>
      <c r="AV110" s="280">
        <f>IF(AV96=0,0,AV124/AV96*100)</f>
        <v>0</v>
      </c>
      <c r="AW110" s="280">
        <f>IF(AW96=0,0,AW124/AW96*100)</f>
        <v>0</v>
      </c>
      <c r="AX110" s="61">
        <f>IF(AX96=0,0,AX124/AX96*100)</f>
        <v>0</v>
      </c>
      <c r="AY110" s="61">
        <f>IF(AY96=0,0,AY124/AY96*100)</f>
        <v>0</v>
      </c>
      <c r="AZ110" s="61">
        <f>IF(AZ96=0,0,AZ124/AZ96*100)</f>
        <v>0</v>
      </c>
      <c r="BA110" s="61">
        <f>IF(BA96=0,0,BA124/BA96*100)</f>
        <v>0</v>
      </c>
      <c r="BB110" s="61">
        <f>IF(BB96=0,0,BB124/BB96*100)</f>
        <v>0</v>
      </c>
      <c r="BC110" s="73"/>
      <c r="BF110" s="1170" t="s">
        <v>1127</v>
      </c>
    </row>
    <row customHeight="1" ht="14.625" hidden="1">
      <c r="E111" s="794">
        <v>15</v>
      </c>
      <c r="F111" s="919" cm="1" t="str">
        <f t="array" ref="F111:F111">F110</f>
        <v>0</v>
      </c>
      <c r="T111" s="816" cm="1" t="str">
        <f t="array" ref="T111:T111">T110</f>
        <v>false</v>
      </c>
      <c r="AB111" s="486" t="str">
        <f>AB98&amp;".8"</f>
        <v>6.8</v>
      </c>
      <c r="AC111" s="487" t="s">
        <v>1052</v>
      </c>
      <c r="AD111" s="486" t="s">
        <v>490</v>
      </c>
      <c r="AE111" s="61">
        <f>IF(AE97=0,0,AE125/AE97*100)</f>
        <v>0</v>
      </c>
      <c r="AF111" s="61">
        <f>IF(AF97=0,0,AF125/AF97*100)</f>
        <v>0</v>
      </c>
      <c r="AG111" s="61">
        <f>IF(AG97=0,0,AG125/AG97*100)</f>
        <v>0</v>
      </c>
      <c r="AH111" s="61">
        <f>IF(AH97=0,0,AH125/AH97*100)</f>
        <v>0</v>
      </c>
      <c r="AI111" s="280">
        <f>IF(AI97=0,0,AI125/AI97*100)</f>
        <v>0</v>
      </c>
      <c r="AJ111" s="280">
        <f>IF(AJ97=0,0,AJ125/AJ97*100)</f>
        <v>0</v>
      </c>
      <c r="AK111" s="280">
        <f>IF(AK97=0,0,AK125/AK97*100)</f>
        <v>0</v>
      </c>
      <c r="AL111" s="280">
        <f>IF(AL97=0,0,AL125/AL97*100)</f>
        <v>0</v>
      </c>
      <c r="AM111" s="280">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280">
        <f>IF(AT97=0,0,AT125/AT97*100)</f>
        <v>0</v>
      </c>
      <c r="AU111" s="280">
        <f>IF(AU97=0,0,AU125/AU97*100)</f>
        <v>0</v>
      </c>
      <c r="AV111" s="280">
        <f>IF(AV97=0,0,AV125/AV97*100)</f>
        <v>0</v>
      </c>
      <c r="AW111" s="280">
        <f>IF(AW97=0,0,AW125/AW97*100)</f>
        <v>0</v>
      </c>
      <c r="AX111" s="61">
        <f>IF(AX97=0,0,AX125/AX97*100)</f>
        <v>0</v>
      </c>
      <c r="AY111" s="61">
        <f>IF(AY97=0,0,AY125/AY97*100)</f>
        <v>0</v>
      </c>
      <c r="AZ111" s="61">
        <f>IF(AZ97=0,0,AZ125/AZ97*100)</f>
        <v>0</v>
      </c>
      <c r="BA111" s="61">
        <f>IF(BA97=0,0,BA125/BA97*100)</f>
        <v>0</v>
      </c>
      <c r="BB111" s="61">
        <f>IF(BB97=0,0,BB125/BB97*100)</f>
        <v>0</v>
      </c>
      <c r="BC111" s="73"/>
      <c r="BF111" s="1170" t="s">
        <v>1128</v>
      </c>
    </row>
    <row s="214" customFormat="1" customHeight="1" ht="14.625" hidden="1">
      <c r="E112" s="794">
        <v>15</v>
      </c>
      <c r="F112" s="919" cm="1" t="str">
        <f t="array" ref="F112:F112">F111</f>
        <v>0</v>
      </c>
      <c r="G112" s="736" t="s">
        <v>1129</v>
      </c>
      <c r="T112" s="816" cm="1" t="str">
        <f t="array" ref="T112:T112">T111</f>
        <v>false</v>
      </c>
      <c r="AB112" s="277">
        <v>7</v>
      </c>
      <c r="AC112" s="278" t="s">
        <v>1130</v>
      </c>
      <c r="AD112" s="153" t="s">
        <v>805</v>
      </c>
      <c r="AE112" s="102">
        <f>SUM(AE113:AE116)+SUM(AE122:AE125)</f>
        <v>0</v>
      </c>
      <c r="AF112" s="102">
        <f>SUM(AF113:AF116)+SUM(AF122:AF125)</f>
        <v>0</v>
      </c>
      <c r="AG112" s="102">
        <f>SUM(AG113:AG116)+SUM(AG122:AG125)</f>
        <v>0</v>
      </c>
      <c r="AH112" s="102">
        <f>SUM(AH113:AH116)+SUM(AH122:AH125)</f>
        <v>0</v>
      </c>
      <c r="AI112" s="292">
        <f>SUM(AI113:AI116)+SUM(AI122:AI125)</f>
        <v>0</v>
      </c>
      <c r="AJ112" s="292">
        <f>SUM(AJ113:AJ116)+SUM(AJ122:AJ125)</f>
        <v>0</v>
      </c>
      <c r="AK112" s="292">
        <f>SUM(AK113:AK116)+SUM(AK122:AK125)</f>
        <v>0</v>
      </c>
      <c r="AL112" s="292">
        <f>SUM(AL113:AL116)+SUM(AL122:AL125)</f>
        <v>0</v>
      </c>
      <c r="AM112" s="29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2">
        <f>SUM(AS113:AS116)+SUM(AS122:AS125)</f>
        <v>0</v>
      </c>
      <c r="AT112" s="292">
        <f>SUM(AT113:AT116)+SUM(AT122:AT125)</f>
        <v>0</v>
      </c>
      <c r="AU112" s="292">
        <f>SUM(AU113:AU116)+SUM(AU122:AU125)</f>
        <v>0</v>
      </c>
      <c r="AV112" s="292">
        <f>SUM(AV113:AV116)+SUM(AV122:AV125)</f>
        <v>0</v>
      </c>
      <c r="AW112" s="29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0" t="s">
        <v>1131</v>
      </c>
    </row>
    <row customHeight="1" ht="14.625" hidden="1">
      <c r="E113" s="794">
        <v>15</v>
      </c>
      <c r="F113" s="919" cm="1" t="str">
        <f t="array" ref="F113:F113">F112</f>
        <v>0</v>
      </c>
      <c r="T113" s="816" cm="1" t="str">
        <f t="array" ref="T113:T113">T112</f>
        <v>false</v>
      </c>
      <c r="AB113" s="486" t="str">
        <f>AB112&amp;".1"</f>
        <v>7.1</v>
      </c>
      <c r="AC113" s="487" t="s">
        <v>1018</v>
      </c>
      <c r="AD113" s="486" t="s">
        <v>1019</v>
      </c>
      <c r="AE113" s="61"/>
      <c r="AF113" s="61"/>
      <c r="AG113" s="61"/>
      <c r="AH113" s="61"/>
      <c r="AI113" s="280"/>
      <c r="AJ113" s="280"/>
      <c r="AK113" s="280"/>
      <c r="AL113" s="280"/>
      <c r="AM113" s="280"/>
      <c r="AN113" s="61"/>
      <c r="AO113" s="61"/>
      <c r="AP113" s="61"/>
      <c r="AQ113" s="61"/>
      <c r="AR113" s="61"/>
      <c r="AS113" s="280"/>
      <c r="AT113" s="280"/>
      <c r="AU113" s="280"/>
      <c r="AV113" s="280"/>
      <c r="AW113" s="280"/>
      <c r="AX113" s="61"/>
      <c r="AY113" s="61"/>
      <c r="AZ113" s="61"/>
      <c r="BA113" s="61"/>
      <c r="BB113" s="61"/>
      <c r="BC113" s="73"/>
      <c r="BF113" s="1170" t="s">
        <v>1132</v>
      </c>
    </row>
    <row customHeight="1" ht="14.625" hidden="1">
      <c r="E114" s="794">
        <v>15</v>
      </c>
      <c r="F114" s="919" cm="1" t="str">
        <f t="array" ref="F114:F114">F113</f>
        <v>0</v>
      </c>
      <c r="T114" s="816" cm="1" t="str">
        <f t="array" ref="T114:T114">T113</f>
        <v>false</v>
      </c>
      <c r="AB114" s="486" t="str">
        <f>AB112&amp;".2"</f>
        <v>7.2</v>
      </c>
      <c r="AC114" s="487" t="s">
        <v>1021</v>
      </c>
      <c r="AD114" s="486" t="s">
        <v>1019</v>
      </c>
      <c r="AE114" s="61"/>
      <c r="AF114" s="61"/>
      <c r="AG114" s="61"/>
      <c r="AH114" s="61"/>
      <c r="AI114" s="280"/>
      <c r="AJ114" s="280"/>
      <c r="AK114" s="280"/>
      <c r="AL114" s="280"/>
      <c r="AM114" s="280"/>
      <c r="AN114" s="61"/>
      <c r="AO114" s="61"/>
      <c r="AP114" s="61"/>
      <c r="AQ114" s="61"/>
      <c r="AR114" s="61"/>
      <c r="AS114" s="280"/>
      <c r="AT114" s="280"/>
      <c r="AU114" s="280"/>
      <c r="AV114" s="280"/>
      <c r="AW114" s="280"/>
      <c r="AX114" s="61"/>
      <c r="AY114" s="61"/>
      <c r="AZ114" s="61"/>
      <c r="BA114" s="61"/>
      <c r="BB114" s="61"/>
      <c r="BC114" s="73"/>
      <c r="BF114" s="1170" t="s">
        <v>1133</v>
      </c>
    </row>
    <row customHeight="1" ht="14.625" hidden="1">
      <c r="E115" s="794">
        <v>15</v>
      </c>
      <c r="F115" s="919" cm="1" t="str">
        <f t="array" ref="F115:F115">F114</f>
        <v>0</v>
      </c>
      <c r="T115" s="816" cm="1" t="str">
        <f t="array" ref="T115:T115">T114</f>
        <v>false</v>
      </c>
      <c r="AB115" s="486" t="str">
        <f>AB112&amp;".3"</f>
        <v>7.3</v>
      </c>
      <c r="AC115" s="487" t="s">
        <v>1023</v>
      </c>
      <c r="AD115" s="486" t="s">
        <v>1019</v>
      </c>
      <c r="AE115" s="61"/>
      <c r="AF115" s="61"/>
      <c r="AG115" s="61"/>
      <c r="AH115" s="61"/>
      <c r="AI115" s="280"/>
      <c r="AJ115" s="280"/>
      <c r="AK115" s="280"/>
      <c r="AL115" s="280"/>
      <c r="AM115" s="280"/>
      <c r="AN115" s="61"/>
      <c r="AO115" s="61"/>
      <c r="AP115" s="61"/>
      <c r="AQ115" s="61"/>
      <c r="AR115" s="61"/>
      <c r="AS115" s="280"/>
      <c r="AT115" s="280"/>
      <c r="AU115" s="280"/>
      <c r="AV115" s="280"/>
      <c r="AW115" s="280"/>
      <c r="AX115" s="61"/>
      <c r="AY115" s="61"/>
      <c r="AZ115" s="61"/>
      <c r="BA115" s="61"/>
      <c r="BB115" s="61"/>
      <c r="BC115" s="73"/>
      <c r="BF115" s="1170" t="s">
        <v>1134</v>
      </c>
    </row>
    <row customHeight="1" ht="14.625" hidden="1">
      <c r="E116" s="794">
        <v>15</v>
      </c>
      <c r="F116" s="919" cm="1" t="str">
        <f t="array" ref="F116:F116">F115</f>
        <v>0</v>
      </c>
      <c r="T116" s="816" cm="1" t="str">
        <f t="array" ref="T116:T116">T115</f>
        <v>false</v>
      </c>
      <c r="AB116" s="486" t="str">
        <f>AB112&amp;".4"</f>
        <v>7.4</v>
      </c>
      <c r="AC116" s="487" t="s">
        <v>1025</v>
      </c>
      <c r="AD116" s="486" t="s">
        <v>1019</v>
      </c>
      <c r="AE116" s="85">
        <f>SUM(AE117:AE121)</f>
        <v>0</v>
      </c>
      <c r="AF116" s="85">
        <f>SUM(AF117:AF121)</f>
        <v>0</v>
      </c>
      <c r="AG116" s="85">
        <f>SUM(AG117:AG121)</f>
        <v>0</v>
      </c>
      <c r="AH116" s="85">
        <f>SUM(AH117:AH121)</f>
        <v>0</v>
      </c>
      <c r="AI116" s="481">
        <f>SUM(AI117:AI121)</f>
        <v>0</v>
      </c>
      <c r="AJ116" s="481">
        <f>SUM(AJ117:AJ121)</f>
        <v>0</v>
      </c>
      <c r="AK116" s="481">
        <f>SUM(AK117:AK121)</f>
        <v>0</v>
      </c>
      <c r="AL116" s="481">
        <f>SUM(AL117:AL121)</f>
        <v>0</v>
      </c>
      <c r="AM116" s="481">
        <f>SUM(AM117:AM121)</f>
        <v>0</v>
      </c>
      <c r="AN116" s="85">
        <f>SUM(AN117:AN121)</f>
        <v>0</v>
      </c>
      <c r="AO116" s="85">
        <f>SUM(AO117:AO121)</f>
        <v>0</v>
      </c>
      <c r="AP116" s="85">
        <f>SUM(AP117:AP121)</f>
        <v>0</v>
      </c>
      <c r="AQ116" s="85">
        <f>SUM(AQ117:AQ121)</f>
        <v>0</v>
      </c>
      <c r="AR116" s="85">
        <f>SUM(AR117:AR121)</f>
        <v>0</v>
      </c>
      <c r="AS116" s="481">
        <f>SUM(AS117:AS121)</f>
        <v>0</v>
      </c>
      <c r="AT116" s="481">
        <f>SUM(AT117:AT121)</f>
        <v>0</v>
      </c>
      <c r="AU116" s="481">
        <f>SUM(AU117:AU121)</f>
        <v>0</v>
      </c>
      <c r="AV116" s="481">
        <f>SUM(AV117:AV121)</f>
        <v>0</v>
      </c>
      <c r="AW116" s="481">
        <f>SUM(AW117:AW121)</f>
        <v>0</v>
      </c>
      <c r="AX116" s="85">
        <f>SUM(AX117:AX121)</f>
        <v>0</v>
      </c>
      <c r="AY116" s="85">
        <f>SUM(AY117:AY121)</f>
        <v>0</v>
      </c>
      <c r="AZ116" s="85">
        <f>SUM(AZ117:AZ121)</f>
        <v>0</v>
      </c>
      <c r="BA116" s="85">
        <f>SUM(BA117:BA121)</f>
        <v>0</v>
      </c>
      <c r="BB116" s="85">
        <f>SUM(BB117:BB121)</f>
        <v>0</v>
      </c>
      <c r="BC116" s="73"/>
      <c r="BF116" s="1170" t="s">
        <v>1135</v>
      </c>
    </row>
    <row customHeight="1" ht="14.625" hidden="1">
      <c r="E117" s="794">
        <v>15</v>
      </c>
      <c r="F117" s="919" cm="1" t="str">
        <f t="array" ref="F117:F117">F116</f>
        <v>0</v>
      </c>
      <c r="T117" s="816" cm="1" t="str">
        <f t="array" ref="T117:T117">T116</f>
        <v>false</v>
      </c>
      <c r="AB117" s="486" t="str">
        <f>AB116&amp;".1"</f>
        <v>7.4.1</v>
      </c>
      <c r="AC117" s="488" t="s">
        <v>1028</v>
      </c>
      <c r="AD117" s="486" t="s">
        <v>1019</v>
      </c>
      <c r="AE117" s="61"/>
      <c r="AF117" s="61"/>
      <c r="AG117" s="61"/>
      <c r="AH117" s="61"/>
      <c r="AI117" s="280"/>
      <c r="AJ117" s="280"/>
      <c r="AK117" s="280"/>
      <c r="AL117" s="280"/>
      <c r="AM117" s="280"/>
      <c r="AN117" s="61"/>
      <c r="AO117" s="61"/>
      <c r="AP117" s="61"/>
      <c r="AQ117" s="61"/>
      <c r="AR117" s="61"/>
      <c r="AS117" s="280"/>
      <c r="AT117" s="280"/>
      <c r="AU117" s="280"/>
      <c r="AV117" s="280"/>
      <c r="AW117" s="280"/>
      <c r="AX117" s="61"/>
      <c r="AY117" s="61"/>
      <c r="AZ117" s="61"/>
      <c r="BA117" s="61"/>
      <c r="BB117" s="61"/>
      <c r="BC117" s="73"/>
      <c r="BF117" s="1170" t="s">
        <v>1136</v>
      </c>
    </row>
    <row customHeight="1" ht="14.625" hidden="1">
      <c r="E118" s="794">
        <v>15</v>
      </c>
      <c r="F118" s="919" cm="1" t="str">
        <f t="array" ref="F118:F118">F117</f>
        <v>0</v>
      </c>
      <c r="T118" s="816" cm="1" t="str">
        <f t="array" ref="T118:T118">T117</f>
        <v>false</v>
      </c>
      <c r="AB118" s="486" t="str">
        <f>AB116&amp;".2"</f>
        <v>7.4.2</v>
      </c>
      <c r="AC118" s="488" t="s">
        <v>1031</v>
      </c>
      <c r="AD118" s="486" t="s">
        <v>1019</v>
      </c>
      <c r="AE118" s="61"/>
      <c r="AF118" s="61"/>
      <c r="AG118" s="61"/>
      <c r="AH118" s="61"/>
      <c r="AI118" s="280"/>
      <c r="AJ118" s="280"/>
      <c r="AK118" s="280"/>
      <c r="AL118" s="280"/>
      <c r="AM118" s="280"/>
      <c r="AN118" s="61"/>
      <c r="AO118" s="61"/>
      <c r="AP118" s="61"/>
      <c r="AQ118" s="61"/>
      <c r="AR118" s="61"/>
      <c r="AS118" s="280"/>
      <c r="AT118" s="280"/>
      <c r="AU118" s="280"/>
      <c r="AV118" s="280"/>
      <c r="AW118" s="280"/>
      <c r="AX118" s="61"/>
      <c r="AY118" s="61"/>
      <c r="AZ118" s="61"/>
      <c r="BA118" s="61"/>
      <c r="BB118" s="61"/>
      <c r="BC118" s="73"/>
      <c r="BF118" s="1170" t="s">
        <v>1137</v>
      </c>
    </row>
    <row customHeight="1" ht="14.625" hidden="1">
      <c r="E119" s="794">
        <v>15</v>
      </c>
      <c r="F119" s="919" cm="1" t="str">
        <f t="array" ref="F119:F119">F118</f>
        <v>0</v>
      </c>
      <c r="T119" s="816" cm="1" t="str">
        <f t="array" ref="T119:T119">T118</f>
        <v>false</v>
      </c>
      <c r="AB119" s="486" t="str">
        <f>AB116&amp;".3"</f>
        <v>7.4.3</v>
      </c>
      <c r="AC119" s="488" t="s">
        <v>1034</v>
      </c>
      <c r="AD119" s="486" t="s">
        <v>1019</v>
      </c>
      <c r="AE119" s="61"/>
      <c r="AF119" s="61"/>
      <c r="AG119" s="61"/>
      <c r="AH119" s="61"/>
      <c r="AI119" s="280"/>
      <c r="AJ119" s="280"/>
      <c r="AK119" s="280"/>
      <c r="AL119" s="280"/>
      <c r="AM119" s="280"/>
      <c r="AN119" s="61"/>
      <c r="AO119" s="61"/>
      <c r="AP119" s="61"/>
      <c r="AQ119" s="61"/>
      <c r="AR119" s="61"/>
      <c r="AS119" s="280"/>
      <c r="AT119" s="280"/>
      <c r="AU119" s="280"/>
      <c r="AV119" s="280"/>
      <c r="AW119" s="280"/>
      <c r="AX119" s="61"/>
      <c r="AY119" s="61"/>
      <c r="AZ119" s="61"/>
      <c r="BA119" s="61"/>
      <c r="BB119" s="61"/>
      <c r="BC119" s="73"/>
      <c r="BF119" s="1170" t="s">
        <v>1138</v>
      </c>
    </row>
    <row customHeight="1" ht="14.625" hidden="1">
      <c r="E120" s="794">
        <v>15</v>
      </c>
      <c r="F120" s="919" cm="1" t="str">
        <f t="array" ref="F120:F120">F119</f>
        <v>0</v>
      </c>
      <c r="T120" s="816" cm="1" t="str">
        <f t="array" ref="T120:T120">T119</f>
        <v>false</v>
      </c>
      <c r="AB120" s="486" t="str">
        <f>AB116&amp;".4"</f>
        <v>7.4.4</v>
      </c>
      <c r="AC120" s="488" t="s">
        <v>1037</v>
      </c>
      <c r="AD120" s="486" t="s">
        <v>1019</v>
      </c>
      <c r="AE120" s="61"/>
      <c r="AF120" s="61"/>
      <c r="AG120" s="61"/>
      <c r="AH120" s="61"/>
      <c r="AI120" s="280"/>
      <c r="AJ120" s="280"/>
      <c r="AK120" s="280"/>
      <c r="AL120" s="280"/>
      <c r="AM120" s="280"/>
      <c r="AN120" s="61"/>
      <c r="AO120" s="61"/>
      <c r="AP120" s="61"/>
      <c r="AQ120" s="61"/>
      <c r="AR120" s="61"/>
      <c r="AS120" s="280"/>
      <c r="AT120" s="280"/>
      <c r="AU120" s="280"/>
      <c r="AV120" s="280"/>
      <c r="AW120" s="280"/>
      <c r="AX120" s="61"/>
      <c r="AY120" s="61"/>
      <c r="AZ120" s="61"/>
      <c r="BA120" s="61"/>
      <c r="BB120" s="61"/>
      <c r="BC120" s="73"/>
      <c r="BF120" s="1170" t="s">
        <v>1139</v>
      </c>
    </row>
    <row customHeight="1" ht="14.625" hidden="1">
      <c r="E121" s="794">
        <v>15</v>
      </c>
      <c r="F121" s="919" cm="1" t="str">
        <f t="array" ref="F121:F121">F120</f>
        <v>0</v>
      </c>
      <c r="T121" s="816" cm="1" t="str">
        <f t="array" ref="T121:T121">T120</f>
        <v>false</v>
      </c>
      <c r="AB121" s="486" t="str">
        <f>AB116&amp;".5"</f>
        <v>7.4.5</v>
      </c>
      <c r="AC121" s="488" t="s">
        <v>1040</v>
      </c>
      <c r="AD121" s="486" t="s">
        <v>1019</v>
      </c>
      <c r="AE121" s="61"/>
      <c r="AF121" s="61"/>
      <c r="AG121" s="61"/>
      <c r="AH121" s="61"/>
      <c r="AI121" s="280"/>
      <c r="AJ121" s="280"/>
      <c r="AK121" s="280"/>
      <c r="AL121" s="280"/>
      <c r="AM121" s="280"/>
      <c r="AN121" s="61"/>
      <c r="AO121" s="61"/>
      <c r="AP121" s="61"/>
      <c r="AQ121" s="61"/>
      <c r="AR121" s="61"/>
      <c r="AS121" s="280"/>
      <c r="AT121" s="280"/>
      <c r="AU121" s="280"/>
      <c r="AV121" s="280"/>
      <c r="AW121" s="280"/>
      <c r="AX121" s="61"/>
      <c r="AY121" s="61"/>
      <c r="AZ121" s="61"/>
      <c r="BA121" s="61"/>
      <c r="BB121" s="61"/>
      <c r="BC121" s="73"/>
      <c r="BF121" s="1170" t="s">
        <v>1140</v>
      </c>
    </row>
    <row customHeight="1" ht="14.625" hidden="1">
      <c r="E122" s="794">
        <v>15</v>
      </c>
      <c r="F122" s="919" cm="1" t="str">
        <f t="array" ref="F122:F122">F121</f>
        <v>0</v>
      </c>
      <c r="T122" s="816" cm="1" t="str">
        <f t="array" ref="T122:T122">T121</f>
        <v>false</v>
      </c>
      <c r="AB122" s="486" t="str">
        <f>AB112&amp;".5"</f>
        <v>7.5</v>
      </c>
      <c r="AC122" s="487" t="s">
        <v>1043</v>
      </c>
      <c r="AD122" s="486" t="s">
        <v>1019</v>
      </c>
      <c r="AE122" s="61"/>
      <c r="AF122" s="61"/>
      <c r="AG122" s="61"/>
      <c r="AH122" s="61"/>
      <c r="AI122" s="280"/>
      <c r="AJ122" s="280"/>
      <c r="AK122" s="280"/>
      <c r="AL122" s="280"/>
      <c r="AM122" s="280"/>
      <c r="AN122" s="61"/>
      <c r="AO122" s="61"/>
      <c r="AP122" s="61"/>
      <c r="AQ122" s="61"/>
      <c r="AR122" s="61"/>
      <c r="AS122" s="280"/>
      <c r="AT122" s="280"/>
      <c r="AU122" s="280"/>
      <c r="AV122" s="280"/>
      <c r="AW122" s="280"/>
      <c r="AX122" s="61"/>
      <c r="AY122" s="61"/>
      <c r="AZ122" s="61"/>
      <c r="BA122" s="61"/>
      <c r="BB122" s="61"/>
      <c r="BC122" s="73"/>
      <c r="BF122" s="1170" t="s">
        <v>1141</v>
      </c>
    </row>
    <row customHeight="1" ht="14.625" hidden="1">
      <c r="E123" s="794">
        <v>15</v>
      </c>
      <c r="F123" s="919" cm="1" t="str">
        <f t="array" ref="F123:F123">F122</f>
        <v>0</v>
      </c>
      <c r="T123" s="816" cm="1" t="str">
        <f t="array" ref="T123:T123">T122</f>
        <v>false</v>
      </c>
      <c r="AB123" s="486" t="str">
        <f>AB112&amp;".6"</f>
        <v>7.6</v>
      </c>
      <c r="AC123" s="487" t="s">
        <v>1046</v>
      </c>
      <c r="AD123" s="486" t="s">
        <v>1019</v>
      </c>
      <c r="AE123" s="61"/>
      <c r="AF123" s="61"/>
      <c r="AG123" s="61"/>
      <c r="AH123" s="61"/>
      <c r="AI123" s="280"/>
      <c r="AJ123" s="280"/>
      <c r="AK123" s="280"/>
      <c r="AL123" s="280"/>
      <c r="AM123" s="280"/>
      <c r="AN123" s="61"/>
      <c r="AO123" s="61"/>
      <c r="AP123" s="61"/>
      <c r="AQ123" s="61"/>
      <c r="AR123" s="61"/>
      <c r="AS123" s="280"/>
      <c r="AT123" s="280"/>
      <c r="AU123" s="280"/>
      <c r="AV123" s="280"/>
      <c r="AW123" s="280"/>
      <c r="AX123" s="61"/>
      <c r="AY123" s="61"/>
      <c r="AZ123" s="61"/>
      <c r="BA123" s="61"/>
      <c r="BB123" s="61"/>
      <c r="BC123" s="73"/>
      <c r="BF123" s="1170" t="s">
        <v>1142</v>
      </c>
    </row>
    <row customHeight="1" ht="14.625" hidden="1">
      <c r="E124" s="794">
        <v>15</v>
      </c>
      <c r="F124" s="919" cm="1" t="str">
        <f t="array" ref="F124:F124">F123</f>
        <v>0</v>
      </c>
      <c r="T124" s="816" cm="1" t="str">
        <f t="array" ref="T124:T124">T123</f>
        <v>false</v>
      </c>
      <c r="AB124" s="486" t="str">
        <f>AB112&amp;".7"</f>
        <v>7.7</v>
      </c>
      <c r="AC124" s="487" t="s">
        <v>1049</v>
      </c>
      <c r="AD124" s="486" t="s">
        <v>1019</v>
      </c>
      <c r="AE124" s="61"/>
      <c r="AF124" s="61"/>
      <c r="AG124" s="61"/>
      <c r="AH124" s="61"/>
      <c r="AI124" s="280"/>
      <c r="AJ124" s="280"/>
      <c r="AK124" s="280"/>
      <c r="AL124" s="280"/>
      <c r="AM124" s="280"/>
      <c r="AN124" s="61"/>
      <c r="AO124" s="61"/>
      <c r="AP124" s="61"/>
      <c r="AQ124" s="61"/>
      <c r="AR124" s="61"/>
      <c r="AS124" s="280"/>
      <c r="AT124" s="280"/>
      <c r="AU124" s="280"/>
      <c r="AV124" s="280"/>
      <c r="AW124" s="280"/>
      <c r="AX124" s="61"/>
      <c r="AY124" s="61"/>
      <c r="AZ124" s="61"/>
      <c r="BA124" s="61"/>
      <c r="BB124" s="61"/>
      <c r="BC124" s="73"/>
      <c r="BF124" s="1170" t="s">
        <v>1143</v>
      </c>
    </row>
    <row customHeight="1" ht="14.625" hidden="1">
      <c r="E125" s="794">
        <v>15</v>
      </c>
      <c r="F125" s="919" cm="1" t="str">
        <f t="array" ref="F125:F125">F124</f>
        <v>0</v>
      </c>
      <c r="T125" s="816" cm="1" t="str">
        <f t="array" ref="T125:T125">T124</f>
        <v>false</v>
      </c>
      <c r="AB125" s="486" t="str">
        <f>AB112&amp;".8"</f>
        <v>7.8</v>
      </c>
      <c r="AC125" s="487" t="s">
        <v>1052</v>
      </c>
      <c r="AD125" s="486" t="s">
        <v>1019</v>
      </c>
      <c r="AE125" s="61"/>
      <c r="AF125" s="61"/>
      <c r="AG125" s="61"/>
      <c r="AH125" s="61"/>
      <c r="AI125" s="280"/>
      <c r="AJ125" s="280"/>
      <c r="AK125" s="280"/>
      <c r="AL125" s="280"/>
      <c r="AM125" s="280"/>
      <c r="AN125" s="61"/>
      <c r="AO125" s="61"/>
      <c r="AP125" s="61"/>
      <c r="AQ125" s="61"/>
      <c r="AR125" s="61"/>
      <c r="AS125" s="280"/>
      <c r="AT125" s="280"/>
      <c r="AU125" s="280"/>
      <c r="AV125" s="280"/>
      <c r="AW125" s="280"/>
      <c r="AX125" s="61"/>
      <c r="AY125" s="61"/>
      <c r="AZ125" s="61"/>
      <c r="BA125" s="61"/>
      <c r="BB125" s="61"/>
      <c r="BC125" s="73"/>
      <c r="BF125" s="1170" t="s">
        <v>1144</v>
      </c>
    </row>
    <row s="1619"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W126" s="1440"/>
      <c r="X126" s="156" t="s">
        <v>335</v>
      </c>
      <c r="Y126" s="1440"/>
      <c r="Z126" s="1440"/>
      <c r="AA126" s="934"/>
      <c r="AB126" s="287" cm="1" t="str">
        <f t="array" ref="AB126:AB126">IF(ISBLANK('ХВС, ТН'!$AB$40),"",'ХВС, ТН'!$AB$40)</f>
        <v>Тариф 1 (Теплоснабжение) - Тариф на тепловую энергию (мощность), поставляемую потребителям (Тариф: Носитель - горячая вода (Т); Носитель - горячая вода (Т))</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1016</v>
      </c>
      <c r="AD127" s="153" t="s">
        <v>805</v>
      </c>
      <c r="AE127" s="1793">
        <f>SUM(AE128:AE131)+SUM(AE137:AE140)</f>
        <v>0</v>
      </c>
      <c r="AF127" s="1793">
        <f>SUM(AF128:AF131)+SUM(AF137:AF140)</f>
        <v>0</v>
      </c>
      <c r="AG127" s="1793">
        <f>SUM(AG128:AG131)+SUM(AG137:AG140)</f>
        <v>0</v>
      </c>
      <c r="AH127" s="1793">
        <f>SUM(AH128:AH131)+SUM(AH137:AH140)</f>
        <v>0</v>
      </c>
      <c r="AI127" s="292">
        <f>SUM(AI128:AI131)+SUM(AI137:AI140)</f>
        <v>0</v>
      </c>
      <c r="AJ127" s="292">
        <f>SUM(AJ128:AJ131)+SUM(AJ137:AJ140)</f>
        <v>0</v>
      </c>
      <c r="AK127" s="292">
        <f>SUM(AK128:AK131)+SUM(AK137:AK140)</f>
        <v>0</v>
      </c>
      <c r="AL127" s="292">
        <f>SUM(AL128:AL131)+SUM(AL137:AL140)</f>
        <v>0</v>
      </c>
      <c r="AM127" s="292">
        <f>SUM(AM128:AM131)+SUM(AM137:AM140)</f>
        <v>0</v>
      </c>
      <c r="AN127" s="1793">
        <f>SUM(AN128:AN131)+SUM(AN137:AN140)</f>
        <v>0</v>
      </c>
      <c r="AO127" s="1793">
        <f>SUM(AO128:AO131)+SUM(AO137:AO140)</f>
        <v>0</v>
      </c>
      <c r="AP127" s="1793">
        <f>SUM(AP128:AP131)+SUM(AP137:AP140)</f>
        <v>0</v>
      </c>
      <c r="AQ127" s="1793">
        <f>SUM(AQ128:AQ131)+SUM(AQ137:AQ140)</f>
        <v>0</v>
      </c>
      <c r="AR127" s="1793">
        <f>SUM(AR128:AR131)+SUM(AR137:AR140)</f>
        <v>0</v>
      </c>
      <c r="AS127" s="292">
        <f>SUM(AS128:AS131)+SUM(AS137:AS140)</f>
        <v>0</v>
      </c>
      <c r="AT127" s="292">
        <f>SUM(AT128:AT131)+SUM(AT137:AT140)</f>
        <v>0</v>
      </c>
      <c r="AU127" s="292">
        <f>SUM(AU128:AU131)+SUM(AU137:AU140)</f>
        <v>0</v>
      </c>
      <c r="AV127" s="292">
        <f>SUM(AV128:AV131)+SUM(AV137:AV140)</f>
        <v>0</v>
      </c>
      <c r="AW127" s="292">
        <f>SUM(AW128:AW131)+SUM(AW137:AW140)</f>
        <v>0</v>
      </c>
      <c r="AX127" s="1793">
        <f>SUM(AX128:AX131)+SUM(AX137:AX140)</f>
        <v>0</v>
      </c>
      <c r="AY127" s="1793">
        <f>SUM(AY128:AY131)+SUM(AY137:AY140)</f>
        <v>0</v>
      </c>
      <c r="AZ127" s="1793">
        <f>SUM(AZ128:AZ131)+SUM(AZ137:AZ140)</f>
        <v>0</v>
      </c>
      <c r="BA127" s="1793">
        <f>SUM(BA128:BA131)+SUM(BA137:BA140)</f>
        <v>0</v>
      </c>
      <c r="BB127" s="1793">
        <f>SUM(BB128:BB131)+SUM(BB137:BB140)</f>
        <v>0</v>
      </c>
      <c r="BC127" s="1730"/>
      <c r="BD127" s="214"/>
      <c r="BE127" s="214"/>
      <c r="BF127" s="1170" t="s">
        <v>1017</v>
      </c>
    </row>
    <row s="1619"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442</v>
      </c>
      <c r="AC128" s="487" t="s">
        <v>1018</v>
      </c>
      <c r="AD128" s="486" t="s">
        <v>1019</v>
      </c>
      <c r="AE128" s="1666"/>
      <c r="AF128" s="1666"/>
      <c r="AG128" s="1666"/>
      <c r="AH128" s="1666"/>
      <c r="AI128" s="280"/>
      <c r="AJ128" s="280"/>
      <c r="AK128" s="280"/>
      <c r="AL128" s="280"/>
      <c r="AM128" s="280"/>
      <c r="AN128" s="1666"/>
      <c r="AO128" s="1666"/>
      <c r="AP128" s="1666"/>
      <c r="AQ128" s="1666"/>
      <c r="AR128" s="1666"/>
      <c r="AS128" s="280"/>
      <c r="AT128" s="280"/>
      <c r="AU128" s="280"/>
      <c r="AV128" s="280"/>
      <c r="AW128" s="280"/>
      <c r="AX128" s="1666"/>
      <c r="AY128" s="1666"/>
      <c r="AZ128" s="1666"/>
      <c r="BA128" s="1666"/>
      <c r="BB128" s="1666"/>
      <c r="BC128" s="1730"/>
      <c r="BD128" s="934"/>
      <c r="BE128" s="934"/>
      <c r="BF128" s="1170" t="s">
        <v>1020</v>
      </c>
    </row>
    <row s="1619"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931</v>
      </c>
      <c r="AC129" s="487" t="s">
        <v>1021</v>
      </c>
      <c r="AD129" s="486" t="s">
        <v>1019</v>
      </c>
      <c r="AE129" s="1666"/>
      <c r="AF129" s="1666"/>
      <c r="AG129" s="1666"/>
      <c r="AH129" s="1666"/>
      <c r="AI129" s="280"/>
      <c r="AJ129" s="280"/>
      <c r="AK129" s="280"/>
      <c r="AL129" s="280"/>
      <c r="AM129" s="280"/>
      <c r="AN129" s="1666"/>
      <c r="AO129" s="1666"/>
      <c r="AP129" s="1666"/>
      <c r="AQ129" s="1666"/>
      <c r="AR129" s="1666"/>
      <c r="AS129" s="280"/>
      <c r="AT129" s="280"/>
      <c r="AU129" s="280"/>
      <c r="AV129" s="280"/>
      <c r="AW129" s="280"/>
      <c r="AX129" s="1666"/>
      <c r="AY129" s="1666"/>
      <c r="AZ129" s="1666"/>
      <c r="BA129" s="1666"/>
      <c r="BB129" s="1666"/>
      <c r="BC129" s="1730"/>
      <c r="BD129" s="934"/>
      <c r="BE129" s="934"/>
      <c r="BF129" s="1170" t="s">
        <v>1022</v>
      </c>
    </row>
    <row s="1619"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933</v>
      </c>
      <c r="AC130" s="487" t="s">
        <v>1023</v>
      </c>
      <c r="AD130" s="486" t="s">
        <v>1019</v>
      </c>
      <c r="AE130" s="1666"/>
      <c r="AF130" s="1666"/>
      <c r="AG130" s="1666"/>
      <c r="AH130" s="1666"/>
      <c r="AI130" s="280"/>
      <c r="AJ130" s="280"/>
      <c r="AK130" s="280"/>
      <c r="AL130" s="280"/>
      <c r="AM130" s="280"/>
      <c r="AN130" s="1666"/>
      <c r="AO130" s="1666"/>
      <c r="AP130" s="1666"/>
      <c r="AQ130" s="1666"/>
      <c r="AR130" s="1666"/>
      <c r="AS130" s="280"/>
      <c r="AT130" s="280"/>
      <c r="AU130" s="280"/>
      <c r="AV130" s="280"/>
      <c r="AW130" s="280"/>
      <c r="AX130" s="1666"/>
      <c r="AY130" s="1666"/>
      <c r="AZ130" s="1666"/>
      <c r="BA130" s="1666"/>
      <c r="BB130" s="1666"/>
      <c r="BC130" s="1730"/>
      <c r="BD130" s="934"/>
      <c r="BE130" s="934"/>
      <c r="BF130" s="1170" t="s">
        <v>1024</v>
      </c>
    </row>
    <row s="1619"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937</v>
      </c>
      <c r="AC131" s="487" t="s">
        <v>1025</v>
      </c>
      <c r="AD131" s="486" t="s">
        <v>1019</v>
      </c>
      <c r="AE131" s="1807">
        <f>SUM(AE132:AE136)</f>
        <v>0</v>
      </c>
      <c r="AF131" s="1807">
        <f>SUM(AF132:AF136)</f>
        <v>0</v>
      </c>
      <c r="AG131" s="1807">
        <f>SUM(AG132:AG136)</f>
        <v>0</v>
      </c>
      <c r="AH131" s="1807">
        <f>SUM(AH132:AH136)</f>
        <v>0</v>
      </c>
      <c r="AI131" s="481">
        <f>SUM(AI132:AI136)</f>
        <v>0</v>
      </c>
      <c r="AJ131" s="481">
        <f>SUM(AJ132:AJ136)</f>
        <v>0</v>
      </c>
      <c r="AK131" s="481">
        <f>SUM(AK132:AK136)</f>
        <v>0</v>
      </c>
      <c r="AL131" s="481">
        <f>SUM(AL132:AL136)</f>
        <v>0</v>
      </c>
      <c r="AM131" s="481">
        <f>SUM(AM132:AM136)</f>
        <v>0</v>
      </c>
      <c r="AN131" s="1807">
        <f>SUM(AN132:AN136)</f>
        <v>0</v>
      </c>
      <c r="AO131" s="1807">
        <f>SUM(AO132:AO136)</f>
        <v>0</v>
      </c>
      <c r="AP131" s="1807">
        <f>SUM(AP132:AP136)</f>
        <v>0</v>
      </c>
      <c r="AQ131" s="1807">
        <f>SUM(AQ132:AQ136)</f>
        <v>0</v>
      </c>
      <c r="AR131" s="1807">
        <f>SUM(AR132:AR136)</f>
        <v>0</v>
      </c>
      <c r="AS131" s="481">
        <f>SUM(AS132:AS136)</f>
        <v>0</v>
      </c>
      <c r="AT131" s="481">
        <f>SUM(AT132:AT136)</f>
        <v>0</v>
      </c>
      <c r="AU131" s="481">
        <f>SUM(AU132:AU136)</f>
        <v>0</v>
      </c>
      <c r="AV131" s="481">
        <f>SUM(AV132:AV136)</f>
        <v>0</v>
      </c>
      <c r="AW131" s="481">
        <f>SUM(AW132:AW136)</f>
        <v>0</v>
      </c>
      <c r="AX131" s="1807">
        <f>SUM(AX132:AX136)</f>
        <v>0</v>
      </c>
      <c r="AY131" s="1807">
        <f>SUM(AY132:AY136)</f>
        <v>0</v>
      </c>
      <c r="AZ131" s="1807">
        <f>SUM(AZ132:AZ136)</f>
        <v>0</v>
      </c>
      <c r="BA131" s="1807">
        <f>SUM(BA132:BA136)</f>
        <v>0</v>
      </c>
      <c r="BB131" s="1807">
        <f>SUM(BB132:BB136)</f>
        <v>0</v>
      </c>
      <c r="BC131" s="1730"/>
      <c r="BD131" s="934"/>
      <c r="BE131" s="934"/>
      <c r="BF131" s="1170" t="s">
        <v>1026</v>
      </c>
    </row>
    <row s="1619"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1027</v>
      </c>
      <c r="AC132" s="488" t="s">
        <v>1028</v>
      </c>
      <c r="AD132" s="486" t="s">
        <v>1019</v>
      </c>
      <c r="AE132" s="1666"/>
      <c r="AF132" s="1666"/>
      <c r="AG132" s="1666"/>
      <c r="AH132" s="1666"/>
      <c r="AI132" s="280"/>
      <c r="AJ132" s="280"/>
      <c r="AK132" s="280"/>
      <c r="AL132" s="280"/>
      <c r="AM132" s="280"/>
      <c r="AN132" s="1666"/>
      <c r="AO132" s="1666"/>
      <c r="AP132" s="1666"/>
      <c r="AQ132" s="1666"/>
      <c r="AR132" s="1666"/>
      <c r="AS132" s="280"/>
      <c r="AT132" s="280"/>
      <c r="AU132" s="280"/>
      <c r="AV132" s="280"/>
      <c r="AW132" s="280"/>
      <c r="AX132" s="1666"/>
      <c r="AY132" s="1666"/>
      <c r="AZ132" s="1666"/>
      <c r="BA132" s="1666"/>
      <c r="BB132" s="1666"/>
      <c r="BC132" s="1730"/>
      <c r="BD132" s="934"/>
      <c r="BE132" s="934"/>
      <c r="BF132" s="1170" t="s">
        <v>1029</v>
      </c>
    </row>
    <row s="1619"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1030</v>
      </c>
      <c r="AC133" s="488" t="s">
        <v>1031</v>
      </c>
      <c r="AD133" s="486" t="s">
        <v>1019</v>
      </c>
      <c r="AE133" s="1666"/>
      <c r="AF133" s="1666"/>
      <c r="AG133" s="1666"/>
      <c r="AH133" s="1666"/>
      <c r="AI133" s="280"/>
      <c r="AJ133" s="280"/>
      <c r="AK133" s="280"/>
      <c r="AL133" s="280"/>
      <c r="AM133" s="280"/>
      <c r="AN133" s="1666"/>
      <c r="AO133" s="1666"/>
      <c r="AP133" s="1666"/>
      <c r="AQ133" s="1666"/>
      <c r="AR133" s="1666"/>
      <c r="AS133" s="280"/>
      <c r="AT133" s="280"/>
      <c r="AU133" s="280"/>
      <c r="AV133" s="280"/>
      <c r="AW133" s="280"/>
      <c r="AX133" s="1666"/>
      <c r="AY133" s="1666"/>
      <c r="AZ133" s="1666"/>
      <c r="BA133" s="1666"/>
      <c r="BB133" s="1666"/>
      <c r="BC133" s="1730"/>
      <c r="BD133" s="934"/>
      <c r="BE133" s="934"/>
      <c r="BF133" s="1170" t="s">
        <v>1032</v>
      </c>
    </row>
    <row s="1619"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1033</v>
      </c>
      <c r="AC134" s="488" t="s">
        <v>1034</v>
      </c>
      <c r="AD134" s="486" t="s">
        <v>1019</v>
      </c>
      <c r="AE134" s="1666"/>
      <c r="AF134" s="1666"/>
      <c r="AG134" s="1666"/>
      <c r="AH134" s="1666"/>
      <c r="AI134" s="280"/>
      <c r="AJ134" s="280"/>
      <c r="AK134" s="280"/>
      <c r="AL134" s="280"/>
      <c r="AM134" s="280"/>
      <c r="AN134" s="1666"/>
      <c r="AO134" s="1666"/>
      <c r="AP134" s="1666"/>
      <c r="AQ134" s="1666"/>
      <c r="AR134" s="1666"/>
      <c r="AS134" s="280"/>
      <c r="AT134" s="280"/>
      <c r="AU134" s="280"/>
      <c r="AV134" s="280"/>
      <c r="AW134" s="280"/>
      <c r="AX134" s="1666"/>
      <c r="AY134" s="1666"/>
      <c r="AZ134" s="1666"/>
      <c r="BA134" s="1666"/>
      <c r="BB134" s="1666"/>
      <c r="BC134" s="1730"/>
      <c r="BD134" s="934"/>
      <c r="BE134" s="934"/>
      <c r="BF134" s="1170" t="s">
        <v>1035</v>
      </c>
    </row>
    <row s="1619"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1036</v>
      </c>
      <c r="AC135" s="488" t="s">
        <v>1037</v>
      </c>
      <c r="AD135" s="486" t="s">
        <v>1019</v>
      </c>
      <c r="AE135" s="1666"/>
      <c r="AF135" s="1666"/>
      <c r="AG135" s="1666"/>
      <c r="AH135" s="1666"/>
      <c r="AI135" s="280"/>
      <c r="AJ135" s="280"/>
      <c r="AK135" s="280"/>
      <c r="AL135" s="280"/>
      <c r="AM135" s="280"/>
      <c r="AN135" s="1666"/>
      <c r="AO135" s="1666"/>
      <c r="AP135" s="1666"/>
      <c r="AQ135" s="1666"/>
      <c r="AR135" s="1666"/>
      <c r="AS135" s="280"/>
      <c r="AT135" s="280"/>
      <c r="AU135" s="280"/>
      <c r="AV135" s="280"/>
      <c r="AW135" s="280"/>
      <c r="AX135" s="1666"/>
      <c r="AY135" s="1666"/>
      <c r="AZ135" s="1666"/>
      <c r="BA135" s="1666"/>
      <c r="BB135" s="1666"/>
      <c r="BC135" s="1730"/>
      <c r="BD135" s="934"/>
      <c r="BE135" s="934"/>
      <c r="BF135" s="1170" t="s">
        <v>1038</v>
      </c>
    </row>
    <row s="1619"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1039</v>
      </c>
      <c r="AC136" s="488" t="s">
        <v>1040</v>
      </c>
      <c r="AD136" s="486" t="s">
        <v>1019</v>
      </c>
      <c r="AE136" s="1666"/>
      <c r="AF136" s="1666"/>
      <c r="AG136" s="1666"/>
      <c r="AH136" s="1666"/>
      <c r="AI136" s="280"/>
      <c r="AJ136" s="280"/>
      <c r="AK136" s="280"/>
      <c r="AL136" s="280"/>
      <c r="AM136" s="280"/>
      <c r="AN136" s="1666"/>
      <c r="AO136" s="1666"/>
      <c r="AP136" s="1666"/>
      <c r="AQ136" s="1666"/>
      <c r="AR136" s="1666"/>
      <c r="AS136" s="280"/>
      <c r="AT136" s="280"/>
      <c r="AU136" s="280"/>
      <c r="AV136" s="280"/>
      <c r="AW136" s="280"/>
      <c r="AX136" s="1666"/>
      <c r="AY136" s="1666"/>
      <c r="AZ136" s="1666"/>
      <c r="BA136" s="1666"/>
      <c r="BB136" s="1666"/>
      <c r="BC136" s="1730"/>
      <c r="BD136" s="934"/>
      <c r="BE136" s="934"/>
      <c r="BF136" s="1170" t="s">
        <v>1041</v>
      </c>
    </row>
    <row s="1619"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1042</v>
      </c>
      <c r="AC137" s="487" t="s">
        <v>1043</v>
      </c>
      <c r="AD137" s="486" t="s">
        <v>1019</v>
      </c>
      <c r="AE137" s="1666"/>
      <c r="AF137" s="1666"/>
      <c r="AG137" s="1666"/>
      <c r="AH137" s="1666"/>
      <c r="AI137" s="280"/>
      <c r="AJ137" s="280"/>
      <c r="AK137" s="280"/>
      <c r="AL137" s="280"/>
      <c r="AM137" s="280"/>
      <c r="AN137" s="1666"/>
      <c r="AO137" s="1666"/>
      <c r="AP137" s="1666"/>
      <c r="AQ137" s="1666"/>
      <c r="AR137" s="1666"/>
      <c r="AS137" s="280"/>
      <c r="AT137" s="280"/>
      <c r="AU137" s="280"/>
      <c r="AV137" s="280"/>
      <c r="AW137" s="280"/>
      <c r="AX137" s="1666"/>
      <c r="AY137" s="1666"/>
      <c r="AZ137" s="1666"/>
      <c r="BA137" s="1666"/>
      <c r="BB137" s="1666"/>
      <c r="BC137" s="1730"/>
      <c r="BD137" s="934"/>
      <c r="BE137" s="934"/>
      <c r="BF137" s="1170" t="s">
        <v>1044</v>
      </c>
    </row>
    <row s="1619"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1045</v>
      </c>
      <c r="AC138" s="487" t="s">
        <v>1046</v>
      </c>
      <c r="AD138" s="486" t="s">
        <v>1019</v>
      </c>
      <c r="AE138" s="1666"/>
      <c r="AF138" s="1666"/>
      <c r="AG138" s="1666"/>
      <c r="AH138" s="1666"/>
      <c r="AI138" s="280"/>
      <c r="AJ138" s="280"/>
      <c r="AK138" s="280"/>
      <c r="AL138" s="280"/>
      <c r="AM138" s="280"/>
      <c r="AN138" s="1666"/>
      <c r="AO138" s="1666"/>
      <c r="AP138" s="1666"/>
      <c r="AQ138" s="1666"/>
      <c r="AR138" s="1666"/>
      <c r="AS138" s="280"/>
      <c r="AT138" s="280"/>
      <c r="AU138" s="280"/>
      <c r="AV138" s="280"/>
      <c r="AW138" s="280"/>
      <c r="AX138" s="1666"/>
      <c r="AY138" s="1666"/>
      <c r="AZ138" s="1666"/>
      <c r="BA138" s="1666"/>
      <c r="BB138" s="1666"/>
      <c r="BC138" s="1730"/>
      <c r="BD138" s="934"/>
      <c r="BE138" s="934"/>
      <c r="BF138" s="1170" t="s">
        <v>1047</v>
      </c>
    </row>
    <row s="1619"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1048</v>
      </c>
      <c r="AC139" s="487" t="s">
        <v>1049</v>
      </c>
      <c r="AD139" s="486" t="s">
        <v>1019</v>
      </c>
      <c r="AE139" s="1666"/>
      <c r="AF139" s="1666"/>
      <c r="AG139" s="1666"/>
      <c r="AH139" s="1666"/>
      <c r="AI139" s="280"/>
      <c r="AJ139" s="280"/>
      <c r="AK139" s="280"/>
      <c r="AL139" s="280"/>
      <c r="AM139" s="280"/>
      <c r="AN139" s="1666"/>
      <c r="AO139" s="1666"/>
      <c r="AP139" s="1666"/>
      <c r="AQ139" s="1666"/>
      <c r="AR139" s="1666"/>
      <c r="AS139" s="280"/>
      <c r="AT139" s="280"/>
      <c r="AU139" s="280"/>
      <c r="AV139" s="280"/>
      <c r="AW139" s="280"/>
      <c r="AX139" s="1666"/>
      <c r="AY139" s="1666"/>
      <c r="AZ139" s="1666"/>
      <c r="BA139" s="1666"/>
      <c r="BB139" s="1666"/>
      <c r="BC139" s="1730"/>
      <c r="BD139" s="934"/>
      <c r="BE139" s="934"/>
      <c r="BF139" s="1170" t="s">
        <v>1050</v>
      </c>
    </row>
    <row s="1619"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1051</v>
      </c>
      <c r="AC140" s="487" t="s">
        <v>1052</v>
      </c>
      <c r="AD140" s="486" t="s">
        <v>1019</v>
      </c>
      <c r="AE140" s="1666"/>
      <c r="AF140" s="1666"/>
      <c r="AG140" s="1666"/>
      <c r="AH140" s="1666"/>
      <c r="AI140" s="280"/>
      <c r="AJ140" s="280"/>
      <c r="AK140" s="280"/>
      <c r="AL140" s="280"/>
      <c r="AM140" s="280"/>
      <c r="AN140" s="1666"/>
      <c r="AO140" s="1666"/>
      <c r="AP140" s="1666"/>
      <c r="AQ140" s="1666"/>
      <c r="AR140" s="1666"/>
      <c r="AS140" s="280"/>
      <c r="AT140" s="280"/>
      <c r="AU140" s="280"/>
      <c r="AV140" s="280"/>
      <c r="AW140" s="280"/>
      <c r="AX140" s="1666"/>
      <c r="AY140" s="1666"/>
      <c r="AZ140" s="1666"/>
      <c r="BA140" s="1666"/>
      <c r="BB140" s="1666"/>
      <c r="BC140" s="1730"/>
      <c r="BD140" s="934"/>
      <c r="BE140" s="934"/>
      <c r="BF140" s="1170" t="s">
        <v>1053</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1054</v>
      </c>
      <c r="AD141" s="153" t="s">
        <v>805</v>
      </c>
      <c r="AE141" s="1793">
        <f>SUM(AE142:AE145)+SUM(AE151:AE154)</f>
        <v>0</v>
      </c>
      <c r="AF141" s="1793">
        <f>SUM(AF142:AF145)+SUM(AF151:AF154)</f>
        <v>0</v>
      </c>
      <c r="AG141" s="1793">
        <f>SUM(AG142:AG145)+SUM(AG151:AG154)</f>
        <v>0</v>
      </c>
      <c r="AH141" s="1793">
        <f>SUM(AH142:AH145)+SUM(AH151:AH154)</f>
        <v>0</v>
      </c>
      <c r="AI141" s="292">
        <f>SUM(AI142:AI145)+SUM(AI151:AI154)</f>
        <v>0</v>
      </c>
      <c r="AJ141" s="292">
        <f>SUM(AJ142:AJ145)+SUM(AJ151:AJ154)</f>
        <v>0</v>
      </c>
      <c r="AK141" s="292">
        <f>SUM(AK142:AK145)+SUM(AK151:AK154)</f>
        <v>0</v>
      </c>
      <c r="AL141" s="292">
        <f>SUM(AL142:AL145)+SUM(AL151:AL154)</f>
        <v>0</v>
      </c>
      <c r="AM141" s="292">
        <f>SUM(AM142:AM145)+SUM(AM151:AM154)</f>
        <v>0</v>
      </c>
      <c r="AN141" s="1793">
        <f>SUM(AN142:AN145)+SUM(AN151:AN154)</f>
        <v>0</v>
      </c>
      <c r="AO141" s="1793">
        <f>SUM(AO142:AO145)+SUM(AO151:AO154)</f>
        <v>0</v>
      </c>
      <c r="AP141" s="1793">
        <f>SUM(AP142:AP145)+SUM(AP151:AP154)</f>
        <v>0</v>
      </c>
      <c r="AQ141" s="1793">
        <f>SUM(AQ142:AQ145)+SUM(AQ151:AQ154)</f>
        <v>0</v>
      </c>
      <c r="AR141" s="1793">
        <f>SUM(AR142:AR145)+SUM(AR151:AR154)</f>
        <v>0</v>
      </c>
      <c r="AS141" s="292">
        <f>SUM(AS142:AS145)+SUM(AS151:AS154)</f>
        <v>0</v>
      </c>
      <c r="AT141" s="292">
        <f>SUM(AT142:AT145)+SUM(AT151:AT154)</f>
        <v>0</v>
      </c>
      <c r="AU141" s="292">
        <f>SUM(AU142:AU145)+SUM(AU151:AU154)</f>
        <v>0</v>
      </c>
      <c r="AV141" s="292">
        <f>SUM(AV142:AV145)+SUM(AV151:AV154)</f>
        <v>0</v>
      </c>
      <c r="AW141" s="292">
        <f>SUM(AW142:AW145)+SUM(AW151:AW154)</f>
        <v>0</v>
      </c>
      <c r="AX141" s="1793">
        <f>SUM(AX142:AX145)+SUM(AX151:AX154)</f>
        <v>0</v>
      </c>
      <c r="AY141" s="1793">
        <f>SUM(AY142:AY145)+SUM(AY151:AY154)</f>
        <v>0</v>
      </c>
      <c r="AZ141" s="1793">
        <f>SUM(AZ142:AZ145)+SUM(AZ151:AZ154)</f>
        <v>0</v>
      </c>
      <c r="BA141" s="1793">
        <f>SUM(BA142:BA145)+SUM(BA151:BA154)</f>
        <v>0</v>
      </c>
      <c r="BB141" s="1793">
        <f>SUM(BB142:BB145)+SUM(BB151:BB154)</f>
        <v>0</v>
      </c>
      <c r="BC141" s="1730"/>
      <c r="BD141" s="214"/>
      <c r="BE141" s="214"/>
      <c r="BF141" s="1170" t="s">
        <v>1055</v>
      </c>
    </row>
    <row s="1619"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1018</v>
      </c>
      <c r="AD142" s="486" t="s">
        <v>1019</v>
      </c>
      <c r="AE142" s="1666"/>
      <c r="AF142" s="1666"/>
      <c r="AG142" s="1666"/>
      <c r="AH142" s="1666"/>
      <c r="AI142" s="280"/>
      <c r="AJ142" s="280"/>
      <c r="AK142" s="280"/>
      <c r="AL142" s="280"/>
      <c r="AM142" s="280"/>
      <c r="AN142" s="1666"/>
      <c r="AO142" s="1666"/>
      <c r="AP142" s="1666"/>
      <c r="AQ142" s="1666"/>
      <c r="AR142" s="1666"/>
      <c r="AS142" s="280"/>
      <c r="AT142" s="280"/>
      <c r="AU142" s="280"/>
      <c r="AV142" s="280"/>
      <c r="AW142" s="280"/>
      <c r="AX142" s="1666"/>
      <c r="AY142" s="1666"/>
      <c r="AZ142" s="1666"/>
      <c r="BA142" s="1666"/>
      <c r="BB142" s="1666"/>
      <c r="BC142" s="1730"/>
      <c r="BD142" s="934"/>
      <c r="BE142" s="934"/>
      <c r="BF142" s="1170" t="s">
        <v>1056</v>
      </c>
    </row>
    <row s="1619"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1021</v>
      </c>
      <c r="AD143" s="486" t="s">
        <v>1019</v>
      </c>
      <c r="AE143" s="1666"/>
      <c r="AF143" s="1666"/>
      <c r="AG143" s="1666"/>
      <c r="AH143" s="1666"/>
      <c r="AI143" s="280"/>
      <c r="AJ143" s="280"/>
      <c r="AK143" s="280"/>
      <c r="AL143" s="280"/>
      <c r="AM143" s="280"/>
      <c r="AN143" s="1666"/>
      <c r="AO143" s="1666"/>
      <c r="AP143" s="1666"/>
      <c r="AQ143" s="1666"/>
      <c r="AR143" s="1666"/>
      <c r="AS143" s="280"/>
      <c r="AT143" s="280"/>
      <c r="AU143" s="280"/>
      <c r="AV143" s="280"/>
      <c r="AW143" s="280"/>
      <c r="AX143" s="1666"/>
      <c r="AY143" s="1666"/>
      <c r="AZ143" s="1666"/>
      <c r="BA143" s="1666"/>
      <c r="BB143" s="1666"/>
      <c r="BC143" s="1730"/>
      <c r="BD143" s="934"/>
      <c r="BE143" s="934"/>
      <c r="BF143" s="1170" t="s">
        <v>1057</v>
      </c>
    </row>
    <row s="1619"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1023</v>
      </c>
      <c r="AD144" s="486" t="s">
        <v>1019</v>
      </c>
      <c r="AE144" s="1666"/>
      <c r="AF144" s="1666"/>
      <c r="AG144" s="1666"/>
      <c r="AH144" s="1666"/>
      <c r="AI144" s="280"/>
      <c r="AJ144" s="280"/>
      <c r="AK144" s="280"/>
      <c r="AL144" s="280"/>
      <c r="AM144" s="280"/>
      <c r="AN144" s="1666"/>
      <c r="AO144" s="1666"/>
      <c r="AP144" s="1666"/>
      <c r="AQ144" s="1666"/>
      <c r="AR144" s="1666"/>
      <c r="AS144" s="280"/>
      <c r="AT144" s="280"/>
      <c r="AU144" s="280"/>
      <c r="AV144" s="280"/>
      <c r="AW144" s="280"/>
      <c r="AX144" s="1666"/>
      <c r="AY144" s="1666"/>
      <c r="AZ144" s="1666"/>
      <c r="BA144" s="1666"/>
      <c r="BB144" s="1666"/>
      <c r="BC144" s="1730"/>
      <c r="BD144" s="934"/>
      <c r="BE144" s="934"/>
      <c r="BF144" s="1170" t="s">
        <v>1058</v>
      </c>
    </row>
    <row s="1619"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1025</v>
      </c>
      <c r="AD145" s="486" t="s">
        <v>1019</v>
      </c>
      <c r="AE145" s="1807">
        <f>SUM(AE146:AE150)</f>
        <v>0</v>
      </c>
      <c r="AF145" s="1807">
        <f>SUM(AF146:AF150)</f>
        <v>0</v>
      </c>
      <c r="AG145" s="1807">
        <f>SUM(AG146:AG150)</f>
        <v>0</v>
      </c>
      <c r="AH145" s="1807">
        <f>SUM(AH146:AH150)</f>
        <v>0</v>
      </c>
      <c r="AI145" s="481">
        <f>SUM(AI146:AI150)</f>
        <v>0</v>
      </c>
      <c r="AJ145" s="481">
        <f>SUM(AJ146:AJ150)</f>
        <v>0</v>
      </c>
      <c r="AK145" s="481">
        <f>SUM(AK146:AK150)</f>
        <v>0</v>
      </c>
      <c r="AL145" s="481">
        <f>SUM(AL146:AL150)</f>
        <v>0</v>
      </c>
      <c r="AM145" s="481">
        <f>SUM(AM146:AM150)</f>
        <v>0</v>
      </c>
      <c r="AN145" s="1807">
        <f>SUM(AN146:AN150)</f>
        <v>0</v>
      </c>
      <c r="AO145" s="1807">
        <f>SUM(AO146:AO150)</f>
        <v>0</v>
      </c>
      <c r="AP145" s="1807">
        <f>SUM(AP146:AP150)</f>
        <v>0</v>
      </c>
      <c r="AQ145" s="1807">
        <f>SUM(AQ146:AQ150)</f>
        <v>0</v>
      </c>
      <c r="AR145" s="1807">
        <f>SUM(AR146:AR150)</f>
        <v>0</v>
      </c>
      <c r="AS145" s="481">
        <f>SUM(AS146:AS150)</f>
        <v>0</v>
      </c>
      <c r="AT145" s="481">
        <f>SUM(AT146:AT150)</f>
        <v>0</v>
      </c>
      <c r="AU145" s="481">
        <f>SUM(AU146:AU150)</f>
        <v>0</v>
      </c>
      <c r="AV145" s="481">
        <f>SUM(AV146:AV150)</f>
        <v>0</v>
      </c>
      <c r="AW145" s="481">
        <f>SUM(AW146:AW150)</f>
        <v>0</v>
      </c>
      <c r="AX145" s="1807">
        <f>SUM(AX146:AX150)</f>
        <v>0</v>
      </c>
      <c r="AY145" s="1807">
        <f>SUM(AY146:AY150)</f>
        <v>0</v>
      </c>
      <c r="AZ145" s="1807">
        <f>SUM(AZ146:AZ150)</f>
        <v>0</v>
      </c>
      <c r="BA145" s="1807">
        <f>SUM(BA146:BA150)</f>
        <v>0</v>
      </c>
      <c r="BB145" s="1807">
        <f>SUM(BB146:BB150)</f>
        <v>0</v>
      </c>
      <c r="BC145" s="1730"/>
      <c r="BD145" s="934"/>
      <c r="BE145" s="934"/>
      <c r="BF145" s="1170" t="s">
        <v>1059</v>
      </c>
    </row>
    <row s="1619"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1028</v>
      </c>
      <c r="AD146" s="486" t="s">
        <v>1019</v>
      </c>
      <c r="AE146" s="1666"/>
      <c r="AF146" s="1666"/>
      <c r="AG146" s="1666"/>
      <c r="AH146" s="1666"/>
      <c r="AI146" s="280"/>
      <c r="AJ146" s="280"/>
      <c r="AK146" s="280"/>
      <c r="AL146" s="280"/>
      <c r="AM146" s="280"/>
      <c r="AN146" s="1666"/>
      <c r="AO146" s="1666"/>
      <c r="AP146" s="1666"/>
      <c r="AQ146" s="1666"/>
      <c r="AR146" s="1666"/>
      <c r="AS146" s="280"/>
      <c r="AT146" s="280"/>
      <c r="AU146" s="280"/>
      <c r="AV146" s="280"/>
      <c r="AW146" s="280"/>
      <c r="AX146" s="1666"/>
      <c r="AY146" s="1666"/>
      <c r="AZ146" s="1666"/>
      <c r="BA146" s="1666"/>
      <c r="BB146" s="1666"/>
      <c r="BC146" s="1730"/>
      <c r="BD146" s="934"/>
      <c r="BE146" s="934"/>
      <c r="BF146" s="1170" t="s">
        <v>1060</v>
      </c>
    </row>
    <row s="1619"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1031</v>
      </c>
      <c r="AD147" s="486" t="s">
        <v>1019</v>
      </c>
      <c r="AE147" s="1666"/>
      <c r="AF147" s="1666"/>
      <c r="AG147" s="1666"/>
      <c r="AH147" s="1666"/>
      <c r="AI147" s="280"/>
      <c r="AJ147" s="280"/>
      <c r="AK147" s="280"/>
      <c r="AL147" s="280"/>
      <c r="AM147" s="280"/>
      <c r="AN147" s="1666"/>
      <c r="AO147" s="1666"/>
      <c r="AP147" s="1666"/>
      <c r="AQ147" s="1666"/>
      <c r="AR147" s="1666"/>
      <c r="AS147" s="280"/>
      <c r="AT147" s="280"/>
      <c r="AU147" s="280"/>
      <c r="AV147" s="280"/>
      <c r="AW147" s="280"/>
      <c r="AX147" s="1666"/>
      <c r="AY147" s="1666"/>
      <c r="AZ147" s="1666"/>
      <c r="BA147" s="1666"/>
      <c r="BB147" s="1666"/>
      <c r="BC147" s="1730"/>
      <c r="BD147" s="934"/>
      <c r="BE147" s="934"/>
      <c r="BF147" s="1170" t="s">
        <v>1061</v>
      </c>
    </row>
    <row s="1619"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1034</v>
      </c>
      <c r="AD148" s="486" t="s">
        <v>1019</v>
      </c>
      <c r="AE148" s="1666"/>
      <c r="AF148" s="1666"/>
      <c r="AG148" s="1666"/>
      <c r="AH148" s="1666"/>
      <c r="AI148" s="280"/>
      <c r="AJ148" s="280"/>
      <c r="AK148" s="280"/>
      <c r="AL148" s="280"/>
      <c r="AM148" s="280"/>
      <c r="AN148" s="1666"/>
      <c r="AO148" s="1666"/>
      <c r="AP148" s="1666"/>
      <c r="AQ148" s="1666"/>
      <c r="AR148" s="1666"/>
      <c r="AS148" s="280"/>
      <c r="AT148" s="280"/>
      <c r="AU148" s="280"/>
      <c r="AV148" s="280"/>
      <c r="AW148" s="280"/>
      <c r="AX148" s="1666"/>
      <c r="AY148" s="1666"/>
      <c r="AZ148" s="1666"/>
      <c r="BA148" s="1666"/>
      <c r="BB148" s="1666"/>
      <c r="BC148" s="1730"/>
      <c r="BD148" s="934"/>
      <c r="BE148" s="934"/>
      <c r="BF148" s="1170" t="s">
        <v>1062</v>
      </c>
    </row>
    <row s="1619"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1037</v>
      </c>
      <c r="AD149" s="486" t="s">
        <v>1019</v>
      </c>
      <c r="AE149" s="1666"/>
      <c r="AF149" s="1666"/>
      <c r="AG149" s="1666"/>
      <c r="AH149" s="1666"/>
      <c r="AI149" s="280"/>
      <c r="AJ149" s="280"/>
      <c r="AK149" s="280"/>
      <c r="AL149" s="280"/>
      <c r="AM149" s="280"/>
      <c r="AN149" s="1666"/>
      <c r="AO149" s="1666"/>
      <c r="AP149" s="1666"/>
      <c r="AQ149" s="1666"/>
      <c r="AR149" s="1666"/>
      <c r="AS149" s="280"/>
      <c r="AT149" s="280"/>
      <c r="AU149" s="280"/>
      <c r="AV149" s="280"/>
      <c r="AW149" s="280"/>
      <c r="AX149" s="1666"/>
      <c r="AY149" s="1666"/>
      <c r="AZ149" s="1666"/>
      <c r="BA149" s="1666"/>
      <c r="BB149" s="1666"/>
      <c r="BC149" s="1730"/>
      <c r="BD149" s="934"/>
      <c r="BE149" s="934"/>
      <c r="BF149" s="1170" t="s">
        <v>1063</v>
      </c>
    </row>
    <row s="1619"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1040</v>
      </c>
      <c r="AD150" s="486" t="s">
        <v>1019</v>
      </c>
      <c r="AE150" s="1666"/>
      <c r="AF150" s="1666"/>
      <c r="AG150" s="1666"/>
      <c r="AH150" s="1666"/>
      <c r="AI150" s="280"/>
      <c r="AJ150" s="280"/>
      <c r="AK150" s="280"/>
      <c r="AL150" s="280"/>
      <c r="AM150" s="280"/>
      <c r="AN150" s="1666"/>
      <c r="AO150" s="1666"/>
      <c r="AP150" s="1666"/>
      <c r="AQ150" s="1666"/>
      <c r="AR150" s="1666"/>
      <c r="AS150" s="280"/>
      <c r="AT150" s="280"/>
      <c r="AU150" s="280"/>
      <c r="AV150" s="280"/>
      <c r="AW150" s="280"/>
      <c r="AX150" s="1666"/>
      <c r="AY150" s="1666"/>
      <c r="AZ150" s="1666"/>
      <c r="BA150" s="1666"/>
      <c r="BB150" s="1666"/>
      <c r="BC150" s="1730"/>
      <c r="BD150" s="934"/>
      <c r="BE150" s="934"/>
      <c r="BF150" s="1170" t="s">
        <v>1064</v>
      </c>
    </row>
    <row s="1619"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1043</v>
      </c>
      <c r="AD151" s="486" t="s">
        <v>1019</v>
      </c>
      <c r="AE151" s="1666"/>
      <c r="AF151" s="1666"/>
      <c r="AG151" s="1666"/>
      <c r="AH151" s="1666"/>
      <c r="AI151" s="280"/>
      <c r="AJ151" s="280"/>
      <c r="AK151" s="280"/>
      <c r="AL151" s="280"/>
      <c r="AM151" s="280"/>
      <c r="AN151" s="1666"/>
      <c r="AO151" s="1666"/>
      <c r="AP151" s="1666"/>
      <c r="AQ151" s="1666"/>
      <c r="AR151" s="1666"/>
      <c r="AS151" s="280"/>
      <c r="AT151" s="280"/>
      <c r="AU151" s="280"/>
      <c r="AV151" s="280"/>
      <c r="AW151" s="280"/>
      <c r="AX151" s="1666"/>
      <c r="AY151" s="1666"/>
      <c r="AZ151" s="1666"/>
      <c r="BA151" s="1666"/>
      <c r="BB151" s="1666"/>
      <c r="BC151" s="1730"/>
      <c r="BD151" s="934"/>
      <c r="BE151" s="934"/>
      <c r="BF151" s="1170" t="s">
        <v>1065</v>
      </c>
    </row>
    <row s="1619"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1046</v>
      </c>
      <c r="AD152" s="486" t="s">
        <v>1019</v>
      </c>
      <c r="AE152" s="1666"/>
      <c r="AF152" s="1666"/>
      <c r="AG152" s="1666"/>
      <c r="AH152" s="1666"/>
      <c r="AI152" s="280"/>
      <c r="AJ152" s="280"/>
      <c r="AK152" s="280"/>
      <c r="AL152" s="280"/>
      <c r="AM152" s="280"/>
      <c r="AN152" s="1666"/>
      <c r="AO152" s="1666"/>
      <c r="AP152" s="1666"/>
      <c r="AQ152" s="1666"/>
      <c r="AR152" s="1666"/>
      <c r="AS152" s="280"/>
      <c r="AT152" s="280"/>
      <c r="AU152" s="280"/>
      <c r="AV152" s="280"/>
      <c r="AW152" s="280"/>
      <c r="AX152" s="1666"/>
      <c r="AY152" s="1666"/>
      <c r="AZ152" s="1666"/>
      <c r="BA152" s="1666"/>
      <c r="BB152" s="1666"/>
      <c r="BC152" s="1730"/>
      <c r="BD152" s="934"/>
      <c r="BE152" s="934"/>
      <c r="BF152" s="1170" t="s">
        <v>1066</v>
      </c>
    </row>
    <row s="1619"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1049</v>
      </c>
      <c r="AD153" s="486" t="s">
        <v>1019</v>
      </c>
      <c r="AE153" s="1666"/>
      <c r="AF153" s="1666"/>
      <c r="AG153" s="1666"/>
      <c r="AH153" s="1666"/>
      <c r="AI153" s="280"/>
      <c r="AJ153" s="280"/>
      <c r="AK153" s="280"/>
      <c r="AL153" s="280"/>
      <c r="AM153" s="280"/>
      <c r="AN153" s="1666"/>
      <c r="AO153" s="1666"/>
      <c r="AP153" s="1666"/>
      <c r="AQ153" s="1666"/>
      <c r="AR153" s="1666"/>
      <c r="AS153" s="280"/>
      <c r="AT153" s="280"/>
      <c r="AU153" s="280"/>
      <c r="AV153" s="280"/>
      <c r="AW153" s="280"/>
      <c r="AX153" s="1666"/>
      <c r="AY153" s="1666"/>
      <c r="AZ153" s="1666"/>
      <c r="BA153" s="1666"/>
      <c r="BB153" s="1666"/>
      <c r="BC153" s="1730"/>
      <c r="BD153" s="934"/>
      <c r="BE153" s="934"/>
      <c r="BF153" s="1170" t="s">
        <v>1067</v>
      </c>
    </row>
    <row s="1619"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1052</v>
      </c>
      <c r="AD154" s="486" t="s">
        <v>1019</v>
      </c>
      <c r="AE154" s="1666"/>
      <c r="AF154" s="1666"/>
      <c r="AG154" s="1666"/>
      <c r="AH154" s="1666"/>
      <c r="AI154" s="280"/>
      <c r="AJ154" s="280"/>
      <c r="AK154" s="280"/>
      <c r="AL154" s="280"/>
      <c r="AM154" s="280"/>
      <c r="AN154" s="1666"/>
      <c r="AO154" s="1666"/>
      <c r="AP154" s="1666"/>
      <c r="AQ154" s="1666"/>
      <c r="AR154" s="1666"/>
      <c r="AS154" s="280"/>
      <c r="AT154" s="280"/>
      <c r="AU154" s="280"/>
      <c r="AV154" s="280"/>
      <c r="AW154" s="280"/>
      <c r="AX154" s="1666"/>
      <c r="AY154" s="1666"/>
      <c r="AZ154" s="1666"/>
      <c r="BA154" s="1666"/>
      <c r="BB154" s="1666"/>
      <c r="BC154" s="1730"/>
      <c r="BD154" s="934"/>
      <c r="BE154" s="934"/>
      <c r="BF154" s="1170" t="s">
        <v>1068</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1069</v>
      </c>
      <c r="AD155" s="153" t="s">
        <v>805</v>
      </c>
      <c r="AE155" s="1793">
        <f>SUM(AE156:AE159)+SUM(AE165:AE168)</f>
        <v>0</v>
      </c>
      <c r="AF155" s="1793">
        <f>SUM(AF156:AF159)+SUM(AF165:AF168)</f>
        <v>0</v>
      </c>
      <c r="AG155" s="1793">
        <f>SUM(AG156:AG159)+SUM(AG165:AG168)</f>
        <v>0</v>
      </c>
      <c r="AH155" s="1793">
        <f>SUM(AH156:AH159)+SUM(AH165:AH168)</f>
        <v>0</v>
      </c>
      <c r="AI155" s="292">
        <f>SUM(AI156:AI159)+SUM(AI165:AI168)</f>
        <v>0</v>
      </c>
      <c r="AJ155" s="292">
        <f>SUM(AJ156:AJ159)+SUM(AJ165:AJ168)</f>
        <v>0</v>
      </c>
      <c r="AK155" s="292">
        <f>SUM(AK156:AK159)+SUM(AK165:AK168)</f>
        <v>0</v>
      </c>
      <c r="AL155" s="292">
        <f>SUM(AL156:AL159)+SUM(AL165:AL168)</f>
        <v>0</v>
      </c>
      <c r="AM155" s="292">
        <f>SUM(AM156:AM159)+SUM(AM165:AM168)</f>
        <v>0</v>
      </c>
      <c r="AN155" s="1793">
        <f>SUM(AN156:AN159)+SUM(AN165:AN168)</f>
        <v>0</v>
      </c>
      <c r="AO155" s="1793">
        <f>SUM(AO156:AO159)+SUM(AO165:AO168)</f>
        <v>0</v>
      </c>
      <c r="AP155" s="1793">
        <f>SUM(AP156:AP159)+SUM(AP165:AP168)</f>
        <v>0</v>
      </c>
      <c r="AQ155" s="1793">
        <f>SUM(AQ156:AQ159)+SUM(AQ165:AQ168)</f>
        <v>0</v>
      </c>
      <c r="AR155" s="1793">
        <f>SUM(AR156:AR159)+SUM(AR165:AR168)</f>
        <v>0</v>
      </c>
      <c r="AS155" s="292">
        <f>SUM(AS156:AS159)+SUM(AS165:AS168)</f>
        <v>0</v>
      </c>
      <c r="AT155" s="292">
        <f>SUM(AT156:AT159)+SUM(AT165:AT168)</f>
        <v>0</v>
      </c>
      <c r="AU155" s="292">
        <f>SUM(AU156:AU159)+SUM(AU165:AU168)</f>
        <v>0</v>
      </c>
      <c r="AV155" s="292">
        <f>SUM(AV156:AV159)+SUM(AV165:AV168)</f>
        <v>0</v>
      </c>
      <c r="AW155" s="292">
        <f>SUM(AW156:AW159)+SUM(AW165:AW168)</f>
        <v>0</v>
      </c>
      <c r="AX155" s="1793">
        <f>SUM(AX156:AX159)+SUM(AX165:AX168)</f>
        <v>0</v>
      </c>
      <c r="AY155" s="1793">
        <f>SUM(AY156:AY159)+SUM(AY165:AY168)</f>
        <v>0</v>
      </c>
      <c r="AZ155" s="1793">
        <f>SUM(AZ156:AZ159)+SUM(AZ165:AZ168)</f>
        <v>0</v>
      </c>
      <c r="BA155" s="1793">
        <f>SUM(BA156:BA159)+SUM(BA165:BA168)</f>
        <v>0</v>
      </c>
      <c r="BB155" s="1793">
        <f>SUM(BB156:BB159)+SUM(BB165:BB168)</f>
        <v>0</v>
      </c>
      <c r="BC155" s="1730"/>
      <c r="BD155" s="214"/>
      <c r="BE155" s="214"/>
      <c r="BF155" s="1170" t="s">
        <v>1070</v>
      </c>
    </row>
    <row s="1619"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1018</v>
      </c>
      <c r="AD156" s="486" t="s">
        <v>1019</v>
      </c>
      <c r="AE156" s="1666"/>
      <c r="AF156" s="1666"/>
      <c r="AG156" s="1666"/>
      <c r="AH156" s="1666"/>
      <c r="AI156" s="280"/>
      <c r="AJ156" s="280"/>
      <c r="AK156" s="280"/>
      <c r="AL156" s="280"/>
      <c r="AM156" s="280"/>
      <c r="AN156" s="1666"/>
      <c r="AO156" s="1666"/>
      <c r="AP156" s="1666"/>
      <c r="AQ156" s="1666"/>
      <c r="AR156" s="1666"/>
      <c r="AS156" s="280"/>
      <c r="AT156" s="280"/>
      <c r="AU156" s="280"/>
      <c r="AV156" s="280"/>
      <c r="AW156" s="280"/>
      <c r="AX156" s="1666"/>
      <c r="AY156" s="1666"/>
      <c r="AZ156" s="1666"/>
      <c r="BA156" s="1666"/>
      <c r="BB156" s="1666"/>
      <c r="BC156" s="1730"/>
      <c r="BD156" s="934"/>
      <c r="BE156" s="934"/>
      <c r="BF156" s="1170" t="s">
        <v>1071</v>
      </c>
    </row>
    <row s="1619"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1021</v>
      </c>
      <c r="AD157" s="486" t="s">
        <v>1019</v>
      </c>
      <c r="AE157" s="1666"/>
      <c r="AF157" s="1666"/>
      <c r="AG157" s="1666"/>
      <c r="AH157" s="1666"/>
      <c r="AI157" s="280"/>
      <c r="AJ157" s="280"/>
      <c r="AK157" s="280"/>
      <c r="AL157" s="280"/>
      <c r="AM157" s="280"/>
      <c r="AN157" s="1666"/>
      <c r="AO157" s="1666"/>
      <c r="AP157" s="1666"/>
      <c r="AQ157" s="1666"/>
      <c r="AR157" s="1666"/>
      <c r="AS157" s="280"/>
      <c r="AT157" s="280"/>
      <c r="AU157" s="280"/>
      <c r="AV157" s="280"/>
      <c r="AW157" s="280"/>
      <c r="AX157" s="1666"/>
      <c r="AY157" s="1666"/>
      <c r="AZ157" s="1666"/>
      <c r="BA157" s="1666"/>
      <c r="BB157" s="1666"/>
      <c r="BC157" s="1730"/>
      <c r="BD157" s="934"/>
      <c r="BE157" s="934"/>
      <c r="BF157" s="1170" t="s">
        <v>1072</v>
      </c>
    </row>
    <row s="1619"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1023</v>
      </c>
      <c r="AD158" s="486" t="s">
        <v>1019</v>
      </c>
      <c r="AE158" s="1666"/>
      <c r="AF158" s="1666"/>
      <c r="AG158" s="1666"/>
      <c r="AH158" s="1666"/>
      <c r="AI158" s="280"/>
      <c r="AJ158" s="280"/>
      <c r="AK158" s="280"/>
      <c r="AL158" s="280"/>
      <c r="AM158" s="280"/>
      <c r="AN158" s="1666"/>
      <c r="AO158" s="1666"/>
      <c r="AP158" s="1666"/>
      <c r="AQ158" s="1666"/>
      <c r="AR158" s="1666"/>
      <c r="AS158" s="280"/>
      <c r="AT158" s="280"/>
      <c r="AU158" s="280"/>
      <c r="AV158" s="280"/>
      <c r="AW158" s="280"/>
      <c r="AX158" s="1666"/>
      <c r="AY158" s="1666"/>
      <c r="AZ158" s="1666"/>
      <c r="BA158" s="1666"/>
      <c r="BB158" s="1666"/>
      <c r="BC158" s="1730"/>
      <c r="BD158" s="934"/>
      <c r="BE158" s="934"/>
      <c r="BF158" s="1170" t="s">
        <v>1073</v>
      </c>
    </row>
    <row s="1619"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1025</v>
      </c>
      <c r="AD159" s="486" t="s">
        <v>1019</v>
      </c>
      <c r="AE159" s="1807">
        <f>SUM(AE160:AE164)</f>
        <v>0</v>
      </c>
      <c r="AF159" s="1807">
        <f>SUM(AF160:AF164)</f>
        <v>0</v>
      </c>
      <c r="AG159" s="1807">
        <f>SUM(AG160:AG164)</f>
        <v>0</v>
      </c>
      <c r="AH159" s="1807">
        <f>SUM(AH160:AH164)</f>
        <v>0</v>
      </c>
      <c r="AI159" s="481">
        <f>SUM(AI160:AI164)</f>
        <v>0</v>
      </c>
      <c r="AJ159" s="481">
        <f>SUM(AJ160:AJ164)</f>
        <v>0</v>
      </c>
      <c r="AK159" s="481">
        <f>SUM(AK160:AK164)</f>
        <v>0</v>
      </c>
      <c r="AL159" s="481">
        <f>SUM(AL160:AL164)</f>
        <v>0</v>
      </c>
      <c r="AM159" s="481">
        <f>SUM(AM160:AM164)</f>
        <v>0</v>
      </c>
      <c r="AN159" s="1807">
        <f>SUM(AN160:AN164)</f>
        <v>0</v>
      </c>
      <c r="AO159" s="1807">
        <f>SUM(AO160:AO164)</f>
        <v>0</v>
      </c>
      <c r="AP159" s="1807">
        <f>SUM(AP160:AP164)</f>
        <v>0</v>
      </c>
      <c r="AQ159" s="1807">
        <f>SUM(AQ160:AQ164)</f>
        <v>0</v>
      </c>
      <c r="AR159" s="1807">
        <f>SUM(AR160:AR164)</f>
        <v>0</v>
      </c>
      <c r="AS159" s="481">
        <f>SUM(AS160:AS164)</f>
        <v>0</v>
      </c>
      <c r="AT159" s="481">
        <f>SUM(AT160:AT164)</f>
        <v>0</v>
      </c>
      <c r="AU159" s="481">
        <f>SUM(AU160:AU164)</f>
        <v>0</v>
      </c>
      <c r="AV159" s="481">
        <f>SUM(AV160:AV164)</f>
        <v>0</v>
      </c>
      <c r="AW159" s="481">
        <f>SUM(AW160:AW164)</f>
        <v>0</v>
      </c>
      <c r="AX159" s="1807">
        <f>SUM(AX160:AX164)</f>
        <v>0</v>
      </c>
      <c r="AY159" s="1807">
        <f>SUM(AY160:AY164)</f>
        <v>0</v>
      </c>
      <c r="AZ159" s="1807">
        <f>SUM(AZ160:AZ164)</f>
        <v>0</v>
      </c>
      <c r="BA159" s="1807">
        <f>SUM(BA160:BA164)</f>
        <v>0</v>
      </c>
      <c r="BB159" s="1807">
        <f>SUM(BB160:BB164)</f>
        <v>0</v>
      </c>
      <c r="BC159" s="1730"/>
      <c r="BD159" s="934"/>
      <c r="BE159" s="934"/>
      <c r="BF159" s="1170" t="s">
        <v>1074</v>
      </c>
    </row>
    <row s="1619"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1028</v>
      </c>
      <c r="AD160" s="486" t="s">
        <v>1019</v>
      </c>
      <c r="AE160" s="1666"/>
      <c r="AF160" s="1666"/>
      <c r="AG160" s="1666"/>
      <c r="AH160" s="1666"/>
      <c r="AI160" s="280"/>
      <c r="AJ160" s="280"/>
      <c r="AK160" s="280"/>
      <c r="AL160" s="280"/>
      <c r="AM160" s="280"/>
      <c r="AN160" s="1666"/>
      <c r="AO160" s="1666"/>
      <c r="AP160" s="1666"/>
      <c r="AQ160" s="1666"/>
      <c r="AR160" s="1666"/>
      <c r="AS160" s="280"/>
      <c r="AT160" s="280"/>
      <c r="AU160" s="280"/>
      <c r="AV160" s="280"/>
      <c r="AW160" s="280"/>
      <c r="AX160" s="1666"/>
      <c r="AY160" s="1666"/>
      <c r="AZ160" s="1666"/>
      <c r="BA160" s="1666"/>
      <c r="BB160" s="1666"/>
      <c r="BC160" s="1730"/>
      <c r="BD160" s="934"/>
      <c r="BE160" s="934"/>
      <c r="BF160" s="1170" t="s">
        <v>1075</v>
      </c>
    </row>
    <row s="1619"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1031</v>
      </c>
      <c r="AD161" s="486" t="s">
        <v>1019</v>
      </c>
      <c r="AE161" s="1666"/>
      <c r="AF161" s="1666"/>
      <c r="AG161" s="1666"/>
      <c r="AH161" s="1666"/>
      <c r="AI161" s="280"/>
      <c r="AJ161" s="280"/>
      <c r="AK161" s="280"/>
      <c r="AL161" s="280"/>
      <c r="AM161" s="280"/>
      <c r="AN161" s="1666"/>
      <c r="AO161" s="1666"/>
      <c r="AP161" s="1666"/>
      <c r="AQ161" s="1666"/>
      <c r="AR161" s="1666"/>
      <c r="AS161" s="280"/>
      <c r="AT161" s="280"/>
      <c r="AU161" s="280"/>
      <c r="AV161" s="280"/>
      <c r="AW161" s="280"/>
      <c r="AX161" s="1666"/>
      <c r="AY161" s="1666"/>
      <c r="AZ161" s="1666"/>
      <c r="BA161" s="1666"/>
      <c r="BB161" s="1666"/>
      <c r="BC161" s="1730"/>
      <c r="BD161" s="934"/>
      <c r="BE161" s="934"/>
      <c r="BF161" s="1170" t="s">
        <v>1076</v>
      </c>
    </row>
    <row s="1619"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1034</v>
      </c>
      <c r="AD162" s="486" t="s">
        <v>1019</v>
      </c>
      <c r="AE162" s="1666"/>
      <c r="AF162" s="1666"/>
      <c r="AG162" s="1666"/>
      <c r="AH162" s="1666"/>
      <c r="AI162" s="280"/>
      <c r="AJ162" s="280"/>
      <c r="AK162" s="280"/>
      <c r="AL162" s="280"/>
      <c r="AM162" s="280"/>
      <c r="AN162" s="1666"/>
      <c r="AO162" s="1666"/>
      <c r="AP162" s="1666"/>
      <c r="AQ162" s="1666"/>
      <c r="AR162" s="1666"/>
      <c r="AS162" s="280"/>
      <c r="AT162" s="280"/>
      <c r="AU162" s="280"/>
      <c r="AV162" s="280"/>
      <c r="AW162" s="280"/>
      <c r="AX162" s="1666"/>
      <c r="AY162" s="1666"/>
      <c r="AZ162" s="1666"/>
      <c r="BA162" s="1666"/>
      <c r="BB162" s="1666"/>
      <c r="BC162" s="1730"/>
      <c r="BD162" s="934"/>
      <c r="BE162" s="934"/>
      <c r="BF162" s="1170" t="s">
        <v>1077</v>
      </c>
    </row>
    <row s="1619"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1037</v>
      </c>
      <c r="AD163" s="486" t="s">
        <v>1019</v>
      </c>
      <c r="AE163" s="1666"/>
      <c r="AF163" s="1666"/>
      <c r="AG163" s="1666"/>
      <c r="AH163" s="1666"/>
      <c r="AI163" s="280"/>
      <c r="AJ163" s="280"/>
      <c r="AK163" s="280"/>
      <c r="AL163" s="280"/>
      <c r="AM163" s="280"/>
      <c r="AN163" s="1666"/>
      <c r="AO163" s="1666"/>
      <c r="AP163" s="1666"/>
      <c r="AQ163" s="1666"/>
      <c r="AR163" s="1666"/>
      <c r="AS163" s="280"/>
      <c r="AT163" s="280"/>
      <c r="AU163" s="280"/>
      <c r="AV163" s="280"/>
      <c r="AW163" s="280"/>
      <c r="AX163" s="1666"/>
      <c r="AY163" s="1666"/>
      <c r="AZ163" s="1666"/>
      <c r="BA163" s="1666"/>
      <c r="BB163" s="1666"/>
      <c r="BC163" s="1730"/>
      <c r="BD163" s="934"/>
      <c r="BE163" s="934"/>
      <c r="BF163" s="1170" t="s">
        <v>1078</v>
      </c>
    </row>
    <row s="1619"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1040</v>
      </c>
      <c r="AD164" s="486" t="s">
        <v>1019</v>
      </c>
      <c r="AE164" s="1666"/>
      <c r="AF164" s="1666"/>
      <c r="AG164" s="1666"/>
      <c r="AH164" s="1666"/>
      <c r="AI164" s="280"/>
      <c r="AJ164" s="280"/>
      <c r="AK164" s="280"/>
      <c r="AL164" s="280"/>
      <c r="AM164" s="280"/>
      <c r="AN164" s="1666"/>
      <c r="AO164" s="1666"/>
      <c r="AP164" s="1666"/>
      <c r="AQ164" s="1666"/>
      <c r="AR164" s="1666"/>
      <c r="AS164" s="280"/>
      <c r="AT164" s="280"/>
      <c r="AU164" s="280"/>
      <c r="AV164" s="280"/>
      <c r="AW164" s="280"/>
      <c r="AX164" s="1666"/>
      <c r="AY164" s="1666"/>
      <c r="AZ164" s="1666"/>
      <c r="BA164" s="1666"/>
      <c r="BB164" s="1666"/>
      <c r="BC164" s="1730"/>
      <c r="BD164" s="934"/>
      <c r="BE164" s="934"/>
      <c r="BF164" s="1170" t="s">
        <v>1079</v>
      </c>
    </row>
    <row s="1619"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1043</v>
      </c>
      <c r="AD165" s="486" t="s">
        <v>1019</v>
      </c>
      <c r="AE165" s="1666"/>
      <c r="AF165" s="1666"/>
      <c r="AG165" s="1666"/>
      <c r="AH165" s="1666"/>
      <c r="AI165" s="280"/>
      <c r="AJ165" s="280"/>
      <c r="AK165" s="280"/>
      <c r="AL165" s="280"/>
      <c r="AM165" s="280"/>
      <c r="AN165" s="1666"/>
      <c r="AO165" s="1666"/>
      <c r="AP165" s="1666"/>
      <c r="AQ165" s="1666"/>
      <c r="AR165" s="1666"/>
      <c r="AS165" s="280"/>
      <c r="AT165" s="280"/>
      <c r="AU165" s="280"/>
      <c r="AV165" s="280"/>
      <c r="AW165" s="280"/>
      <c r="AX165" s="1666"/>
      <c r="AY165" s="1666"/>
      <c r="AZ165" s="1666"/>
      <c r="BA165" s="1666"/>
      <c r="BB165" s="1666"/>
      <c r="BC165" s="1730"/>
      <c r="BD165" s="934"/>
      <c r="BE165" s="934"/>
      <c r="BF165" s="1170" t="s">
        <v>1080</v>
      </c>
    </row>
    <row s="1619"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1046</v>
      </c>
      <c r="AD166" s="486" t="s">
        <v>1019</v>
      </c>
      <c r="AE166" s="1666"/>
      <c r="AF166" s="1666"/>
      <c r="AG166" s="1666"/>
      <c r="AH166" s="1666"/>
      <c r="AI166" s="280"/>
      <c r="AJ166" s="280"/>
      <c r="AK166" s="280"/>
      <c r="AL166" s="280"/>
      <c r="AM166" s="280"/>
      <c r="AN166" s="1666"/>
      <c r="AO166" s="1666"/>
      <c r="AP166" s="1666"/>
      <c r="AQ166" s="1666"/>
      <c r="AR166" s="1666"/>
      <c r="AS166" s="280"/>
      <c r="AT166" s="280"/>
      <c r="AU166" s="280"/>
      <c r="AV166" s="280"/>
      <c r="AW166" s="280"/>
      <c r="AX166" s="1666"/>
      <c r="AY166" s="1666"/>
      <c r="AZ166" s="1666"/>
      <c r="BA166" s="1666"/>
      <c r="BB166" s="1666"/>
      <c r="BC166" s="1730"/>
      <c r="BD166" s="934"/>
      <c r="BE166" s="934"/>
      <c r="BF166" s="1170" t="s">
        <v>1081</v>
      </c>
    </row>
    <row s="1619"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1049</v>
      </c>
      <c r="AD167" s="486" t="s">
        <v>1019</v>
      </c>
      <c r="AE167" s="1666"/>
      <c r="AF167" s="1666"/>
      <c r="AG167" s="1666"/>
      <c r="AH167" s="1666"/>
      <c r="AI167" s="280"/>
      <c r="AJ167" s="280"/>
      <c r="AK167" s="280"/>
      <c r="AL167" s="280"/>
      <c r="AM167" s="280"/>
      <c r="AN167" s="1666"/>
      <c r="AO167" s="1666"/>
      <c r="AP167" s="1666"/>
      <c r="AQ167" s="1666"/>
      <c r="AR167" s="1666"/>
      <c r="AS167" s="280"/>
      <c r="AT167" s="280"/>
      <c r="AU167" s="280"/>
      <c r="AV167" s="280"/>
      <c r="AW167" s="280"/>
      <c r="AX167" s="1666"/>
      <c r="AY167" s="1666"/>
      <c r="AZ167" s="1666"/>
      <c r="BA167" s="1666"/>
      <c r="BB167" s="1666"/>
      <c r="BC167" s="1730"/>
      <c r="BD167" s="934"/>
      <c r="BE167" s="934"/>
      <c r="BF167" s="1170" t="s">
        <v>1082</v>
      </c>
    </row>
    <row s="1619"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1052</v>
      </c>
      <c r="AD168" s="486" t="s">
        <v>1019</v>
      </c>
      <c r="AE168" s="1666"/>
      <c r="AF168" s="1666"/>
      <c r="AG168" s="1666"/>
      <c r="AH168" s="1666"/>
      <c r="AI168" s="280"/>
      <c r="AJ168" s="280"/>
      <c r="AK168" s="280"/>
      <c r="AL168" s="280"/>
      <c r="AM168" s="280"/>
      <c r="AN168" s="1666"/>
      <c r="AO168" s="1666"/>
      <c r="AP168" s="1666"/>
      <c r="AQ168" s="1666"/>
      <c r="AR168" s="1666"/>
      <c r="AS168" s="280"/>
      <c r="AT168" s="280"/>
      <c r="AU168" s="280"/>
      <c r="AV168" s="280"/>
      <c r="AW168" s="280"/>
      <c r="AX168" s="1666"/>
      <c r="AY168" s="1666"/>
      <c r="AZ168" s="1666"/>
      <c r="BA168" s="1666"/>
      <c r="BB168" s="1666"/>
      <c r="BC168" s="1730"/>
      <c r="BD168" s="934"/>
      <c r="BE168" s="934"/>
      <c r="BF168" s="1170" t="s">
        <v>1083</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1084</v>
      </c>
      <c r="AD169" s="153" t="s">
        <v>805</v>
      </c>
      <c r="AE169" s="1793">
        <f>SUM(AE170:AE173)+SUM(AE179:AE182)</f>
        <v>0</v>
      </c>
      <c r="AF169" s="1793">
        <f>SUM(AF170:AF173)+SUM(AF179:AF182)</f>
        <v>0</v>
      </c>
      <c r="AG169" s="1793">
        <f>SUM(AG170:AG173)+SUM(AG179:AG182)</f>
        <v>0</v>
      </c>
      <c r="AH169" s="1793">
        <f>SUM(AH170:AH173)+SUM(AH179:AH182)</f>
        <v>0</v>
      </c>
      <c r="AI169" s="292">
        <f>SUM(AI170:AI173)+SUM(AI179:AI182)</f>
        <v>0</v>
      </c>
      <c r="AJ169" s="292">
        <f>SUM(AJ170:AJ173)+SUM(AJ179:AJ182)</f>
        <v>0</v>
      </c>
      <c r="AK169" s="292">
        <f>SUM(AK170:AK173)+SUM(AK179:AK182)</f>
        <v>0</v>
      </c>
      <c r="AL169" s="292">
        <f>SUM(AL170:AL173)+SUM(AL179:AL182)</f>
        <v>0</v>
      </c>
      <c r="AM169" s="292">
        <f>SUM(AM170:AM173)+SUM(AM179:AM182)</f>
        <v>0</v>
      </c>
      <c r="AN169" s="1793">
        <f>SUM(AN170:AN173)+SUM(AN179:AN182)</f>
        <v>0</v>
      </c>
      <c r="AO169" s="1793">
        <f>SUM(AO170:AO173)+SUM(AO179:AO182)</f>
        <v>0</v>
      </c>
      <c r="AP169" s="1793">
        <f>SUM(AP170:AP173)+SUM(AP179:AP182)</f>
        <v>0</v>
      </c>
      <c r="AQ169" s="1793">
        <f>SUM(AQ170:AQ173)+SUM(AQ179:AQ182)</f>
        <v>0</v>
      </c>
      <c r="AR169" s="1793">
        <f>SUM(AR170:AR173)+SUM(AR179:AR182)</f>
        <v>0</v>
      </c>
      <c r="AS169" s="292">
        <f>SUM(AS170:AS173)+SUM(AS179:AS182)</f>
        <v>0</v>
      </c>
      <c r="AT169" s="292">
        <f>SUM(AT170:AT173)+SUM(AT179:AT182)</f>
        <v>0</v>
      </c>
      <c r="AU169" s="292">
        <f>SUM(AU170:AU173)+SUM(AU179:AU182)</f>
        <v>0</v>
      </c>
      <c r="AV169" s="292">
        <f>SUM(AV170:AV173)+SUM(AV179:AV182)</f>
        <v>0</v>
      </c>
      <c r="AW169" s="292">
        <f>SUM(AW170:AW173)+SUM(AW179:AW182)</f>
        <v>0</v>
      </c>
      <c r="AX169" s="1793">
        <f>SUM(AX170:AX173)+SUM(AX179:AX182)</f>
        <v>0</v>
      </c>
      <c r="AY169" s="1793">
        <f>SUM(AY170:AY173)+SUM(AY179:AY182)</f>
        <v>0</v>
      </c>
      <c r="AZ169" s="1793">
        <f>SUM(AZ170:AZ173)+SUM(AZ179:AZ182)</f>
        <v>0</v>
      </c>
      <c r="BA169" s="1793">
        <f>SUM(BA170:BA173)+SUM(BA179:BA182)</f>
        <v>0</v>
      </c>
      <c r="BB169" s="1793">
        <f>SUM(BB170:BB173)+SUM(BB179:BB182)</f>
        <v>0</v>
      </c>
      <c r="BC169" s="1730"/>
      <c r="BD169" s="214"/>
      <c r="BE169" s="214"/>
      <c r="BF169" s="1170" t="s">
        <v>1085</v>
      </c>
    </row>
    <row s="1619"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1018</v>
      </c>
      <c r="AD170" s="486" t="s">
        <v>1019</v>
      </c>
      <c r="AE170" s="1666"/>
      <c r="AF170" s="1666"/>
      <c r="AG170" s="1666"/>
      <c r="AH170" s="1666"/>
      <c r="AI170" s="280"/>
      <c r="AJ170" s="280"/>
      <c r="AK170" s="280"/>
      <c r="AL170" s="280"/>
      <c r="AM170" s="280"/>
      <c r="AN170" s="1666"/>
      <c r="AO170" s="1666"/>
      <c r="AP170" s="1666"/>
      <c r="AQ170" s="1666"/>
      <c r="AR170" s="1666"/>
      <c r="AS170" s="280"/>
      <c r="AT170" s="280"/>
      <c r="AU170" s="280"/>
      <c r="AV170" s="280"/>
      <c r="AW170" s="280"/>
      <c r="AX170" s="1666"/>
      <c r="AY170" s="1666"/>
      <c r="AZ170" s="1666"/>
      <c r="BA170" s="1666"/>
      <c r="BB170" s="1666"/>
      <c r="BC170" s="1730"/>
      <c r="BD170" s="934"/>
      <c r="BE170" s="934"/>
      <c r="BF170" s="1170" t="s">
        <v>1086</v>
      </c>
    </row>
    <row s="1619"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1021</v>
      </c>
      <c r="AD171" s="486" t="s">
        <v>1019</v>
      </c>
      <c r="AE171" s="1666"/>
      <c r="AF171" s="1666"/>
      <c r="AG171" s="1666"/>
      <c r="AH171" s="1666"/>
      <c r="AI171" s="280"/>
      <c r="AJ171" s="280"/>
      <c r="AK171" s="280"/>
      <c r="AL171" s="280"/>
      <c r="AM171" s="280"/>
      <c r="AN171" s="1666"/>
      <c r="AO171" s="1666"/>
      <c r="AP171" s="1666"/>
      <c r="AQ171" s="1666"/>
      <c r="AR171" s="1666"/>
      <c r="AS171" s="280"/>
      <c r="AT171" s="280"/>
      <c r="AU171" s="280"/>
      <c r="AV171" s="280"/>
      <c r="AW171" s="280"/>
      <c r="AX171" s="1666"/>
      <c r="AY171" s="1666"/>
      <c r="AZ171" s="1666"/>
      <c r="BA171" s="1666"/>
      <c r="BB171" s="1666"/>
      <c r="BC171" s="1730"/>
      <c r="BD171" s="934"/>
      <c r="BE171" s="934"/>
      <c r="BF171" s="1170" t="s">
        <v>1087</v>
      </c>
    </row>
    <row s="1619"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1023</v>
      </c>
      <c r="AD172" s="486" t="s">
        <v>1019</v>
      </c>
      <c r="AE172" s="1666"/>
      <c r="AF172" s="1666"/>
      <c r="AG172" s="1666"/>
      <c r="AH172" s="1666"/>
      <c r="AI172" s="280"/>
      <c r="AJ172" s="280"/>
      <c r="AK172" s="280"/>
      <c r="AL172" s="280"/>
      <c r="AM172" s="280"/>
      <c r="AN172" s="1666"/>
      <c r="AO172" s="1666"/>
      <c r="AP172" s="1666"/>
      <c r="AQ172" s="1666"/>
      <c r="AR172" s="1666"/>
      <c r="AS172" s="280"/>
      <c r="AT172" s="280"/>
      <c r="AU172" s="280"/>
      <c r="AV172" s="280"/>
      <c r="AW172" s="280"/>
      <c r="AX172" s="1666"/>
      <c r="AY172" s="1666"/>
      <c r="AZ172" s="1666"/>
      <c r="BA172" s="1666"/>
      <c r="BB172" s="1666"/>
      <c r="BC172" s="1730"/>
      <c r="BD172" s="934"/>
      <c r="BE172" s="934"/>
      <c r="BF172" s="1170" t="s">
        <v>1088</v>
      </c>
    </row>
    <row s="1619"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1025</v>
      </c>
      <c r="AD173" s="486" t="s">
        <v>1019</v>
      </c>
      <c r="AE173" s="1807">
        <f>SUM(AE174:AE178)</f>
        <v>0</v>
      </c>
      <c r="AF173" s="1807">
        <f>SUM(AF174:AF178)</f>
        <v>0</v>
      </c>
      <c r="AG173" s="1807">
        <f>SUM(AG174:AG178)</f>
        <v>0</v>
      </c>
      <c r="AH173" s="1807">
        <f>SUM(AH174:AH178)</f>
        <v>0</v>
      </c>
      <c r="AI173" s="481">
        <f>SUM(AI174:AI178)</f>
        <v>0</v>
      </c>
      <c r="AJ173" s="481">
        <f>SUM(AJ174:AJ178)</f>
        <v>0</v>
      </c>
      <c r="AK173" s="481">
        <f>SUM(AK174:AK178)</f>
        <v>0</v>
      </c>
      <c r="AL173" s="481">
        <f>SUM(AL174:AL178)</f>
        <v>0</v>
      </c>
      <c r="AM173" s="481">
        <f>SUM(AM174:AM178)</f>
        <v>0</v>
      </c>
      <c r="AN173" s="1807">
        <f>SUM(AN174:AN178)</f>
        <v>0</v>
      </c>
      <c r="AO173" s="1807">
        <f>SUM(AO174:AO178)</f>
        <v>0</v>
      </c>
      <c r="AP173" s="1807">
        <f>SUM(AP174:AP178)</f>
        <v>0</v>
      </c>
      <c r="AQ173" s="1807">
        <f>SUM(AQ174:AQ178)</f>
        <v>0</v>
      </c>
      <c r="AR173" s="1807">
        <f>SUM(AR174:AR178)</f>
        <v>0</v>
      </c>
      <c r="AS173" s="481">
        <f>SUM(AS174:AS178)</f>
        <v>0</v>
      </c>
      <c r="AT173" s="481">
        <f>SUM(AT174:AT178)</f>
        <v>0</v>
      </c>
      <c r="AU173" s="481">
        <f>SUM(AU174:AU178)</f>
        <v>0</v>
      </c>
      <c r="AV173" s="481">
        <f>SUM(AV174:AV178)</f>
        <v>0</v>
      </c>
      <c r="AW173" s="481">
        <f>SUM(AW174:AW178)</f>
        <v>0</v>
      </c>
      <c r="AX173" s="1807">
        <f>SUM(AX174:AX178)</f>
        <v>0</v>
      </c>
      <c r="AY173" s="1807">
        <f>SUM(AY174:AY178)</f>
        <v>0</v>
      </c>
      <c r="AZ173" s="1807">
        <f>SUM(AZ174:AZ178)</f>
        <v>0</v>
      </c>
      <c r="BA173" s="1807">
        <f>SUM(BA174:BA178)</f>
        <v>0</v>
      </c>
      <c r="BB173" s="1807">
        <f>SUM(BB174:BB178)</f>
        <v>0</v>
      </c>
      <c r="BC173" s="1730"/>
      <c r="BD173" s="934"/>
      <c r="BE173" s="934"/>
      <c r="BF173" s="1170" t="s">
        <v>1089</v>
      </c>
    </row>
    <row s="1619"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1028</v>
      </c>
      <c r="AD174" s="486" t="s">
        <v>1019</v>
      </c>
      <c r="AE174" s="1666"/>
      <c r="AF174" s="1666"/>
      <c r="AG174" s="1666"/>
      <c r="AH174" s="1666"/>
      <c r="AI174" s="280"/>
      <c r="AJ174" s="280"/>
      <c r="AK174" s="280"/>
      <c r="AL174" s="280"/>
      <c r="AM174" s="280"/>
      <c r="AN174" s="1666"/>
      <c r="AO174" s="1666"/>
      <c r="AP174" s="1666"/>
      <c r="AQ174" s="1666"/>
      <c r="AR174" s="1666"/>
      <c r="AS174" s="280"/>
      <c r="AT174" s="280"/>
      <c r="AU174" s="280"/>
      <c r="AV174" s="280"/>
      <c r="AW174" s="280"/>
      <c r="AX174" s="1666"/>
      <c r="AY174" s="1666"/>
      <c r="AZ174" s="1666"/>
      <c r="BA174" s="1666"/>
      <c r="BB174" s="1666"/>
      <c r="BC174" s="1730"/>
      <c r="BD174" s="934"/>
      <c r="BE174" s="934"/>
      <c r="BF174" s="1170" t="s">
        <v>1090</v>
      </c>
    </row>
    <row s="1619"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1031</v>
      </c>
      <c r="AD175" s="486" t="s">
        <v>1019</v>
      </c>
      <c r="AE175" s="1666"/>
      <c r="AF175" s="1666"/>
      <c r="AG175" s="1666"/>
      <c r="AH175" s="1666"/>
      <c r="AI175" s="280"/>
      <c r="AJ175" s="280"/>
      <c r="AK175" s="280"/>
      <c r="AL175" s="280"/>
      <c r="AM175" s="280"/>
      <c r="AN175" s="1666"/>
      <c r="AO175" s="1666"/>
      <c r="AP175" s="1666"/>
      <c r="AQ175" s="1666"/>
      <c r="AR175" s="1666"/>
      <c r="AS175" s="280"/>
      <c r="AT175" s="280"/>
      <c r="AU175" s="280"/>
      <c r="AV175" s="280"/>
      <c r="AW175" s="280"/>
      <c r="AX175" s="1666"/>
      <c r="AY175" s="1666"/>
      <c r="AZ175" s="1666"/>
      <c r="BA175" s="1666"/>
      <c r="BB175" s="1666"/>
      <c r="BC175" s="1730"/>
      <c r="BD175" s="934"/>
      <c r="BE175" s="934"/>
      <c r="BF175" s="1170" t="s">
        <v>1091</v>
      </c>
    </row>
    <row s="1619"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1034</v>
      </c>
      <c r="AD176" s="486" t="s">
        <v>1019</v>
      </c>
      <c r="AE176" s="1666"/>
      <c r="AF176" s="1666"/>
      <c r="AG176" s="1666"/>
      <c r="AH176" s="1666"/>
      <c r="AI176" s="280"/>
      <c r="AJ176" s="280"/>
      <c r="AK176" s="280"/>
      <c r="AL176" s="280"/>
      <c r="AM176" s="280"/>
      <c r="AN176" s="1666"/>
      <c r="AO176" s="1666"/>
      <c r="AP176" s="1666"/>
      <c r="AQ176" s="1666"/>
      <c r="AR176" s="1666"/>
      <c r="AS176" s="280"/>
      <c r="AT176" s="280"/>
      <c r="AU176" s="280"/>
      <c r="AV176" s="280"/>
      <c r="AW176" s="280"/>
      <c r="AX176" s="1666"/>
      <c r="AY176" s="1666"/>
      <c r="AZ176" s="1666"/>
      <c r="BA176" s="1666"/>
      <c r="BB176" s="1666"/>
      <c r="BC176" s="1730"/>
      <c r="BD176" s="934"/>
      <c r="BE176" s="934"/>
      <c r="BF176" s="1170" t="s">
        <v>1092</v>
      </c>
    </row>
    <row s="1619"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1037</v>
      </c>
      <c r="AD177" s="486" t="s">
        <v>1019</v>
      </c>
      <c r="AE177" s="1666"/>
      <c r="AF177" s="1666"/>
      <c r="AG177" s="1666"/>
      <c r="AH177" s="1666"/>
      <c r="AI177" s="280"/>
      <c r="AJ177" s="280"/>
      <c r="AK177" s="280"/>
      <c r="AL177" s="280"/>
      <c r="AM177" s="280"/>
      <c r="AN177" s="1666"/>
      <c r="AO177" s="1666"/>
      <c r="AP177" s="1666"/>
      <c r="AQ177" s="1666"/>
      <c r="AR177" s="1666"/>
      <c r="AS177" s="280"/>
      <c r="AT177" s="280"/>
      <c r="AU177" s="280"/>
      <c r="AV177" s="280"/>
      <c r="AW177" s="280"/>
      <c r="AX177" s="1666"/>
      <c r="AY177" s="1666"/>
      <c r="AZ177" s="1666"/>
      <c r="BA177" s="1666"/>
      <c r="BB177" s="1666"/>
      <c r="BC177" s="1730"/>
      <c r="BD177" s="934"/>
      <c r="BE177" s="934"/>
      <c r="BF177" s="1170" t="s">
        <v>1093</v>
      </c>
    </row>
    <row s="1619"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1040</v>
      </c>
      <c r="AD178" s="486" t="s">
        <v>1019</v>
      </c>
      <c r="AE178" s="1666"/>
      <c r="AF178" s="1666"/>
      <c r="AG178" s="1666"/>
      <c r="AH178" s="1666"/>
      <c r="AI178" s="280"/>
      <c r="AJ178" s="280"/>
      <c r="AK178" s="280"/>
      <c r="AL178" s="280"/>
      <c r="AM178" s="280"/>
      <c r="AN178" s="1666"/>
      <c r="AO178" s="1666"/>
      <c r="AP178" s="1666"/>
      <c r="AQ178" s="1666"/>
      <c r="AR178" s="1666"/>
      <c r="AS178" s="280"/>
      <c r="AT178" s="280"/>
      <c r="AU178" s="280"/>
      <c r="AV178" s="280"/>
      <c r="AW178" s="280"/>
      <c r="AX178" s="1666"/>
      <c r="AY178" s="1666"/>
      <c r="AZ178" s="1666"/>
      <c r="BA178" s="1666"/>
      <c r="BB178" s="1666"/>
      <c r="BC178" s="1730"/>
      <c r="BD178" s="934"/>
      <c r="BE178" s="934"/>
      <c r="BF178" s="1170" t="s">
        <v>1094</v>
      </c>
    </row>
    <row s="1619"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1043</v>
      </c>
      <c r="AD179" s="486" t="s">
        <v>1019</v>
      </c>
      <c r="AE179" s="1666"/>
      <c r="AF179" s="1666"/>
      <c r="AG179" s="1666"/>
      <c r="AH179" s="1666"/>
      <c r="AI179" s="280"/>
      <c r="AJ179" s="280"/>
      <c r="AK179" s="280"/>
      <c r="AL179" s="280"/>
      <c r="AM179" s="280"/>
      <c r="AN179" s="1666"/>
      <c r="AO179" s="1666"/>
      <c r="AP179" s="1666"/>
      <c r="AQ179" s="1666"/>
      <c r="AR179" s="1666"/>
      <c r="AS179" s="280"/>
      <c r="AT179" s="280"/>
      <c r="AU179" s="280"/>
      <c r="AV179" s="280"/>
      <c r="AW179" s="280"/>
      <c r="AX179" s="1666"/>
      <c r="AY179" s="1666"/>
      <c r="AZ179" s="1666"/>
      <c r="BA179" s="1666"/>
      <c r="BB179" s="1666"/>
      <c r="BC179" s="1730"/>
      <c r="BD179" s="934"/>
      <c r="BE179" s="934"/>
      <c r="BF179" s="1170" t="s">
        <v>1095</v>
      </c>
    </row>
    <row s="1619"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1046</v>
      </c>
      <c r="AD180" s="486" t="s">
        <v>1019</v>
      </c>
      <c r="AE180" s="1666"/>
      <c r="AF180" s="1666"/>
      <c r="AG180" s="1666"/>
      <c r="AH180" s="1666"/>
      <c r="AI180" s="280"/>
      <c r="AJ180" s="280"/>
      <c r="AK180" s="280"/>
      <c r="AL180" s="280"/>
      <c r="AM180" s="280"/>
      <c r="AN180" s="1666"/>
      <c r="AO180" s="1666"/>
      <c r="AP180" s="1666"/>
      <c r="AQ180" s="1666"/>
      <c r="AR180" s="1666"/>
      <c r="AS180" s="280"/>
      <c r="AT180" s="280"/>
      <c r="AU180" s="280"/>
      <c r="AV180" s="280"/>
      <c r="AW180" s="280"/>
      <c r="AX180" s="1666"/>
      <c r="AY180" s="1666"/>
      <c r="AZ180" s="1666"/>
      <c r="BA180" s="1666"/>
      <c r="BB180" s="1666"/>
      <c r="BC180" s="1730"/>
      <c r="BD180" s="934"/>
      <c r="BE180" s="934"/>
      <c r="BF180" s="1170" t="s">
        <v>1096</v>
      </c>
    </row>
    <row s="1619"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1049</v>
      </c>
      <c r="AD181" s="486" t="s">
        <v>1019</v>
      </c>
      <c r="AE181" s="1666"/>
      <c r="AF181" s="1666"/>
      <c r="AG181" s="1666"/>
      <c r="AH181" s="1666"/>
      <c r="AI181" s="280"/>
      <c r="AJ181" s="280"/>
      <c r="AK181" s="280"/>
      <c r="AL181" s="280"/>
      <c r="AM181" s="280"/>
      <c r="AN181" s="1666"/>
      <c r="AO181" s="1666"/>
      <c r="AP181" s="1666"/>
      <c r="AQ181" s="1666"/>
      <c r="AR181" s="1666"/>
      <c r="AS181" s="280"/>
      <c r="AT181" s="280"/>
      <c r="AU181" s="280"/>
      <c r="AV181" s="280"/>
      <c r="AW181" s="280"/>
      <c r="AX181" s="1666"/>
      <c r="AY181" s="1666"/>
      <c r="AZ181" s="1666"/>
      <c r="BA181" s="1666"/>
      <c r="BB181" s="1666"/>
      <c r="BC181" s="1730"/>
      <c r="BD181" s="934"/>
      <c r="BE181" s="934"/>
      <c r="BF181" s="1170" t="s">
        <v>1097</v>
      </c>
    </row>
    <row s="1619"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1052</v>
      </c>
      <c r="AD182" s="486" t="s">
        <v>1019</v>
      </c>
      <c r="AE182" s="1666"/>
      <c r="AF182" s="1666"/>
      <c r="AG182" s="1666"/>
      <c r="AH182" s="1666"/>
      <c r="AI182" s="280"/>
      <c r="AJ182" s="280"/>
      <c r="AK182" s="280"/>
      <c r="AL182" s="280"/>
      <c r="AM182" s="280"/>
      <c r="AN182" s="1666"/>
      <c r="AO182" s="1666"/>
      <c r="AP182" s="1666"/>
      <c r="AQ182" s="1666"/>
      <c r="AR182" s="1666"/>
      <c r="AS182" s="280"/>
      <c r="AT182" s="280"/>
      <c r="AU182" s="280"/>
      <c r="AV182" s="280"/>
      <c r="AW182" s="280"/>
      <c r="AX182" s="1666"/>
      <c r="AY182" s="1666"/>
      <c r="AZ182" s="1666"/>
      <c r="BA182" s="1666"/>
      <c r="BB182" s="1666"/>
      <c r="BC182" s="1730"/>
      <c r="BD182" s="934"/>
      <c r="BE182" s="934"/>
      <c r="BF182" s="1170" t="s">
        <v>1098</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1099</v>
      </c>
      <c r="AD183" s="153" t="s">
        <v>805</v>
      </c>
      <c r="AE183" s="1793">
        <f>SUM(AE184:AE187)+SUM(AE193:AE196)</f>
        <v>0</v>
      </c>
      <c r="AF183" s="1793">
        <f>SUM(AF184:AF187)+SUM(AF193:AF196)</f>
        <v>0</v>
      </c>
      <c r="AG183" s="1793">
        <f>SUM(AG184:AG187)+SUM(AG193:AG196)</f>
        <v>0</v>
      </c>
      <c r="AH183" s="1793">
        <f>SUM(AH184:AH187)+SUM(AH193:AH196)</f>
        <v>0</v>
      </c>
      <c r="AI183" s="292">
        <f>SUM(AI184:AI187)+SUM(AI193:AI196)</f>
        <v>0</v>
      </c>
      <c r="AJ183" s="292">
        <f>SUM(AJ184:AJ187)+SUM(AJ193:AJ196)</f>
        <v>0</v>
      </c>
      <c r="AK183" s="292">
        <f>SUM(AK184:AK187)+SUM(AK193:AK196)</f>
        <v>0</v>
      </c>
      <c r="AL183" s="292">
        <f>SUM(AL184:AL187)+SUM(AL193:AL196)</f>
        <v>0</v>
      </c>
      <c r="AM183" s="292">
        <f>SUM(AM184:AM187)+SUM(AM193:AM196)</f>
        <v>0</v>
      </c>
      <c r="AN183" s="1793">
        <f>SUM(AN184:AN187)+SUM(AN193:AN196)</f>
        <v>0</v>
      </c>
      <c r="AO183" s="1793">
        <f>SUM(AO184:AO187)+SUM(AO193:AO196)</f>
        <v>0</v>
      </c>
      <c r="AP183" s="1793">
        <f>SUM(AP184:AP187)+SUM(AP193:AP196)</f>
        <v>0</v>
      </c>
      <c r="AQ183" s="1793">
        <f>SUM(AQ184:AQ187)+SUM(AQ193:AQ196)</f>
        <v>0</v>
      </c>
      <c r="AR183" s="1793">
        <f>SUM(AR184:AR187)+SUM(AR193:AR196)</f>
        <v>0</v>
      </c>
      <c r="AS183" s="292">
        <f>SUM(AS184:AS187)+SUM(AS193:AS196)</f>
        <v>0</v>
      </c>
      <c r="AT183" s="292">
        <f>SUM(AT184:AT187)+SUM(AT193:AT196)</f>
        <v>0</v>
      </c>
      <c r="AU183" s="292">
        <f>SUM(AU184:AU187)+SUM(AU193:AU196)</f>
        <v>0</v>
      </c>
      <c r="AV183" s="292">
        <f>SUM(AV184:AV187)+SUM(AV193:AV196)</f>
        <v>0</v>
      </c>
      <c r="AW183" s="292">
        <f>SUM(AW184:AW187)+SUM(AW193:AW196)</f>
        <v>0</v>
      </c>
      <c r="AX183" s="1793">
        <f>SUM(AX184:AX187)+SUM(AX193:AX196)</f>
        <v>0</v>
      </c>
      <c r="AY183" s="1793">
        <f>SUM(AY184:AY187)+SUM(AY193:AY196)</f>
        <v>0</v>
      </c>
      <c r="AZ183" s="1793">
        <f>SUM(AZ184:AZ187)+SUM(AZ193:AZ196)</f>
        <v>0</v>
      </c>
      <c r="BA183" s="1793">
        <f>SUM(BA184:BA187)+SUM(BA193:BA196)</f>
        <v>0</v>
      </c>
      <c r="BB183" s="1793">
        <f>SUM(BB184:BB187)+SUM(BB193:BB196)</f>
        <v>0</v>
      </c>
      <c r="BC183" s="1730"/>
      <c r="BD183" s="214"/>
      <c r="BE183" s="214"/>
      <c r="BF183" s="1170" t="s">
        <v>1100</v>
      </c>
    </row>
    <row s="1619"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1018</v>
      </c>
      <c r="AD184" s="477" t="s">
        <v>1019</v>
      </c>
      <c r="AE184" s="1807">
        <f>(AE128*2+AE142+AE156-AE170)/2</f>
        <v>0</v>
      </c>
      <c r="AF184" s="1807">
        <f>(AF128*2+AF142+AF156-AF170)/2</f>
        <v>0</v>
      </c>
      <c r="AG184" s="1807">
        <f>(AG128*2+AG142+AG156-AG170)/2</f>
        <v>0</v>
      </c>
      <c r="AH184" s="1807">
        <f>(AH128*2+AH142+AH156-AH170)/2</f>
        <v>0</v>
      </c>
      <c r="AI184" s="481">
        <f>(AI128*2+AI142+AI156-AI170)/2</f>
        <v>0</v>
      </c>
      <c r="AJ184" s="481">
        <f>(AJ128*2+AJ142+AJ156-AJ170)/2</f>
        <v>0</v>
      </c>
      <c r="AK184" s="481">
        <f>(AK128*2+AK142+AK156-AK170)/2</f>
        <v>0</v>
      </c>
      <c r="AL184" s="481">
        <f>(AL128*2+AL142+AL156-AL170)/2</f>
        <v>0</v>
      </c>
      <c r="AM184" s="481">
        <f>(AM128*2+AM142+AM156-AM170)/2</f>
        <v>0</v>
      </c>
      <c r="AN184" s="1807">
        <f>(AN128*2+AN142+AN156-AN170)/2</f>
        <v>0</v>
      </c>
      <c r="AO184" s="1807">
        <f>(AO128*2+AO142+AO156-AO170)/2</f>
        <v>0</v>
      </c>
      <c r="AP184" s="1807">
        <f>(AP128*2+AP142+AP156-AP170)/2</f>
        <v>0</v>
      </c>
      <c r="AQ184" s="1807">
        <f>(AQ128*2+AQ142+AQ156-AQ170)/2</f>
        <v>0</v>
      </c>
      <c r="AR184" s="1807">
        <f>(AR128*2+AR142+AR156-AR170)/2</f>
        <v>0</v>
      </c>
      <c r="AS184" s="481">
        <f>(AS128*2+AS142+AS156-AS170)/2</f>
        <v>0</v>
      </c>
      <c r="AT184" s="481">
        <f>(AT128*2+AT142+AT156-AT170)/2</f>
        <v>0</v>
      </c>
      <c r="AU184" s="481">
        <f>(AU128*2+AU142+AU156-AU170)/2</f>
        <v>0</v>
      </c>
      <c r="AV184" s="481">
        <f>(AV128*2+AV142+AV156-AV170)/2</f>
        <v>0</v>
      </c>
      <c r="AW184" s="481">
        <f>(AW128*2+AW142+AW156-AW170)/2</f>
        <v>0</v>
      </c>
      <c r="AX184" s="1807">
        <f>(AX128*2+AX142+AX156-AX170)/2</f>
        <v>0</v>
      </c>
      <c r="AY184" s="1807">
        <f>(AY128*2+AY142+AY156-AY170)/2</f>
        <v>0</v>
      </c>
      <c r="AZ184" s="1807">
        <f>(AZ128*2+AZ142+AZ156-AZ170)/2</f>
        <v>0</v>
      </c>
      <c r="BA184" s="1807">
        <f>(BA128*2+BA142+BA156-BA170)/2</f>
        <v>0</v>
      </c>
      <c r="BB184" s="1807">
        <f>(BB128*2+BB142+BB156-BB170)/2</f>
        <v>0</v>
      </c>
      <c r="BC184" s="1809"/>
      <c r="BD184" s="934"/>
      <c r="BE184" s="934"/>
      <c r="BF184" s="1170" t="s">
        <v>1101</v>
      </c>
    </row>
    <row s="1619"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1021</v>
      </c>
      <c r="AD185" s="477" t="s">
        <v>1019</v>
      </c>
      <c r="AE185" s="1807">
        <f>(AE129*2+AE143+AE157-AE171)/2</f>
        <v>0</v>
      </c>
      <c r="AF185" s="1807">
        <f>(AF129*2+AF143+AF157-AF171)/2</f>
        <v>0</v>
      </c>
      <c r="AG185" s="1807">
        <f>(AG129*2+AG143+AG157-AG171)/2</f>
        <v>0</v>
      </c>
      <c r="AH185" s="1807">
        <f>(AH129*2+AH143+AH157-AH171)/2</f>
        <v>0</v>
      </c>
      <c r="AI185" s="481">
        <f>(AI129*2+AI143+AI157-AI171)/2</f>
        <v>0</v>
      </c>
      <c r="AJ185" s="481">
        <f>(AJ129*2+AJ143+AJ157-AJ171)/2</f>
        <v>0</v>
      </c>
      <c r="AK185" s="481">
        <f>(AK129*2+AK143+AK157-AK171)/2</f>
        <v>0</v>
      </c>
      <c r="AL185" s="481">
        <f>(AL129*2+AL143+AL157-AL171)/2</f>
        <v>0</v>
      </c>
      <c r="AM185" s="481">
        <f>(AM129*2+AM143+AM157-AM171)/2</f>
        <v>0</v>
      </c>
      <c r="AN185" s="1807">
        <f>(AN129*2+AN143+AN157-AN171)/2</f>
        <v>0</v>
      </c>
      <c r="AO185" s="1807">
        <f>(AO129*2+AO143+AO157-AO171)/2</f>
        <v>0</v>
      </c>
      <c r="AP185" s="1807">
        <f>(AP129*2+AP143+AP157-AP171)/2</f>
        <v>0</v>
      </c>
      <c r="AQ185" s="1807">
        <f>(AQ129*2+AQ143+AQ157-AQ171)/2</f>
        <v>0</v>
      </c>
      <c r="AR185" s="1807">
        <f>(AR129*2+AR143+AR157-AR171)/2</f>
        <v>0</v>
      </c>
      <c r="AS185" s="481">
        <f>(AS129*2+AS143+AS157-AS171)/2</f>
        <v>0</v>
      </c>
      <c r="AT185" s="481">
        <f>(AT129*2+AT143+AT157-AT171)/2</f>
        <v>0</v>
      </c>
      <c r="AU185" s="481">
        <f>(AU129*2+AU143+AU157-AU171)/2</f>
        <v>0</v>
      </c>
      <c r="AV185" s="481">
        <f>(AV129*2+AV143+AV157-AV171)/2</f>
        <v>0</v>
      </c>
      <c r="AW185" s="481">
        <f>(AW129*2+AW143+AW157-AW171)/2</f>
        <v>0</v>
      </c>
      <c r="AX185" s="1807">
        <f>(AX129*2+AX143+AX157-AX171)/2</f>
        <v>0</v>
      </c>
      <c r="AY185" s="1807">
        <f>(AY129*2+AY143+AY157-AY171)/2</f>
        <v>0</v>
      </c>
      <c r="AZ185" s="1807">
        <f>(AZ129*2+AZ143+AZ157-AZ171)/2</f>
        <v>0</v>
      </c>
      <c r="BA185" s="1807">
        <f>(BA129*2+BA143+BA157-BA171)/2</f>
        <v>0</v>
      </c>
      <c r="BB185" s="1807">
        <f>(BB129*2+BB143+BB157-BB171)/2</f>
        <v>0</v>
      </c>
      <c r="BC185" s="1809"/>
      <c r="BD185" s="934"/>
      <c r="BE185" s="934"/>
      <c r="BF185" s="1170" t="s">
        <v>1102</v>
      </c>
    </row>
    <row s="1619"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1023</v>
      </c>
      <c r="AD186" s="477" t="s">
        <v>1019</v>
      </c>
      <c r="AE186" s="1807">
        <f>(AE130*2+AE144+AE158-AE172)/2</f>
        <v>0</v>
      </c>
      <c r="AF186" s="1807">
        <f>(AF130*2+AF144+AF158-AF172)/2</f>
        <v>0</v>
      </c>
      <c r="AG186" s="1807">
        <f>(AG130*2+AG144+AG158-AG172)/2</f>
        <v>0</v>
      </c>
      <c r="AH186" s="1807">
        <f>(AH130*2+AH144+AH158-AH172)/2</f>
        <v>0</v>
      </c>
      <c r="AI186" s="481">
        <f>(AI130*2+AI144+AI158-AI172)/2</f>
        <v>0</v>
      </c>
      <c r="AJ186" s="481">
        <f>(AJ130*2+AJ144+AJ158-AJ172)/2</f>
        <v>0</v>
      </c>
      <c r="AK186" s="481">
        <f>(AK130*2+AK144+AK158-AK172)/2</f>
        <v>0</v>
      </c>
      <c r="AL186" s="481">
        <f>(AL130*2+AL144+AL158-AL172)/2</f>
        <v>0</v>
      </c>
      <c r="AM186" s="481">
        <f>(AM130*2+AM144+AM158-AM172)/2</f>
        <v>0</v>
      </c>
      <c r="AN186" s="1807">
        <f>(AN130*2+AN144+AN158-AN172)/2</f>
        <v>0</v>
      </c>
      <c r="AO186" s="1807">
        <f>(AO130*2+AO144+AO158-AO172)/2</f>
        <v>0</v>
      </c>
      <c r="AP186" s="1807">
        <f>(AP130*2+AP144+AP158-AP172)/2</f>
        <v>0</v>
      </c>
      <c r="AQ186" s="1807">
        <f>(AQ130*2+AQ144+AQ158-AQ172)/2</f>
        <v>0</v>
      </c>
      <c r="AR186" s="1807">
        <f>(AR130*2+AR144+AR158-AR172)/2</f>
        <v>0</v>
      </c>
      <c r="AS186" s="481">
        <f>(AS130*2+AS144+AS158-AS172)/2</f>
        <v>0</v>
      </c>
      <c r="AT186" s="481">
        <f>(AT130*2+AT144+AT158-AT172)/2</f>
        <v>0</v>
      </c>
      <c r="AU186" s="481">
        <f>(AU130*2+AU144+AU158-AU172)/2</f>
        <v>0</v>
      </c>
      <c r="AV186" s="481">
        <f>(AV130*2+AV144+AV158-AV172)/2</f>
        <v>0</v>
      </c>
      <c r="AW186" s="481">
        <f>(AW130*2+AW144+AW158-AW172)/2</f>
        <v>0</v>
      </c>
      <c r="AX186" s="1807">
        <f>(AX130*2+AX144+AX158-AX172)/2</f>
        <v>0</v>
      </c>
      <c r="AY186" s="1807">
        <f>(AY130*2+AY144+AY158-AY172)/2</f>
        <v>0</v>
      </c>
      <c r="AZ186" s="1807">
        <f>(AZ130*2+AZ144+AZ158-AZ172)/2</f>
        <v>0</v>
      </c>
      <c r="BA186" s="1807">
        <f>(BA130*2+BA144+BA158-BA172)/2</f>
        <v>0</v>
      </c>
      <c r="BB186" s="1807">
        <f>(BB130*2+BB144+BB158-BB172)/2</f>
        <v>0</v>
      </c>
      <c r="BC186" s="1809"/>
      <c r="BD186" s="934"/>
      <c r="BE186" s="934"/>
      <c r="BF186" s="1170" t="s">
        <v>1103</v>
      </c>
    </row>
    <row s="1619"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1025</v>
      </c>
      <c r="AD187" s="477" t="s">
        <v>1019</v>
      </c>
      <c r="AE187" s="1807">
        <f>SUM(AE188:AE192)</f>
        <v>0</v>
      </c>
      <c r="AF187" s="1807">
        <f>SUM(AF188:AF192)</f>
        <v>0</v>
      </c>
      <c r="AG187" s="1807">
        <f>SUM(AG188:AG192)</f>
        <v>0</v>
      </c>
      <c r="AH187" s="1807">
        <f>SUM(AH188:AH192)</f>
        <v>0</v>
      </c>
      <c r="AI187" s="481">
        <f>SUM(AI188:AI192)</f>
        <v>0</v>
      </c>
      <c r="AJ187" s="481">
        <f>SUM(AJ188:AJ192)</f>
        <v>0</v>
      </c>
      <c r="AK187" s="481">
        <f>SUM(AK188:AK192)</f>
        <v>0</v>
      </c>
      <c r="AL187" s="481">
        <f>SUM(AL188:AL192)</f>
        <v>0</v>
      </c>
      <c r="AM187" s="481">
        <f>SUM(AM188:AM192)</f>
        <v>0</v>
      </c>
      <c r="AN187" s="1807">
        <f>SUM(AN188:AN192)</f>
        <v>0</v>
      </c>
      <c r="AO187" s="1807">
        <f>SUM(AO188:AO192)</f>
        <v>0</v>
      </c>
      <c r="AP187" s="1807">
        <f>SUM(AP188:AP192)</f>
        <v>0</v>
      </c>
      <c r="AQ187" s="1807">
        <f>SUM(AQ188:AQ192)</f>
        <v>0</v>
      </c>
      <c r="AR187" s="1807">
        <f>SUM(AR188:AR192)</f>
        <v>0</v>
      </c>
      <c r="AS187" s="481">
        <f>SUM(AS188:AS192)</f>
        <v>0</v>
      </c>
      <c r="AT187" s="481">
        <f>SUM(AT188:AT192)</f>
        <v>0</v>
      </c>
      <c r="AU187" s="481">
        <f>SUM(AU188:AU192)</f>
        <v>0</v>
      </c>
      <c r="AV187" s="481">
        <f>SUM(AV188:AV192)</f>
        <v>0</v>
      </c>
      <c r="AW187" s="481">
        <f>SUM(AW188:AW192)</f>
        <v>0</v>
      </c>
      <c r="AX187" s="1807">
        <f>SUM(AX188:AX192)</f>
        <v>0</v>
      </c>
      <c r="AY187" s="1807">
        <f>SUM(AY188:AY192)</f>
        <v>0</v>
      </c>
      <c r="AZ187" s="1807">
        <f>SUM(AZ188:AZ192)</f>
        <v>0</v>
      </c>
      <c r="BA187" s="1807">
        <f>SUM(BA188:BA192)</f>
        <v>0</v>
      </c>
      <c r="BB187" s="1807">
        <f>SUM(BB188:BB192)</f>
        <v>0</v>
      </c>
      <c r="BC187" s="1809"/>
      <c r="BD187" s="934"/>
      <c r="BE187" s="934"/>
      <c r="BF187" s="1170" t="s">
        <v>1104</v>
      </c>
    </row>
    <row s="1619"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1028</v>
      </c>
      <c r="AD188" s="477" t="s">
        <v>1019</v>
      </c>
      <c r="AE188" s="1807">
        <f>(AE132*2+AE146+AE160-AE174)/2</f>
        <v>0</v>
      </c>
      <c r="AF188" s="1807">
        <f>(AF132*2+AF146+AF160-AF174)/2</f>
        <v>0</v>
      </c>
      <c r="AG188" s="1807">
        <f>(AG132*2+AG146+AG160-AG174)/2</f>
        <v>0</v>
      </c>
      <c r="AH188" s="1807">
        <f>(AH132*2+AH146+AH160-AH174)/2</f>
        <v>0</v>
      </c>
      <c r="AI188" s="481">
        <f>(AI132*2+AI146+AI160-AI174)/2</f>
        <v>0</v>
      </c>
      <c r="AJ188" s="481">
        <f>(AJ132*2+AJ146+AJ160-AJ174)/2</f>
        <v>0</v>
      </c>
      <c r="AK188" s="481">
        <f>(AK132*2+AK146+AK160-AK174)/2</f>
        <v>0</v>
      </c>
      <c r="AL188" s="481">
        <f>(AL132*2+AL146+AL160-AL174)/2</f>
        <v>0</v>
      </c>
      <c r="AM188" s="481">
        <f>(AM132*2+AM146+AM160-AM174)/2</f>
        <v>0</v>
      </c>
      <c r="AN188" s="1807">
        <f>(AN132*2+AN146+AN160-AN174)/2</f>
        <v>0</v>
      </c>
      <c r="AO188" s="1807">
        <f>(AO132*2+AO146+AO160-AO174)/2</f>
        <v>0</v>
      </c>
      <c r="AP188" s="1807">
        <f>(AP132*2+AP146+AP160-AP174)/2</f>
        <v>0</v>
      </c>
      <c r="AQ188" s="1807">
        <f>(AQ132*2+AQ146+AQ160-AQ174)/2</f>
        <v>0</v>
      </c>
      <c r="AR188" s="1807">
        <f>(AR132*2+AR146+AR160-AR174)/2</f>
        <v>0</v>
      </c>
      <c r="AS188" s="481">
        <f>(AS132*2+AS146+AS160-AS174)/2</f>
        <v>0</v>
      </c>
      <c r="AT188" s="481">
        <f>(AT132*2+AT146+AT160-AT174)/2</f>
        <v>0</v>
      </c>
      <c r="AU188" s="481">
        <f>(AU132*2+AU146+AU160-AU174)/2</f>
        <v>0</v>
      </c>
      <c r="AV188" s="481">
        <f>(AV132*2+AV146+AV160-AV174)/2</f>
        <v>0</v>
      </c>
      <c r="AW188" s="481">
        <f>(AW132*2+AW146+AW160-AW174)/2</f>
        <v>0</v>
      </c>
      <c r="AX188" s="1807">
        <f>(AX132*2+AX146+AX160-AX174)/2</f>
        <v>0</v>
      </c>
      <c r="AY188" s="1807">
        <f>(AY132*2+AY146+AY160-AY174)/2</f>
        <v>0</v>
      </c>
      <c r="AZ188" s="1807">
        <f>(AZ132*2+AZ146+AZ160-AZ174)/2</f>
        <v>0</v>
      </c>
      <c r="BA188" s="1807">
        <f>(BA132*2+BA146+BA160-BA174)/2</f>
        <v>0</v>
      </c>
      <c r="BB188" s="1807">
        <f>(BB132*2+BB146+BB160-BB174)/2</f>
        <v>0</v>
      </c>
      <c r="BC188" s="1809"/>
      <c r="BD188" s="934"/>
      <c r="BE188" s="934"/>
      <c r="BF188" s="1170" t="s">
        <v>1105</v>
      </c>
    </row>
    <row s="1619"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1031</v>
      </c>
      <c r="AD189" s="477" t="s">
        <v>1019</v>
      </c>
      <c r="AE189" s="1807">
        <f>(AE133*2+AE147+AE161-AE175)/2</f>
        <v>0</v>
      </c>
      <c r="AF189" s="1807">
        <f>(AF133*2+AF147+AF161-AF175)/2</f>
        <v>0</v>
      </c>
      <c r="AG189" s="1807">
        <f>(AG133*2+AG147+AG161-AG175)/2</f>
        <v>0</v>
      </c>
      <c r="AH189" s="1807">
        <f>(AH133*2+AH147+AH161-AH175)/2</f>
        <v>0</v>
      </c>
      <c r="AI189" s="481">
        <f>(AI133*2+AI147+AI161-AI175)/2</f>
        <v>0</v>
      </c>
      <c r="AJ189" s="481">
        <f>(AJ133*2+AJ147+AJ161-AJ175)/2</f>
        <v>0</v>
      </c>
      <c r="AK189" s="481">
        <f>(AK133*2+AK147+AK161-AK175)/2</f>
        <v>0</v>
      </c>
      <c r="AL189" s="481">
        <f>(AL133*2+AL147+AL161-AL175)/2</f>
        <v>0</v>
      </c>
      <c r="AM189" s="481">
        <f>(AM133*2+AM147+AM161-AM175)/2</f>
        <v>0</v>
      </c>
      <c r="AN189" s="1807">
        <f>(AN133*2+AN147+AN161-AN175)/2</f>
        <v>0</v>
      </c>
      <c r="AO189" s="1807">
        <f>(AO133*2+AO147+AO161-AO175)/2</f>
        <v>0</v>
      </c>
      <c r="AP189" s="1807">
        <f>(AP133*2+AP147+AP161-AP175)/2</f>
        <v>0</v>
      </c>
      <c r="AQ189" s="1807">
        <f>(AQ133*2+AQ147+AQ161-AQ175)/2</f>
        <v>0</v>
      </c>
      <c r="AR189" s="1807">
        <f>(AR133*2+AR147+AR161-AR175)/2</f>
        <v>0</v>
      </c>
      <c r="AS189" s="481">
        <f>(AS133*2+AS147+AS161-AS175)/2</f>
        <v>0</v>
      </c>
      <c r="AT189" s="481">
        <f>(AT133*2+AT147+AT161-AT175)/2</f>
        <v>0</v>
      </c>
      <c r="AU189" s="481">
        <f>(AU133*2+AU147+AU161-AU175)/2</f>
        <v>0</v>
      </c>
      <c r="AV189" s="481">
        <f>(AV133*2+AV147+AV161-AV175)/2</f>
        <v>0</v>
      </c>
      <c r="AW189" s="481">
        <f>(AW133*2+AW147+AW161-AW175)/2</f>
        <v>0</v>
      </c>
      <c r="AX189" s="1807">
        <f>(AX133*2+AX147+AX161-AX175)/2</f>
        <v>0</v>
      </c>
      <c r="AY189" s="1807">
        <f>(AY133*2+AY147+AY161-AY175)/2</f>
        <v>0</v>
      </c>
      <c r="AZ189" s="1807">
        <f>(AZ133*2+AZ147+AZ161-AZ175)/2</f>
        <v>0</v>
      </c>
      <c r="BA189" s="1807">
        <f>(BA133*2+BA147+BA161-BA175)/2</f>
        <v>0</v>
      </c>
      <c r="BB189" s="1807">
        <f>(BB133*2+BB147+BB161-BB175)/2</f>
        <v>0</v>
      </c>
      <c r="BC189" s="1809"/>
      <c r="BD189" s="934"/>
      <c r="BE189" s="934"/>
      <c r="BF189" s="1170" t="s">
        <v>1106</v>
      </c>
    </row>
    <row s="1619"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1034</v>
      </c>
      <c r="AD190" s="477" t="s">
        <v>1019</v>
      </c>
      <c r="AE190" s="1807">
        <f>(AE134*2+AE148+AE162-AE176)/2</f>
        <v>0</v>
      </c>
      <c r="AF190" s="1807">
        <f>(AF134*2+AF148+AF162-AF176)/2</f>
        <v>0</v>
      </c>
      <c r="AG190" s="1807">
        <f>(AG134*2+AG148+AG162-AG176)/2</f>
        <v>0</v>
      </c>
      <c r="AH190" s="1807">
        <f>(AH134*2+AH148+AH162-AH176)/2</f>
        <v>0</v>
      </c>
      <c r="AI190" s="481">
        <f>(AI134*2+AI148+AI162-AI176)/2</f>
        <v>0</v>
      </c>
      <c r="AJ190" s="481">
        <f>(AJ134*2+AJ148+AJ162-AJ176)/2</f>
        <v>0</v>
      </c>
      <c r="AK190" s="481">
        <f>(AK134*2+AK148+AK162-AK176)/2</f>
        <v>0</v>
      </c>
      <c r="AL190" s="481">
        <f>(AL134*2+AL148+AL162-AL176)/2</f>
        <v>0</v>
      </c>
      <c r="AM190" s="481">
        <f>(AM134*2+AM148+AM162-AM176)/2</f>
        <v>0</v>
      </c>
      <c r="AN190" s="1807">
        <f>(AN134*2+AN148+AN162-AN176)/2</f>
        <v>0</v>
      </c>
      <c r="AO190" s="1807">
        <f>(AO134*2+AO148+AO162-AO176)/2</f>
        <v>0</v>
      </c>
      <c r="AP190" s="1807">
        <f>(AP134*2+AP148+AP162-AP176)/2</f>
        <v>0</v>
      </c>
      <c r="AQ190" s="1807">
        <f>(AQ134*2+AQ148+AQ162-AQ176)/2</f>
        <v>0</v>
      </c>
      <c r="AR190" s="1807">
        <f>(AR134*2+AR148+AR162-AR176)/2</f>
        <v>0</v>
      </c>
      <c r="AS190" s="481">
        <f>(AS134*2+AS148+AS162-AS176)/2</f>
        <v>0</v>
      </c>
      <c r="AT190" s="481">
        <f>(AT134*2+AT148+AT162-AT176)/2</f>
        <v>0</v>
      </c>
      <c r="AU190" s="481">
        <f>(AU134*2+AU148+AU162-AU176)/2</f>
        <v>0</v>
      </c>
      <c r="AV190" s="481">
        <f>(AV134*2+AV148+AV162-AV176)/2</f>
        <v>0</v>
      </c>
      <c r="AW190" s="481">
        <f>(AW134*2+AW148+AW162-AW176)/2</f>
        <v>0</v>
      </c>
      <c r="AX190" s="1807">
        <f>(AX134*2+AX148+AX162-AX176)/2</f>
        <v>0</v>
      </c>
      <c r="AY190" s="1807">
        <f>(AY134*2+AY148+AY162-AY176)/2</f>
        <v>0</v>
      </c>
      <c r="AZ190" s="1807">
        <f>(AZ134*2+AZ148+AZ162-AZ176)/2</f>
        <v>0</v>
      </c>
      <c r="BA190" s="1807">
        <f>(BA134*2+BA148+BA162-BA176)/2</f>
        <v>0</v>
      </c>
      <c r="BB190" s="1807">
        <f>(BB134*2+BB148+BB162-BB176)/2</f>
        <v>0</v>
      </c>
      <c r="BC190" s="1809"/>
      <c r="BD190" s="934"/>
      <c r="BE190" s="934"/>
      <c r="BF190" s="1170" t="s">
        <v>1107</v>
      </c>
    </row>
    <row s="1619"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1037</v>
      </c>
      <c r="AD191" s="477" t="s">
        <v>1019</v>
      </c>
      <c r="AE191" s="1807">
        <f>(AE135*2+AE149+AE163-AE177)/2</f>
        <v>0</v>
      </c>
      <c r="AF191" s="1807">
        <f>(AF135*2+AF149+AF163-AF177)/2</f>
        <v>0</v>
      </c>
      <c r="AG191" s="1807">
        <f>(AG135*2+AG149+AG163-AG177)/2</f>
        <v>0</v>
      </c>
      <c r="AH191" s="1807">
        <f>(AH135*2+AH149+AH163-AH177)/2</f>
        <v>0</v>
      </c>
      <c r="AI191" s="481">
        <f>(AI135*2+AI149+AI163-AI177)/2</f>
        <v>0</v>
      </c>
      <c r="AJ191" s="481">
        <f>(AJ135*2+AJ149+AJ163-AJ177)/2</f>
        <v>0</v>
      </c>
      <c r="AK191" s="481">
        <f>(AK135*2+AK149+AK163-AK177)/2</f>
        <v>0</v>
      </c>
      <c r="AL191" s="481">
        <f>(AL135*2+AL149+AL163-AL177)/2</f>
        <v>0</v>
      </c>
      <c r="AM191" s="481">
        <f>(AM135*2+AM149+AM163-AM177)/2</f>
        <v>0</v>
      </c>
      <c r="AN191" s="1807">
        <f>(AN135*2+AN149+AN163-AN177)/2</f>
        <v>0</v>
      </c>
      <c r="AO191" s="1807">
        <f>(AO135*2+AO149+AO163-AO177)/2</f>
        <v>0</v>
      </c>
      <c r="AP191" s="1807">
        <f>(AP135*2+AP149+AP163-AP177)/2</f>
        <v>0</v>
      </c>
      <c r="AQ191" s="1807">
        <f>(AQ135*2+AQ149+AQ163-AQ177)/2</f>
        <v>0</v>
      </c>
      <c r="AR191" s="1807">
        <f>(AR135*2+AR149+AR163-AR177)/2</f>
        <v>0</v>
      </c>
      <c r="AS191" s="481">
        <f>(AS135*2+AS149+AS163-AS177)/2</f>
        <v>0</v>
      </c>
      <c r="AT191" s="481">
        <f>(AT135*2+AT149+AT163-AT177)/2</f>
        <v>0</v>
      </c>
      <c r="AU191" s="481">
        <f>(AU135*2+AU149+AU163-AU177)/2</f>
        <v>0</v>
      </c>
      <c r="AV191" s="481">
        <f>(AV135*2+AV149+AV163-AV177)/2</f>
        <v>0</v>
      </c>
      <c r="AW191" s="481">
        <f>(AW135*2+AW149+AW163-AW177)/2</f>
        <v>0</v>
      </c>
      <c r="AX191" s="1807">
        <f>(AX135*2+AX149+AX163-AX177)/2</f>
        <v>0</v>
      </c>
      <c r="AY191" s="1807">
        <f>(AY135*2+AY149+AY163-AY177)/2</f>
        <v>0</v>
      </c>
      <c r="AZ191" s="1807">
        <f>(AZ135*2+AZ149+AZ163-AZ177)/2</f>
        <v>0</v>
      </c>
      <c r="BA191" s="1807">
        <f>(BA135*2+BA149+BA163-BA177)/2</f>
        <v>0</v>
      </c>
      <c r="BB191" s="1807">
        <f>(BB135*2+BB149+BB163-BB177)/2</f>
        <v>0</v>
      </c>
      <c r="BC191" s="1809"/>
      <c r="BD191" s="934"/>
      <c r="BE191" s="934"/>
      <c r="BF191" s="1170" t="s">
        <v>1108</v>
      </c>
    </row>
    <row s="1619"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1040</v>
      </c>
      <c r="AD192" s="477" t="s">
        <v>1019</v>
      </c>
      <c r="AE192" s="1807">
        <f>(AE136*2+AE150+AE164-AE178)/2</f>
        <v>0</v>
      </c>
      <c r="AF192" s="1807">
        <f>(AF136*2+AF150+AF164-AF178)/2</f>
        <v>0</v>
      </c>
      <c r="AG192" s="1807">
        <f>(AG136*2+AG150+AG164-AG178)/2</f>
        <v>0</v>
      </c>
      <c r="AH192" s="1807">
        <f>(AH136*2+AH150+AH164-AH178)/2</f>
        <v>0</v>
      </c>
      <c r="AI192" s="481">
        <f>(AI136*2+AI150+AI164-AI178)/2</f>
        <v>0</v>
      </c>
      <c r="AJ192" s="481">
        <f>(AJ136*2+AJ150+AJ164-AJ178)/2</f>
        <v>0</v>
      </c>
      <c r="AK192" s="481">
        <f>(AK136*2+AK150+AK164-AK178)/2</f>
        <v>0</v>
      </c>
      <c r="AL192" s="481">
        <f>(AL136*2+AL150+AL164-AL178)/2</f>
        <v>0</v>
      </c>
      <c r="AM192" s="481">
        <f>(AM136*2+AM150+AM164-AM178)/2</f>
        <v>0</v>
      </c>
      <c r="AN192" s="1807">
        <f>(AN136*2+AN150+AN164-AN178)/2</f>
        <v>0</v>
      </c>
      <c r="AO192" s="1807">
        <f>(AO136*2+AO150+AO164-AO178)/2</f>
        <v>0</v>
      </c>
      <c r="AP192" s="1807">
        <f>(AP136*2+AP150+AP164-AP178)/2</f>
        <v>0</v>
      </c>
      <c r="AQ192" s="1807">
        <f>(AQ136*2+AQ150+AQ164-AQ178)/2</f>
        <v>0</v>
      </c>
      <c r="AR192" s="1807">
        <f>(AR136*2+AR150+AR164-AR178)/2</f>
        <v>0</v>
      </c>
      <c r="AS192" s="481">
        <f>(AS136*2+AS150+AS164-AS178)/2</f>
        <v>0</v>
      </c>
      <c r="AT192" s="481">
        <f>(AT136*2+AT150+AT164-AT178)/2</f>
        <v>0</v>
      </c>
      <c r="AU192" s="481">
        <f>(AU136*2+AU150+AU164-AU178)/2</f>
        <v>0</v>
      </c>
      <c r="AV192" s="481">
        <f>(AV136*2+AV150+AV164-AV178)/2</f>
        <v>0</v>
      </c>
      <c r="AW192" s="481">
        <f>(AW136*2+AW150+AW164-AW178)/2</f>
        <v>0</v>
      </c>
      <c r="AX192" s="1807">
        <f>(AX136*2+AX150+AX164-AX178)/2</f>
        <v>0</v>
      </c>
      <c r="AY192" s="1807">
        <f>(AY136*2+AY150+AY164-AY178)/2</f>
        <v>0</v>
      </c>
      <c r="AZ192" s="1807">
        <f>(AZ136*2+AZ150+AZ164-AZ178)/2</f>
        <v>0</v>
      </c>
      <c r="BA192" s="1807">
        <f>(BA136*2+BA150+BA164-BA178)/2</f>
        <v>0</v>
      </c>
      <c r="BB192" s="1807">
        <f>(BB136*2+BB150+BB164-BB178)/2</f>
        <v>0</v>
      </c>
      <c r="BC192" s="1809"/>
      <c r="BD192" s="934"/>
      <c r="BE192" s="934"/>
      <c r="BF192" s="1170" t="s">
        <v>1109</v>
      </c>
    </row>
    <row s="1619"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1043</v>
      </c>
      <c r="AD193" s="477" t="s">
        <v>1019</v>
      </c>
      <c r="AE193" s="1807">
        <f>(AE137*2+AE151+AE165-AE179)/2</f>
        <v>0</v>
      </c>
      <c r="AF193" s="1807">
        <f>(AF137*2+AF151+AF165-AF179)/2</f>
        <v>0</v>
      </c>
      <c r="AG193" s="1807">
        <f>(AG137*2+AG151+AG165-AG179)/2</f>
        <v>0</v>
      </c>
      <c r="AH193" s="1807">
        <f>(AH137*2+AH151+AH165-AH179)/2</f>
        <v>0</v>
      </c>
      <c r="AI193" s="481">
        <f>(AI137*2+AI151+AI165-AI179)/2</f>
        <v>0</v>
      </c>
      <c r="AJ193" s="481">
        <f>(AJ137*2+AJ151+AJ165-AJ179)/2</f>
        <v>0</v>
      </c>
      <c r="AK193" s="481">
        <f>(AK137*2+AK151+AK165-AK179)/2</f>
        <v>0</v>
      </c>
      <c r="AL193" s="481">
        <f>(AL137*2+AL151+AL165-AL179)/2</f>
        <v>0</v>
      </c>
      <c r="AM193" s="481">
        <f>(AM137*2+AM151+AM165-AM179)/2</f>
        <v>0</v>
      </c>
      <c r="AN193" s="1807">
        <f>(AN137*2+AN151+AN165-AN179)/2</f>
        <v>0</v>
      </c>
      <c r="AO193" s="1807">
        <f>(AO137*2+AO151+AO165-AO179)/2</f>
        <v>0</v>
      </c>
      <c r="AP193" s="1807">
        <f>(AP137*2+AP151+AP165-AP179)/2</f>
        <v>0</v>
      </c>
      <c r="AQ193" s="1807">
        <f>(AQ137*2+AQ151+AQ165-AQ179)/2</f>
        <v>0</v>
      </c>
      <c r="AR193" s="1807">
        <f>(AR137*2+AR151+AR165-AR179)/2</f>
        <v>0</v>
      </c>
      <c r="AS193" s="481">
        <f>(AS137*2+AS151+AS165-AS179)/2</f>
        <v>0</v>
      </c>
      <c r="AT193" s="481">
        <f>(AT137*2+AT151+AT165-AT179)/2</f>
        <v>0</v>
      </c>
      <c r="AU193" s="481">
        <f>(AU137*2+AU151+AU165-AU179)/2</f>
        <v>0</v>
      </c>
      <c r="AV193" s="481">
        <f>(AV137*2+AV151+AV165-AV179)/2</f>
        <v>0</v>
      </c>
      <c r="AW193" s="481">
        <f>(AW137*2+AW151+AW165-AW179)/2</f>
        <v>0</v>
      </c>
      <c r="AX193" s="1807">
        <f>(AX137*2+AX151+AX165-AX179)/2</f>
        <v>0</v>
      </c>
      <c r="AY193" s="1807">
        <f>(AY137*2+AY151+AY165-AY179)/2</f>
        <v>0</v>
      </c>
      <c r="AZ193" s="1807">
        <f>(AZ137*2+AZ151+AZ165-AZ179)/2</f>
        <v>0</v>
      </c>
      <c r="BA193" s="1807">
        <f>(BA137*2+BA151+BA165-BA179)/2</f>
        <v>0</v>
      </c>
      <c r="BB193" s="1807">
        <f>(BB137*2+BB151+BB165-BB179)/2</f>
        <v>0</v>
      </c>
      <c r="BC193" s="1809"/>
      <c r="BD193" s="934"/>
      <c r="BE193" s="934"/>
      <c r="BF193" s="1170" t="s">
        <v>1110</v>
      </c>
    </row>
    <row s="1619"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1046</v>
      </c>
      <c r="AD194" s="477" t="s">
        <v>1019</v>
      </c>
      <c r="AE194" s="1807">
        <f>(AE138*2+AE152+AE166-AE180)/2</f>
        <v>0</v>
      </c>
      <c r="AF194" s="1807">
        <f>(AF138*2+AF152+AF166-AF180)/2</f>
        <v>0</v>
      </c>
      <c r="AG194" s="1807">
        <f>(AG138*2+AG152+AG166-AG180)/2</f>
        <v>0</v>
      </c>
      <c r="AH194" s="1807">
        <f>(AH138*2+AH152+AH166-AH180)/2</f>
        <v>0</v>
      </c>
      <c r="AI194" s="481">
        <f>(AI138*2+AI152+AI166-AI180)/2</f>
        <v>0</v>
      </c>
      <c r="AJ194" s="481">
        <f>(AJ138*2+AJ152+AJ166-AJ180)/2</f>
        <v>0</v>
      </c>
      <c r="AK194" s="481">
        <f>(AK138*2+AK152+AK166-AK180)/2</f>
        <v>0</v>
      </c>
      <c r="AL194" s="481">
        <f>(AL138*2+AL152+AL166-AL180)/2</f>
        <v>0</v>
      </c>
      <c r="AM194" s="481">
        <f>(AM138*2+AM152+AM166-AM180)/2</f>
        <v>0</v>
      </c>
      <c r="AN194" s="1807">
        <f>(AN138*2+AN152+AN166-AN180)/2</f>
        <v>0</v>
      </c>
      <c r="AO194" s="1807">
        <f>(AO138*2+AO152+AO166-AO180)/2</f>
        <v>0</v>
      </c>
      <c r="AP194" s="1807">
        <f>(AP138*2+AP152+AP166-AP180)/2</f>
        <v>0</v>
      </c>
      <c r="AQ194" s="1807">
        <f>(AQ138*2+AQ152+AQ166-AQ180)/2</f>
        <v>0</v>
      </c>
      <c r="AR194" s="1807">
        <f>(AR138*2+AR152+AR166-AR180)/2</f>
        <v>0</v>
      </c>
      <c r="AS194" s="481">
        <f>(AS138*2+AS152+AS166-AS180)/2</f>
        <v>0</v>
      </c>
      <c r="AT194" s="481">
        <f>(AT138*2+AT152+AT166-AT180)/2</f>
        <v>0</v>
      </c>
      <c r="AU194" s="481">
        <f>(AU138*2+AU152+AU166-AU180)/2</f>
        <v>0</v>
      </c>
      <c r="AV194" s="481">
        <f>(AV138*2+AV152+AV166-AV180)/2</f>
        <v>0</v>
      </c>
      <c r="AW194" s="481">
        <f>(AW138*2+AW152+AW166-AW180)/2</f>
        <v>0</v>
      </c>
      <c r="AX194" s="1807">
        <f>(AX138*2+AX152+AX166-AX180)/2</f>
        <v>0</v>
      </c>
      <c r="AY194" s="1807">
        <f>(AY138*2+AY152+AY166-AY180)/2</f>
        <v>0</v>
      </c>
      <c r="AZ194" s="1807">
        <f>(AZ138*2+AZ152+AZ166-AZ180)/2</f>
        <v>0</v>
      </c>
      <c r="BA194" s="1807">
        <f>(BA138*2+BA152+BA166-BA180)/2</f>
        <v>0</v>
      </c>
      <c r="BB194" s="1807">
        <f>(BB138*2+BB152+BB166-BB180)/2</f>
        <v>0</v>
      </c>
      <c r="BC194" s="1809"/>
      <c r="BD194" s="934"/>
      <c r="BE194" s="934"/>
      <c r="BF194" s="1170" t="s">
        <v>1111</v>
      </c>
    </row>
    <row s="1619"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1049</v>
      </c>
      <c r="AD195" s="477" t="s">
        <v>1019</v>
      </c>
      <c r="AE195" s="1807">
        <f>(AE139*2+AE153+AE167-AE181)/2</f>
        <v>0</v>
      </c>
      <c r="AF195" s="1807">
        <f>(AF139*2+AF153+AF167-AF181)/2</f>
        <v>0</v>
      </c>
      <c r="AG195" s="1807">
        <f>(AG139*2+AG153+AG167-AG181)/2</f>
        <v>0</v>
      </c>
      <c r="AH195" s="1807">
        <f>(AH139*2+AH153+AH167-AH181)/2</f>
        <v>0</v>
      </c>
      <c r="AI195" s="481">
        <f>(AI139*2+AI153+AI167-AI181)/2</f>
        <v>0</v>
      </c>
      <c r="AJ195" s="481">
        <f>(AJ139*2+AJ153+AJ167-AJ181)/2</f>
        <v>0</v>
      </c>
      <c r="AK195" s="481">
        <f>(AK139*2+AK153+AK167-AK181)/2</f>
        <v>0</v>
      </c>
      <c r="AL195" s="481">
        <f>(AL139*2+AL153+AL167-AL181)/2</f>
        <v>0</v>
      </c>
      <c r="AM195" s="481">
        <f>(AM139*2+AM153+AM167-AM181)/2</f>
        <v>0</v>
      </c>
      <c r="AN195" s="1807">
        <f>(AN139*2+AN153+AN167-AN181)/2</f>
        <v>0</v>
      </c>
      <c r="AO195" s="1807">
        <f>(AO139*2+AO153+AO167-AO181)/2</f>
        <v>0</v>
      </c>
      <c r="AP195" s="1807">
        <f>(AP139*2+AP153+AP167-AP181)/2</f>
        <v>0</v>
      </c>
      <c r="AQ195" s="1807">
        <f>(AQ139*2+AQ153+AQ167-AQ181)/2</f>
        <v>0</v>
      </c>
      <c r="AR195" s="1807">
        <f>(AR139*2+AR153+AR167-AR181)/2</f>
        <v>0</v>
      </c>
      <c r="AS195" s="481">
        <f>(AS139*2+AS153+AS167-AS181)/2</f>
        <v>0</v>
      </c>
      <c r="AT195" s="481">
        <f>(AT139*2+AT153+AT167-AT181)/2</f>
        <v>0</v>
      </c>
      <c r="AU195" s="481">
        <f>(AU139*2+AU153+AU167-AU181)/2</f>
        <v>0</v>
      </c>
      <c r="AV195" s="481">
        <f>(AV139*2+AV153+AV167-AV181)/2</f>
        <v>0</v>
      </c>
      <c r="AW195" s="481">
        <f>(AW139*2+AW153+AW167-AW181)/2</f>
        <v>0</v>
      </c>
      <c r="AX195" s="1807">
        <f>(AX139*2+AX153+AX167-AX181)/2</f>
        <v>0</v>
      </c>
      <c r="AY195" s="1807">
        <f>(AY139*2+AY153+AY167-AY181)/2</f>
        <v>0</v>
      </c>
      <c r="AZ195" s="1807">
        <f>(AZ139*2+AZ153+AZ167-AZ181)/2</f>
        <v>0</v>
      </c>
      <c r="BA195" s="1807">
        <f>(BA139*2+BA153+BA167-BA181)/2</f>
        <v>0</v>
      </c>
      <c r="BB195" s="1807">
        <f>(BB139*2+BB153+BB167-BB181)/2</f>
        <v>0</v>
      </c>
      <c r="BC195" s="1809"/>
      <c r="BD195" s="934"/>
      <c r="BE195" s="934"/>
      <c r="BF195" s="1170" t="s">
        <v>1112</v>
      </c>
    </row>
    <row s="1619"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1052</v>
      </c>
      <c r="AD196" s="477" t="s">
        <v>1019</v>
      </c>
      <c r="AE196" s="1807">
        <f>(AE140*2+AE154+AE168-AE182)/2</f>
        <v>0</v>
      </c>
      <c r="AF196" s="1807">
        <f>(AF140*2+AF154+AF168-AF182)/2</f>
        <v>0</v>
      </c>
      <c r="AG196" s="1807">
        <f>(AG140*2+AG154+AG168-AG182)/2</f>
        <v>0</v>
      </c>
      <c r="AH196" s="1807">
        <f>(AH140*2+AH154+AH168-AH182)/2</f>
        <v>0</v>
      </c>
      <c r="AI196" s="481">
        <f>(AI140*2+AI154+AI168-AI182)/2</f>
        <v>0</v>
      </c>
      <c r="AJ196" s="481">
        <f>(AJ140*2+AJ154+AJ168-AJ182)/2</f>
        <v>0</v>
      </c>
      <c r="AK196" s="481">
        <f>(AK140*2+AK154+AK168-AK182)/2</f>
        <v>0</v>
      </c>
      <c r="AL196" s="481">
        <f>(AL140*2+AL154+AL168-AL182)/2</f>
        <v>0</v>
      </c>
      <c r="AM196" s="481">
        <f>(AM140*2+AM154+AM168-AM182)/2</f>
        <v>0</v>
      </c>
      <c r="AN196" s="1807">
        <f>(AN140*2+AN154+AN168-AN182)/2</f>
        <v>0</v>
      </c>
      <c r="AO196" s="1807">
        <f>(AO140*2+AO154+AO168-AO182)/2</f>
        <v>0</v>
      </c>
      <c r="AP196" s="1807">
        <f>(AP140*2+AP154+AP168-AP182)/2</f>
        <v>0</v>
      </c>
      <c r="AQ196" s="1807">
        <f>(AQ140*2+AQ154+AQ168-AQ182)/2</f>
        <v>0</v>
      </c>
      <c r="AR196" s="1807">
        <f>(AR140*2+AR154+AR168-AR182)/2</f>
        <v>0</v>
      </c>
      <c r="AS196" s="481">
        <f>(AS140*2+AS154+AS168-AS182)/2</f>
        <v>0</v>
      </c>
      <c r="AT196" s="481">
        <f>(AT140*2+AT154+AT168-AT182)/2</f>
        <v>0</v>
      </c>
      <c r="AU196" s="481">
        <f>(AU140*2+AU154+AU168-AU182)/2</f>
        <v>0</v>
      </c>
      <c r="AV196" s="481">
        <f>(AV140*2+AV154+AV168-AV182)/2</f>
        <v>0</v>
      </c>
      <c r="AW196" s="481">
        <f>(AW140*2+AW154+AW168-AW182)/2</f>
        <v>0</v>
      </c>
      <c r="AX196" s="1807">
        <f>(AX140*2+AX154+AX168-AX182)/2</f>
        <v>0</v>
      </c>
      <c r="AY196" s="1807">
        <f>(AY140*2+AY154+AY168-AY182)/2</f>
        <v>0</v>
      </c>
      <c r="AZ196" s="1807">
        <f>(AZ140*2+AZ154+AZ168-AZ182)/2</f>
        <v>0</v>
      </c>
      <c r="BA196" s="1807">
        <f>(BA140*2+BA154+BA168-BA182)/2</f>
        <v>0</v>
      </c>
      <c r="BB196" s="1807">
        <f>(BB140*2+BB154+BB168-BB182)/2</f>
        <v>0</v>
      </c>
      <c r="BC196" s="1809"/>
      <c r="BD196" s="934"/>
      <c r="BE196" s="934"/>
      <c r="BF196" s="1170" t="s">
        <v>1113</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1114</v>
      </c>
      <c r="AD197" s="486" t="s">
        <v>490</v>
      </c>
      <c r="AE197" s="1793"/>
      <c r="AF197" s="1793"/>
      <c r="AG197" s="1793"/>
      <c r="AH197" s="1793"/>
      <c r="AI197" s="292"/>
      <c r="AJ197" s="292"/>
      <c r="AK197" s="292"/>
      <c r="AL197" s="292"/>
      <c r="AM197" s="292"/>
      <c r="AN197" s="1793"/>
      <c r="AO197" s="1793"/>
      <c r="AP197" s="1793"/>
      <c r="AQ197" s="1793"/>
      <c r="AR197" s="1793"/>
      <c r="AS197" s="292"/>
      <c r="AT197" s="292"/>
      <c r="AU197" s="292"/>
      <c r="AV197" s="292"/>
      <c r="AW197" s="292"/>
      <c r="AX197" s="1793"/>
      <c r="AY197" s="1793"/>
      <c r="AZ197" s="1793"/>
      <c r="BA197" s="1793"/>
      <c r="BB197" s="1793"/>
      <c r="BC197" s="1730"/>
      <c r="BD197" s="214"/>
      <c r="BE197" s="214"/>
      <c r="BF197" s="1170" t="s">
        <v>1115</v>
      </c>
    </row>
    <row s="1619"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1018</v>
      </c>
      <c r="AD198" s="486" t="s">
        <v>490</v>
      </c>
      <c r="AE198" s="1666">
        <f>IF(AE184=0,0,AE212/AE184*100)</f>
        <v>0</v>
      </c>
      <c r="AF198" s="1666">
        <f>IF(AF184=0,0,AF212/AF184*100)</f>
        <v>0</v>
      </c>
      <c r="AG198" s="1666">
        <f>IF(AG184=0,0,AG212/AG184*100)</f>
        <v>0</v>
      </c>
      <c r="AH198" s="1666">
        <f>IF(AH184=0,0,AH212/AH184*100)</f>
        <v>0</v>
      </c>
      <c r="AI198" s="280">
        <f>IF(AI184=0,0,AI212/AI184*100)</f>
        <v>0</v>
      </c>
      <c r="AJ198" s="280">
        <f>IF(AJ184=0,0,AJ212/AJ184*100)</f>
        <v>0</v>
      </c>
      <c r="AK198" s="280">
        <f>IF(AK184=0,0,AK212/AK184*100)</f>
        <v>0</v>
      </c>
      <c r="AL198" s="280">
        <f>IF(AL184=0,0,AL212/AL184*100)</f>
        <v>0</v>
      </c>
      <c r="AM198" s="280">
        <f>IF(AM184=0,0,AM212/AM184*100)</f>
        <v>0</v>
      </c>
      <c r="AN198" s="1666">
        <f>IF(AN184=0,0,AN212/AN184*100)</f>
        <v>0</v>
      </c>
      <c r="AO198" s="1666">
        <f>IF(AO184=0,0,AO212/AO184*100)</f>
        <v>0</v>
      </c>
      <c r="AP198" s="1666">
        <f>IF(AP184=0,0,AP212/AP184*100)</f>
        <v>0</v>
      </c>
      <c r="AQ198" s="1666">
        <f>IF(AQ184=0,0,AQ212/AQ184*100)</f>
        <v>0</v>
      </c>
      <c r="AR198" s="1666">
        <f>IF(AR184=0,0,AR212/AR184*100)</f>
        <v>0</v>
      </c>
      <c r="AS198" s="280">
        <f>IF(AS184=0,0,AS212/AS184*100)</f>
        <v>0</v>
      </c>
      <c r="AT198" s="280">
        <f>IF(AT184=0,0,AT212/AT184*100)</f>
        <v>0</v>
      </c>
      <c r="AU198" s="280">
        <f>IF(AU184=0,0,AU212/AU184*100)</f>
        <v>0</v>
      </c>
      <c r="AV198" s="280">
        <f>IF(AV184=0,0,AV212/AV184*100)</f>
        <v>0</v>
      </c>
      <c r="AW198" s="280">
        <f>IF(AW184=0,0,AW212/AW184*100)</f>
        <v>0</v>
      </c>
      <c r="AX198" s="1666">
        <f>IF(AX184=0,0,AX212/AX184*100)</f>
        <v>0</v>
      </c>
      <c r="AY198" s="1666">
        <f>IF(AY184=0,0,AY212/AY184*100)</f>
        <v>0</v>
      </c>
      <c r="AZ198" s="1666">
        <f>IF(AZ184=0,0,AZ212/AZ184*100)</f>
        <v>0</v>
      </c>
      <c r="BA198" s="1666">
        <f>IF(BA184=0,0,BA212/BA184*100)</f>
        <v>0</v>
      </c>
      <c r="BB198" s="1666">
        <f>IF(BB184=0,0,BB212/BB184*100)</f>
        <v>0</v>
      </c>
      <c r="BC198" s="1730"/>
      <c r="BD198" s="934"/>
      <c r="BE198" s="934"/>
      <c r="BF198" s="1170" t="s">
        <v>1116</v>
      </c>
    </row>
    <row s="1619"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1021</v>
      </c>
      <c r="AD199" s="486" t="s">
        <v>490</v>
      </c>
      <c r="AE199" s="1666">
        <f>IF(AE185=0,0,AE213/AE185*100)</f>
        <v>0</v>
      </c>
      <c r="AF199" s="1666">
        <f>IF(AF185=0,0,AF213/AF185*100)</f>
        <v>0</v>
      </c>
      <c r="AG199" s="1666">
        <f>IF(AG185=0,0,AG213/AG185*100)</f>
        <v>0</v>
      </c>
      <c r="AH199" s="1666">
        <f>IF(AH185=0,0,AH213/AH185*100)</f>
        <v>0</v>
      </c>
      <c r="AI199" s="280">
        <f>IF(AI185=0,0,AI213/AI185*100)</f>
        <v>0</v>
      </c>
      <c r="AJ199" s="280">
        <f>IF(AJ185=0,0,AJ213/AJ185*100)</f>
        <v>0</v>
      </c>
      <c r="AK199" s="280">
        <f>IF(AK185=0,0,AK213/AK185*100)</f>
        <v>0</v>
      </c>
      <c r="AL199" s="280">
        <f>IF(AL185=0,0,AL213/AL185*100)</f>
        <v>0</v>
      </c>
      <c r="AM199" s="280">
        <f>IF(AM185=0,0,AM213/AM185*100)</f>
        <v>0</v>
      </c>
      <c r="AN199" s="1666">
        <f>IF(AN185=0,0,AN213/AN185*100)</f>
        <v>0</v>
      </c>
      <c r="AO199" s="1666">
        <f>IF(AO185=0,0,AO213/AO185*100)</f>
        <v>0</v>
      </c>
      <c r="AP199" s="1666">
        <f>IF(AP185=0,0,AP213/AP185*100)</f>
        <v>0</v>
      </c>
      <c r="AQ199" s="1666">
        <f>IF(AQ185=0,0,AQ213/AQ185*100)</f>
        <v>0</v>
      </c>
      <c r="AR199" s="1666">
        <f>IF(AR185=0,0,AR213/AR185*100)</f>
        <v>0</v>
      </c>
      <c r="AS199" s="280">
        <f>IF(AS185=0,0,AS213/AS185*100)</f>
        <v>0</v>
      </c>
      <c r="AT199" s="280">
        <f>IF(AT185=0,0,AT213/AT185*100)</f>
        <v>0</v>
      </c>
      <c r="AU199" s="280">
        <f>IF(AU185=0,0,AU213/AU185*100)</f>
        <v>0</v>
      </c>
      <c r="AV199" s="280">
        <f>IF(AV185=0,0,AV213/AV185*100)</f>
        <v>0</v>
      </c>
      <c r="AW199" s="280">
        <f>IF(AW185=0,0,AW213/AW185*100)</f>
        <v>0</v>
      </c>
      <c r="AX199" s="1666">
        <f>IF(AX185=0,0,AX213/AX185*100)</f>
        <v>0</v>
      </c>
      <c r="AY199" s="1666">
        <f>IF(AY185=0,0,AY213/AY185*100)</f>
        <v>0</v>
      </c>
      <c r="AZ199" s="1666">
        <f>IF(AZ185=0,0,AZ213/AZ185*100)</f>
        <v>0</v>
      </c>
      <c r="BA199" s="1666">
        <f>IF(BA185=0,0,BA213/BA185*100)</f>
        <v>0</v>
      </c>
      <c r="BB199" s="1666">
        <f>IF(BB185=0,0,BB213/BB185*100)</f>
        <v>0</v>
      </c>
      <c r="BC199" s="1730"/>
      <c r="BD199" s="934"/>
      <c r="BE199" s="934"/>
      <c r="BF199" s="1170" t="s">
        <v>1117</v>
      </c>
    </row>
    <row s="1619"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1023</v>
      </c>
      <c r="AD200" s="486" t="s">
        <v>490</v>
      </c>
      <c r="AE200" s="1666">
        <f>IF(AE186=0,0,AE214/AE186*100)</f>
        <v>0</v>
      </c>
      <c r="AF200" s="1666">
        <f>IF(AF186=0,0,AF214/AF186*100)</f>
        <v>0</v>
      </c>
      <c r="AG200" s="1666">
        <f>IF(AG186=0,0,AG214/AG186*100)</f>
        <v>0</v>
      </c>
      <c r="AH200" s="1666">
        <f>IF(AH186=0,0,AH214/AH186*100)</f>
        <v>0</v>
      </c>
      <c r="AI200" s="280">
        <f>IF(AI186=0,0,AI214/AI186*100)</f>
        <v>0</v>
      </c>
      <c r="AJ200" s="280">
        <f>IF(AJ186=0,0,AJ214/AJ186*100)</f>
        <v>0</v>
      </c>
      <c r="AK200" s="280">
        <f>IF(AK186=0,0,AK214/AK186*100)</f>
        <v>0</v>
      </c>
      <c r="AL200" s="280">
        <f>IF(AL186=0,0,AL214/AL186*100)</f>
        <v>0</v>
      </c>
      <c r="AM200" s="280">
        <f>IF(AM186=0,0,AM214/AM186*100)</f>
        <v>0</v>
      </c>
      <c r="AN200" s="1666">
        <f>IF(AN186=0,0,AN214/AN186*100)</f>
        <v>0</v>
      </c>
      <c r="AO200" s="1666">
        <f>IF(AO186=0,0,AO214/AO186*100)</f>
        <v>0</v>
      </c>
      <c r="AP200" s="1666">
        <f>IF(AP186=0,0,AP214/AP186*100)</f>
        <v>0</v>
      </c>
      <c r="AQ200" s="1666">
        <f>IF(AQ186=0,0,AQ214/AQ186*100)</f>
        <v>0</v>
      </c>
      <c r="AR200" s="1666">
        <f>IF(AR186=0,0,AR214/AR186*100)</f>
        <v>0</v>
      </c>
      <c r="AS200" s="280">
        <f>IF(AS186=0,0,AS214/AS186*100)</f>
        <v>0</v>
      </c>
      <c r="AT200" s="280">
        <f>IF(AT186=0,0,AT214/AT186*100)</f>
        <v>0</v>
      </c>
      <c r="AU200" s="280">
        <f>IF(AU186=0,0,AU214/AU186*100)</f>
        <v>0</v>
      </c>
      <c r="AV200" s="280">
        <f>IF(AV186=0,0,AV214/AV186*100)</f>
        <v>0</v>
      </c>
      <c r="AW200" s="280">
        <f>IF(AW186=0,0,AW214/AW186*100)</f>
        <v>0</v>
      </c>
      <c r="AX200" s="1666">
        <f>IF(AX186=0,0,AX214/AX186*100)</f>
        <v>0</v>
      </c>
      <c r="AY200" s="1666">
        <f>IF(AY186=0,0,AY214/AY186*100)</f>
        <v>0</v>
      </c>
      <c r="AZ200" s="1666">
        <f>IF(AZ186=0,0,AZ214/AZ186*100)</f>
        <v>0</v>
      </c>
      <c r="BA200" s="1666">
        <f>IF(BA186=0,0,BA214/BA186*100)</f>
        <v>0</v>
      </c>
      <c r="BB200" s="1666">
        <f>IF(BB186=0,0,BB214/BB186*100)</f>
        <v>0</v>
      </c>
      <c r="BC200" s="1730"/>
      <c r="BD200" s="934"/>
      <c r="BE200" s="934"/>
      <c r="BF200" s="1170" t="s">
        <v>1118</v>
      </c>
    </row>
    <row s="1619"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1025</v>
      </c>
      <c r="AD201" s="486" t="s">
        <v>490</v>
      </c>
      <c r="AE201" s="1666">
        <f>IF(AE187=0,0,AE215/AE187*100)</f>
        <v>0</v>
      </c>
      <c r="AF201" s="1666">
        <f>IF(AF187=0,0,AF215/AF187*100)</f>
        <v>0</v>
      </c>
      <c r="AG201" s="1666">
        <f>IF(AG187=0,0,AG215/AG187*100)</f>
        <v>0</v>
      </c>
      <c r="AH201" s="1666">
        <f>IF(AH187=0,0,AH215/AH187*100)</f>
        <v>0</v>
      </c>
      <c r="AI201" s="280">
        <f>IF(AI187=0,0,AI215/AI187*100)</f>
        <v>0</v>
      </c>
      <c r="AJ201" s="280">
        <f>IF(AJ187=0,0,AJ215/AJ187*100)</f>
        <v>0</v>
      </c>
      <c r="AK201" s="280">
        <f>IF(AK187=0,0,AK215/AK187*100)</f>
        <v>0</v>
      </c>
      <c r="AL201" s="280">
        <f>IF(AL187=0,0,AL215/AL187*100)</f>
        <v>0</v>
      </c>
      <c r="AM201" s="280">
        <f>IF(AM187=0,0,AM215/AM187*100)</f>
        <v>0</v>
      </c>
      <c r="AN201" s="1666">
        <f>IF(AN187=0,0,AN215/AN187*100)</f>
        <v>0</v>
      </c>
      <c r="AO201" s="1666">
        <f>IF(AO187=0,0,AO215/AO187*100)</f>
        <v>0</v>
      </c>
      <c r="AP201" s="1666">
        <f>IF(AP187=0,0,AP215/AP187*100)</f>
        <v>0</v>
      </c>
      <c r="AQ201" s="1666">
        <f>IF(AQ187=0,0,AQ215/AQ187*100)</f>
        <v>0</v>
      </c>
      <c r="AR201" s="1666">
        <f>IF(AR187=0,0,AR215/AR187*100)</f>
        <v>0</v>
      </c>
      <c r="AS201" s="280">
        <f>IF(AS187=0,0,AS215/AS187*100)</f>
        <v>0</v>
      </c>
      <c r="AT201" s="280">
        <f>IF(AT187=0,0,AT215/AT187*100)</f>
        <v>0</v>
      </c>
      <c r="AU201" s="280">
        <f>IF(AU187=0,0,AU215/AU187*100)</f>
        <v>0</v>
      </c>
      <c r="AV201" s="280">
        <f>IF(AV187=0,0,AV215/AV187*100)</f>
        <v>0</v>
      </c>
      <c r="AW201" s="280">
        <f>IF(AW187=0,0,AW215/AW187*100)</f>
        <v>0</v>
      </c>
      <c r="AX201" s="1666">
        <f>IF(AX187=0,0,AX215/AX187*100)</f>
        <v>0</v>
      </c>
      <c r="AY201" s="1666">
        <f>IF(AY187=0,0,AY215/AY187*100)</f>
        <v>0</v>
      </c>
      <c r="AZ201" s="1666">
        <f>IF(AZ187=0,0,AZ215/AZ187*100)</f>
        <v>0</v>
      </c>
      <c r="BA201" s="1666">
        <f>IF(BA187=0,0,BA215/BA187*100)</f>
        <v>0</v>
      </c>
      <c r="BB201" s="1666">
        <f>IF(BB187=0,0,BB215/BB187*100)</f>
        <v>0</v>
      </c>
      <c r="BC201" s="1730"/>
      <c r="BD201" s="934"/>
      <c r="BE201" s="934"/>
      <c r="BF201" s="1170" t="s">
        <v>1119</v>
      </c>
    </row>
    <row s="1619"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1028</v>
      </c>
      <c r="AD202" s="486" t="s">
        <v>490</v>
      </c>
      <c r="AE202" s="1666">
        <f>IF(AE188=0,0,AE216/AE188*100)</f>
        <v>0</v>
      </c>
      <c r="AF202" s="1666">
        <f>IF(AF188=0,0,AF216/AF188*100)</f>
        <v>0</v>
      </c>
      <c r="AG202" s="1666">
        <f>IF(AG188=0,0,AG216/AG188*100)</f>
        <v>0</v>
      </c>
      <c r="AH202" s="1666">
        <f>IF(AH188=0,0,AH216/AH188*100)</f>
        <v>0</v>
      </c>
      <c r="AI202" s="280">
        <f>IF(AI188=0,0,AI216/AI188*100)</f>
        <v>0</v>
      </c>
      <c r="AJ202" s="280">
        <f>IF(AJ188=0,0,AJ216/AJ188*100)</f>
        <v>0</v>
      </c>
      <c r="AK202" s="280">
        <f>IF(AK188=0,0,AK216/AK188*100)</f>
        <v>0</v>
      </c>
      <c r="AL202" s="280">
        <f>IF(AL188=0,0,AL216/AL188*100)</f>
        <v>0</v>
      </c>
      <c r="AM202" s="280">
        <f>IF(AM188=0,0,AM216/AM188*100)</f>
        <v>0</v>
      </c>
      <c r="AN202" s="1666">
        <f>IF(AN188=0,0,AN216/AN188*100)</f>
        <v>0</v>
      </c>
      <c r="AO202" s="1666">
        <f>IF(AO188=0,0,AO216/AO188*100)</f>
        <v>0</v>
      </c>
      <c r="AP202" s="1666">
        <f>IF(AP188=0,0,AP216/AP188*100)</f>
        <v>0</v>
      </c>
      <c r="AQ202" s="1666">
        <f>IF(AQ188=0,0,AQ216/AQ188*100)</f>
        <v>0</v>
      </c>
      <c r="AR202" s="1666">
        <f>IF(AR188=0,0,AR216/AR188*100)</f>
        <v>0</v>
      </c>
      <c r="AS202" s="280">
        <f>IF(AS188=0,0,AS216/AS188*100)</f>
        <v>0</v>
      </c>
      <c r="AT202" s="280">
        <f>IF(AT188=0,0,AT216/AT188*100)</f>
        <v>0</v>
      </c>
      <c r="AU202" s="280">
        <f>IF(AU188=0,0,AU216/AU188*100)</f>
        <v>0</v>
      </c>
      <c r="AV202" s="280">
        <f>IF(AV188=0,0,AV216/AV188*100)</f>
        <v>0</v>
      </c>
      <c r="AW202" s="280">
        <f>IF(AW188=0,0,AW216/AW188*100)</f>
        <v>0</v>
      </c>
      <c r="AX202" s="1666">
        <f>IF(AX188=0,0,AX216/AX188*100)</f>
        <v>0</v>
      </c>
      <c r="AY202" s="1666">
        <f>IF(AY188=0,0,AY216/AY188*100)</f>
        <v>0</v>
      </c>
      <c r="AZ202" s="1666">
        <f>IF(AZ188=0,0,AZ216/AZ188*100)</f>
        <v>0</v>
      </c>
      <c r="BA202" s="1666">
        <f>IF(BA188=0,0,BA216/BA188*100)</f>
        <v>0</v>
      </c>
      <c r="BB202" s="1666">
        <f>IF(BB188=0,0,BB216/BB188*100)</f>
        <v>0</v>
      </c>
      <c r="BC202" s="1730"/>
      <c r="BD202" s="934"/>
      <c r="BE202" s="934"/>
      <c r="BF202" s="1170" t="s">
        <v>1120</v>
      </c>
    </row>
    <row s="1619"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1031</v>
      </c>
      <c r="AD203" s="486" t="s">
        <v>490</v>
      </c>
      <c r="AE203" s="1666">
        <f>IF(AE189=0,0,AE217/AE189*100)</f>
        <v>0</v>
      </c>
      <c r="AF203" s="1666">
        <f>IF(AF189=0,0,AF217/AF189*100)</f>
        <v>0</v>
      </c>
      <c r="AG203" s="1666">
        <f>IF(AG189=0,0,AG217/AG189*100)</f>
        <v>0</v>
      </c>
      <c r="AH203" s="1666">
        <f>IF(AH189=0,0,AH217/AH189*100)</f>
        <v>0</v>
      </c>
      <c r="AI203" s="280">
        <f>IF(AI189=0,0,AI217/AI189*100)</f>
        <v>0</v>
      </c>
      <c r="AJ203" s="280">
        <f>IF(AJ189=0,0,AJ217/AJ189*100)</f>
        <v>0</v>
      </c>
      <c r="AK203" s="280">
        <f>IF(AK189=0,0,AK217/AK189*100)</f>
        <v>0</v>
      </c>
      <c r="AL203" s="280">
        <f>IF(AL189=0,0,AL217/AL189*100)</f>
        <v>0</v>
      </c>
      <c r="AM203" s="280">
        <f>IF(AM189=0,0,AM217/AM189*100)</f>
        <v>0</v>
      </c>
      <c r="AN203" s="1666">
        <f>IF(AN189=0,0,AN217/AN189*100)</f>
        <v>0</v>
      </c>
      <c r="AO203" s="1666">
        <f>IF(AO189=0,0,AO217/AO189*100)</f>
        <v>0</v>
      </c>
      <c r="AP203" s="1666">
        <f>IF(AP189=0,0,AP217/AP189*100)</f>
        <v>0</v>
      </c>
      <c r="AQ203" s="1666">
        <f>IF(AQ189=0,0,AQ217/AQ189*100)</f>
        <v>0</v>
      </c>
      <c r="AR203" s="1666">
        <f>IF(AR189=0,0,AR217/AR189*100)</f>
        <v>0</v>
      </c>
      <c r="AS203" s="280">
        <f>IF(AS189=0,0,AS217/AS189*100)</f>
        <v>0</v>
      </c>
      <c r="AT203" s="280">
        <f>IF(AT189=0,0,AT217/AT189*100)</f>
        <v>0</v>
      </c>
      <c r="AU203" s="280">
        <f>IF(AU189=0,0,AU217/AU189*100)</f>
        <v>0</v>
      </c>
      <c r="AV203" s="280">
        <f>IF(AV189=0,0,AV217/AV189*100)</f>
        <v>0</v>
      </c>
      <c r="AW203" s="280">
        <f>IF(AW189=0,0,AW217/AW189*100)</f>
        <v>0</v>
      </c>
      <c r="AX203" s="1666">
        <f>IF(AX189=0,0,AX217/AX189*100)</f>
        <v>0</v>
      </c>
      <c r="AY203" s="1666">
        <f>IF(AY189=0,0,AY217/AY189*100)</f>
        <v>0</v>
      </c>
      <c r="AZ203" s="1666">
        <f>IF(AZ189=0,0,AZ217/AZ189*100)</f>
        <v>0</v>
      </c>
      <c r="BA203" s="1666">
        <f>IF(BA189=0,0,BA217/BA189*100)</f>
        <v>0</v>
      </c>
      <c r="BB203" s="1666">
        <f>IF(BB189=0,0,BB217/BB189*100)</f>
        <v>0</v>
      </c>
      <c r="BC203" s="1730"/>
      <c r="BD203" s="934"/>
      <c r="BE203" s="934"/>
      <c r="BF203" s="1170" t="s">
        <v>1121</v>
      </c>
    </row>
    <row s="1619"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1034</v>
      </c>
      <c r="AD204" s="486" t="s">
        <v>490</v>
      </c>
      <c r="AE204" s="1666">
        <f>IF(AE190=0,0,AE218/AE190*100)</f>
        <v>0</v>
      </c>
      <c r="AF204" s="1666">
        <f>IF(AF190=0,0,AF218/AF190*100)</f>
        <v>0</v>
      </c>
      <c r="AG204" s="1666">
        <f>IF(AG190=0,0,AG218/AG190*100)</f>
        <v>0</v>
      </c>
      <c r="AH204" s="1666">
        <f>IF(AH190=0,0,AH218/AH190*100)</f>
        <v>0</v>
      </c>
      <c r="AI204" s="280">
        <f>IF(AI190=0,0,AI218/AI190*100)</f>
        <v>0</v>
      </c>
      <c r="AJ204" s="280">
        <f>IF(AJ190=0,0,AJ218/AJ190*100)</f>
        <v>0</v>
      </c>
      <c r="AK204" s="280">
        <f>IF(AK190=0,0,AK218/AK190*100)</f>
        <v>0</v>
      </c>
      <c r="AL204" s="280">
        <f>IF(AL190=0,0,AL218/AL190*100)</f>
        <v>0</v>
      </c>
      <c r="AM204" s="280">
        <f>IF(AM190=0,0,AM218/AM190*100)</f>
        <v>0</v>
      </c>
      <c r="AN204" s="1666">
        <f>IF(AN190=0,0,AN218/AN190*100)</f>
        <v>0</v>
      </c>
      <c r="AO204" s="1666">
        <f>IF(AO190=0,0,AO218/AO190*100)</f>
        <v>0</v>
      </c>
      <c r="AP204" s="1666">
        <f>IF(AP190=0,0,AP218/AP190*100)</f>
        <v>0</v>
      </c>
      <c r="AQ204" s="1666">
        <f>IF(AQ190=0,0,AQ218/AQ190*100)</f>
        <v>0</v>
      </c>
      <c r="AR204" s="1666">
        <f>IF(AR190=0,0,AR218/AR190*100)</f>
        <v>0</v>
      </c>
      <c r="AS204" s="280">
        <f>IF(AS190=0,0,AS218/AS190*100)</f>
        <v>0</v>
      </c>
      <c r="AT204" s="280">
        <f>IF(AT190=0,0,AT218/AT190*100)</f>
        <v>0</v>
      </c>
      <c r="AU204" s="280">
        <f>IF(AU190=0,0,AU218/AU190*100)</f>
        <v>0</v>
      </c>
      <c r="AV204" s="280">
        <f>IF(AV190=0,0,AV218/AV190*100)</f>
        <v>0</v>
      </c>
      <c r="AW204" s="280">
        <f>IF(AW190=0,0,AW218/AW190*100)</f>
        <v>0</v>
      </c>
      <c r="AX204" s="1666">
        <f>IF(AX190=0,0,AX218/AX190*100)</f>
        <v>0</v>
      </c>
      <c r="AY204" s="1666">
        <f>IF(AY190=0,0,AY218/AY190*100)</f>
        <v>0</v>
      </c>
      <c r="AZ204" s="1666">
        <f>IF(AZ190=0,0,AZ218/AZ190*100)</f>
        <v>0</v>
      </c>
      <c r="BA204" s="1666">
        <f>IF(BA190=0,0,BA218/BA190*100)</f>
        <v>0</v>
      </c>
      <c r="BB204" s="1666">
        <f>IF(BB190=0,0,BB218/BB190*100)</f>
        <v>0</v>
      </c>
      <c r="BC204" s="1730"/>
      <c r="BD204" s="934"/>
      <c r="BE204" s="934"/>
      <c r="BF204" s="1170" t="s">
        <v>1122</v>
      </c>
    </row>
    <row s="1619"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1037</v>
      </c>
      <c r="AD205" s="486" t="s">
        <v>490</v>
      </c>
      <c r="AE205" s="1666">
        <f>IF(AE191=0,0,AE219/AE191*100)</f>
        <v>0</v>
      </c>
      <c r="AF205" s="1666">
        <f>IF(AF191=0,0,AF219/AF191*100)</f>
        <v>0</v>
      </c>
      <c r="AG205" s="1666">
        <f>IF(AG191=0,0,AG219/AG191*100)</f>
        <v>0</v>
      </c>
      <c r="AH205" s="1666">
        <f>IF(AH191=0,0,AH219/AH191*100)</f>
        <v>0</v>
      </c>
      <c r="AI205" s="280">
        <f>IF(AI191=0,0,AI219/AI191*100)</f>
        <v>0</v>
      </c>
      <c r="AJ205" s="280">
        <f>IF(AJ191=0,0,AJ219/AJ191*100)</f>
        <v>0</v>
      </c>
      <c r="AK205" s="280">
        <f>IF(AK191=0,0,AK219/AK191*100)</f>
        <v>0</v>
      </c>
      <c r="AL205" s="280">
        <f>IF(AL191=0,0,AL219/AL191*100)</f>
        <v>0</v>
      </c>
      <c r="AM205" s="280">
        <f>IF(AM191=0,0,AM219/AM191*100)</f>
        <v>0</v>
      </c>
      <c r="AN205" s="1666">
        <f>IF(AN191=0,0,AN219/AN191*100)</f>
        <v>0</v>
      </c>
      <c r="AO205" s="1666">
        <f>IF(AO191=0,0,AO219/AO191*100)</f>
        <v>0</v>
      </c>
      <c r="AP205" s="1666">
        <f>IF(AP191=0,0,AP219/AP191*100)</f>
        <v>0</v>
      </c>
      <c r="AQ205" s="1666">
        <f>IF(AQ191=0,0,AQ219/AQ191*100)</f>
        <v>0</v>
      </c>
      <c r="AR205" s="1666">
        <f>IF(AR191=0,0,AR219/AR191*100)</f>
        <v>0</v>
      </c>
      <c r="AS205" s="280">
        <f>IF(AS191=0,0,AS219/AS191*100)</f>
        <v>0</v>
      </c>
      <c r="AT205" s="280">
        <f>IF(AT191=0,0,AT219/AT191*100)</f>
        <v>0</v>
      </c>
      <c r="AU205" s="280">
        <f>IF(AU191=0,0,AU219/AU191*100)</f>
        <v>0</v>
      </c>
      <c r="AV205" s="280">
        <f>IF(AV191=0,0,AV219/AV191*100)</f>
        <v>0</v>
      </c>
      <c r="AW205" s="280">
        <f>IF(AW191=0,0,AW219/AW191*100)</f>
        <v>0</v>
      </c>
      <c r="AX205" s="1666">
        <f>IF(AX191=0,0,AX219/AX191*100)</f>
        <v>0</v>
      </c>
      <c r="AY205" s="1666">
        <f>IF(AY191=0,0,AY219/AY191*100)</f>
        <v>0</v>
      </c>
      <c r="AZ205" s="1666">
        <f>IF(AZ191=0,0,AZ219/AZ191*100)</f>
        <v>0</v>
      </c>
      <c r="BA205" s="1666">
        <f>IF(BA191=0,0,BA219/BA191*100)</f>
        <v>0</v>
      </c>
      <c r="BB205" s="1666">
        <f>IF(BB191=0,0,BB219/BB191*100)</f>
        <v>0</v>
      </c>
      <c r="BC205" s="1730"/>
      <c r="BD205" s="934"/>
      <c r="BE205" s="934"/>
      <c r="BF205" s="1170" t="s">
        <v>1123</v>
      </c>
    </row>
    <row s="1619"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1040</v>
      </c>
      <c r="AD206" s="486" t="s">
        <v>490</v>
      </c>
      <c r="AE206" s="1666">
        <f>IF(AE192=0,0,AE220/AE192*100)</f>
        <v>0</v>
      </c>
      <c r="AF206" s="1666">
        <f>IF(AF192=0,0,AF220/AF192*100)</f>
        <v>0</v>
      </c>
      <c r="AG206" s="1666">
        <f>IF(AG192=0,0,AG220/AG192*100)</f>
        <v>0</v>
      </c>
      <c r="AH206" s="1666">
        <f>IF(AH192=0,0,AH220/AH192*100)</f>
        <v>0</v>
      </c>
      <c r="AI206" s="280">
        <f>IF(AI192=0,0,AI220/AI192*100)</f>
        <v>0</v>
      </c>
      <c r="AJ206" s="280">
        <f>IF(AJ192=0,0,AJ220/AJ192*100)</f>
        <v>0</v>
      </c>
      <c r="AK206" s="280">
        <f>IF(AK192=0,0,AK220/AK192*100)</f>
        <v>0</v>
      </c>
      <c r="AL206" s="280">
        <f>IF(AL192=0,0,AL220/AL192*100)</f>
        <v>0</v>
      </c>
      <c r="AM206" s="280">
        <f>IF(AM192=0,0,AM220/AM192*100)</f>
        <v>0</v>
      </c>
      <c r="AN206" s="1666">
        <f>IF(AN192=0,0,AN220/AN192*100)</f>
        <v>0</v>
      </c>
      <c r="AO206" s="1666">
        <f>IF(AO192=0,0,AO220/AO192*100)</f>
        <v>0</v>
      </c>
      <c r="AP206" s="1666">
        <f>IF(AP192=0,0,AP220/AP192*100)</f>
        <v>0</v>
      </c>
      <c r="AQ206" s="1666">
        <f>IF(AQ192=0,0,AQ220/AQ192*100)</f>
        <v>0</v>
      </c>
      <c r="AR206" s="1666">
        <f>IF(AR192=0,0,AR220/AR192*100)</f>
        <v>0</v>
      </c>
      <c r="AS206" s="280">
        <f>IF(AS192=0,0,AS220/AS192*100)</f>
        <v>0</v>
      </c>
      <c r="AT206" s="280">
        <f>IF(AT192=0,0,AT220/AT192*100)</f>
        <v>0</v>
      </c>
      <c r="AU206" s="280">
        <f>IF(AU192=0,0,AU220/AU192*100)</f>
        <v>0</v>
      </c>
      <c r="AV206" s="280">
        <f>IF(AV192=0,0,AV220/AV192*100)</f>
        <v>0</v>
      </c>
      <c r="AW206" s="280">
        <f>IF(AW192=0,0,AW220/AW192*100)</f>
        <v>0</v>
      </c>
      <c r="AX206" s="1666">
        <f>IF(AX192=0,0,AX220/AX192*100)</f>
        <v>0</v>
      </c>
      <c r="AY206" s="1666">
        <f>IF(AY192=0,0,AY220/AY192*100)</f>
        <v>0</v>
      </c>
      <c r="AZ206" s="1666">
        <f>IF(AZ192=0,0,AZ220/AZ192*100)</f>
        <v>0</v>
      </c>
      <c r="BA206" s="1666">
        <f>IF(BA192=0,0,BA220/BA192*100)</f>
        <v>0</v>
      </c>
      <c r="BB206" s="1666">
        <f>IF(BB192=0,0,BB220/BB192*100)</f>
        <v>0</v>
      </c>
      <c r="BC206" s="1730"/>
      <c r="BD206" s="934"/>
      <c r="BE206" s="934"/>
      <c r="BF206" s="1170" t="s">
        <v>1124</v>
      </c>
    </row>
    <row s="1619"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1043</v>
      </c>
      <c r="AD207" s="486" t="s">
        <v>490</v>
      </c>
      <c r="AE207" s="1666">
        <f>IF(AE193=0,0,AE221/AE193*100)</f>
        <v>0</v>
      </c>
      <c r="AF207" s="1666">
        <f>IF(AF193=0,0,AF221/AF193*100)</f>
        <v>0</v>
      </c>
      <c r="AG207" s="1666">
        <f>IF(AG193=0,0,AG221/AG193*100)</f>
        <v>0</v>
      </c>
      <c r="AH207" s="1666">
        <f>IF(AH193=0,0,AH221/AH193*100)</f>
        <v>0</v>
      </c>
      <c r="AI207" s="280">
        <f>IF(AI193=0,0,AI221/AI193*100)</f>
        <v>0</v>
      </c>
      <c r="AJ207" s="280">
        <f>IF(AJ193=0,0,AJ221/AJ193*100)</f>
        <v>0</v>
      </c>
      <c r="AK207" s="280">
        <f>IF(AK193=0,0,AK221/AK193*100)</f>
        <v>0</v>
      </c>
      <c r="AL207" s="280">
        <f>IF(AL193=0,0,AL221/AL193*100)</f>
        <v>0</v>
      </c>
      <c r="AM207" s="280">
        <f>IF(AM193=0,0,AM221/AM193*100)</f>
        <v>0</v>
      </c>
      <c r="AN207" s="1666">
        <f>IF(AN193=0,0,AN221/AN193*100)</f>
        <v>0</v>
      </c>
      <c r="AO207" s="1666">
        <f>IF(AO193=0,0,AO221/AO193*100)</f>
        <v>0</v>
      </c>
      <c r="AP207" s="1666">
        <f>IF(AP193=0,0,AP221/AP193*100)</f>
        <v>0</v>
      </c>
      <c r="AQ207" s="1666">
        <f>IF(AQ193=0,0,AQ221/AQ193*100)</f>
        <v>0</v>
      </c>
      <c r="AR207" s="1666">
        <f>IF(AR193=0,0,AR221/AR193*100)</f>
        <v>0</v>
      </c>
      <c r="AS207" s="280">
        <f>IF(AS193=0,0,AS221/AS193*100)</f>
        <v>0</v>
      </c>
      <c r="AT207" s="280">
        <f>IF(AT193=0,0,AT221/AT193*100)</f>
        <v>0</v>
      </c>
      <c r="AU207" s="280">
        <f>IF(AU193=0,0,AU221/AU193*100)</f>
        <v>0</v>
      </c>
      <c r="AV207" s="280">
        <f>IF(AV193=0,0,AV221/AV193*100)</f>
        <v>0</v>
      </c>
      <c r="AW207" s="280">
        <f>IF(AW193=0,0,AW221/AW193*100)</f>
        <v>0</v>
      </c>
      <c r="AX207" s="1666">
        <f>IF(AX193=0,0,AX221/AX193*100)</f>
        <v>0</v>
      </c>
      <c r="AY207" s="1666">
        <f>IF(AY193=0,0,AY221/AY193*100)</f>
        <v>0</v>
      </c>
      <c r="AZ207" s="1666">
        <f>IF(AZ193=0,0,AZ221/AZ193*100)</f>
        <v>0</v>
      </c>
      <c r="BA207" s="1666">
        <f>IF(BA193=0,0,BA221/BA193*100)</f>
        <v>0</v>
      </c>
      <c r="BB207" s="1666">
        <f>IF(BB193=0,0,BB221/BB193*100)</f>
        <v>0</v>
      </c>
      <c r="BC207" s="1730"/>
      <c r="BD207" s="934"/>
      <c r="BE207" s="934"/>
      <c r="BF207" s="1170" t="s">
        <v>1125</v>
      </c>
    </row>
    <row s="1619"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1046</v>
      </c>
      <c r="AD208" s="486" t="s">
        <v>490</v>
      </c>
      <c r="AE208" s="1666">
        <f>IF(AE194=0,0,AE222/AE194*100)</f>
        <v>0</v>
      </c>
      <c r="AF208" s="1666">
        <f>IF(AF194=0,0,AF222/AF194*100)</f>
        <v>0</v>
      </c>
      <c r="AG208" s="1666">
        <f>IF(AG194=0,0,AG222/AG194*100)</f>
        <v>0</v>
      </c>
      <c r="AH208" s="1666">
        <f>IF(AH194=0,0,AH222/AH194*100)</f>
        <v>0</v>
      </c>
      <c r="AI208" s="280">
        <f>IF(AI194=0,0,AI222/AI194*100)</f>
        <v>0</v>
      </c>
      <c r="AJ208" s="280">
        <f>IF(AJ194=0,0,AJ222/AJ194*100)</f>
        <v>0</v>
      </c>
      <c r="AK208" s="280">
        <f>IF(AK194=0,0,AK222/AK194*100)</f>
        <v>0</v>
      </c>
      <c r="AL208" s="280">
        <f>IF(AL194=0,0,AL222/AL194*100)</f>
        <v>0</v>
      </c>
      <c r="AM208" s="280">
        <f>IF(AM194=0,0,AM222/AM194*100)</f>
        <v>0</v>
      </c>
      <c r="AN208" s="1666">
        <f>IF(AN194=0,0,AN222/AN194*100)</f>
        <v>0</v>
      </c>
      <c r="AO208" s="1666">
        <f>IF(AO194=0,0,AO222/AO194*100)</f>
        <v>0</v>
      </c>
      <c r="AP208" s="1666">
        <f>IF(AP194=0,0,AP222/AP194*100)</f>
        <v>0</v>
      </c>
      <c r="AQ208" s="1666">
        <f>IF(AQ194=0,0,AQ222/AQ194*100)</f>
        <v>0</v>
      </c>
      <c r="AR208" s="1666">
        <f>IF(AR194=0,0,AR222/AR194*100)</f>
        <v>0</v>
      </c>
      <c r="AS208" s="280">
        <f>IF(AS194=0,0,AS222/AS194*100)</f>
        <v>0</v>
      </c>
      <c r="AT208" s="280">
        <f>IF(AT194=0,0,AT222/AT194*100)</f>
        <v>0</v>
      </c>
      <c r="AU208" s="280">
        <f>IF(AU194=0,0,AU222/AU194*100)</f>
        <v>0</v>
      </c>
      <c r="AV208" s="280">
        <f>IF(AV194=0,0,AV222/AV194*100)</f>
        <v>0</v>
      </c>
      <c r="AW208" s="280">
        <f>IF(AW194=0,0,AW222/AW194*100)</f>
        <v>0</v>
      </c>
      <c r="AX208" s="1666">
        <f>IF(AX194=0,0,AX222/AX194*100)</f>
        <v>0</v>
      </c>
      <c r="AY208" s="1666">
        <f>IF(AY194=0,0,AY222/AY194*100)</f>
        <v>0</v>
      </c>
      <c r="AZ208" s="1666">
        <f>IF(AZ194=0,0,AZ222/AZ194*100)</f>
        <v>0</v>
      </c>
      <c r="BA208" s="1666">
        <f>IF(BA194=0,0,BA222/BA194*100)</f>
        <v>0</v>
      </c>
      <c r="BB208" s="1666">
        <f>IF(BB194=0,0,BB222/BB194*100)</f>
        <v>0</v>
      </c>
      <c r="BC208" s="1730"/>
      <c r="BD208" s="934"/>
      <c r="BE208" s="934"/>
      <c r="BF208" s="1170" t="s">
        <v>1126</v>
      </c>
    </row>
    <row s="1619"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1049</v>
      </c>
      <c r="AD209" s="486" t="s">
        <v>490</v>
      </c>
      <c r="AE209" s="1666">
        <f>IF(AE195=0,0,AE223/AE195*100)</f>
        <v>0</v>
      </c>
      <c r="AF209" s="1666">
        <f>IF(AF195=0,0,AF223/AF195*100)</f>
        <v>0</v>
      </c>
      <c r="AG209" s="1666">
        <f>IF(AG195=0,0,AG223/AG195*100)</f>
        <v>0</v>
      </c>
      <c r="AH209" s="1666">
        <f>IF(AH195=0,0,AH223/AH195*100)</f>
        <v>0</v>
      </c>
      <c r="AI209" s="280">
        <f>IF(AI195=0,0,AI223/AI195*100)</f>
        <v>0</v>
      </c>
      <c r="AJ209" s="280">
        <f>IF(AJ195=0,0,AJ223/AJ195*100)</f>
        <v>0</v>
      </c>
      <c r="AK209" s="280">
        <f>IF(AK195=0,0,AK223/AK195*100)</f>
        <v>0</v>
      </c>
      <c r="AL209" s="280">
        <f>IF(AL195=0,0,AL223/AL195*100)</f>
        <v>0</v>
      </c>
      <c r="AM209" s="280">
        <f>IF(AM195=0,0,AM223/AM195*100)</f>
        <v>0</v>
      </c>
      <c r="AN209" s="1666">
        <f>IF(AN195=0,0,AN223/AN195*100)</f>
        <v>0</v>
      </c>
      <c r="AO209" s="1666">
        <f>IF(AO195=0,0,AO223/AO195*100)</f>
        <v>0</v>
      </c>
      <c r="AP209" s="1666">
        <f>IF(AP195=0,0,AP223/AP195*100)</f>
        <v>0</v>
      </c>
      <c r="AQ209" s="1666">
        <f>IF(AQ195=0,0,AQ223/AQ195*100)</f>
        <v>0</v>
      </c>
      <c r="AR209" s="1666">
        <f>IF(AR195=0,0,AR223/AR195*100)</f>
        <v>0</v>
      </c>
      <c r="AS209" s="280">
        <f>IF(AS195=0,0,AS223/AS195*100)</f>
        <v>0</v>
      </c>
      <c r="AT209" s="280">
        <f>IF(AT195=0,0,AT223/AT195*100)</f>
        <v>0</v>
      </c>
      <c r="AU209" s="280">
        <f>IF(AU195=0,0,AU223/AU195*100)</f>
        <v>0</v>
      </c>
      <c r="AV209" s="280">
        <f>IF(AV195=0,0,AV223/AV195*100)</f>
        <v>0</v>
      </c>
      <c r="AW209" s="280">
        <f>IF(AW195=0,0,AW223/AW195*100)</f>
        <v>0</v>
      </c>
      <c r="AX209" s="1666">
        <f>IF(AX195=0,0,AX223/AX195*100)</f>
        <v>0</v>
      </c>
      <c r="AY209" s="1666">
        <f>IF(AY195=0,0,AY223/AY195*100)</f>
        <v>0</v>
      </c>
      <c r="AZ209" s="1666">
        <f>IF(AZ195=0,0,AZ223/AZ195*100)</f>
        <v>0</v>
      </c>
      <c r="BA209" s="1666">
        <f>IF(BA195=0,0,BA223/BA195*100)</f>
        <v>0</v>
      </c>
      <c r="BB209" s="1666">
        <f>IF(BB195=0,0,BB223/BB195*100)</f>
        <v>0</v>
      </c>
      <c r="BC209" s="1730"/>
      <c r="BD209" s="934"/>
      <c r="BE209" s="934"/>
      <c r="BF209" s="1170" t="s">
        <v>1127</v>
      </c>
    </row>
    <row s="1619"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1052</v>
      </c>
      <c r="AD210" s="486" t="s">
        <v>490</v>
      </c>
      <c r="AE210" s="1666">
        <f>IF(AE196=0,0,AE224/AE196*100)</f>
        <v>0</v>
      </c>
      <c r="AF210" s="1666">
        <f>IF(AF196=0,0,AF224/AF196*100)</f>
        <v>0</v>
      </c>
      <c r="AG210" s="1666">
        <f>IF(AG196=0,0,AG224/AG196*100)</f>
        <v>0</v>
      </c>
      <c r="AH210" s="1666">
        <f>IF(AH196=0,0,AH224/AH196*100)</f>
        <v>0</v>
      </c>
      <c r="AI210" s="280">
        <f>IF(AI196=0,0,AI224/AI196*100)</f>
        <v>0</v>
      </c>
      <c r="AJ210" s="280">
        <f>IF(AJ196=0,0,AJ224/AJ196*100)</f>
        <v>0</v>
      </c>
      <c r="AK210" s="280">
        <f>IF(AK196=0,0,AK224/AK196*100)</f>
        <v>0</v>
      </c>
      <c r="AL210" s="280">
        <f>IF(AL196=0,0,AL224/AL196*100)</f>
        <v>0</v>
      </c>
      <c r="AM210" s="280">
        <f>IF(AM196=0,0,AM224/AM196*100)</f>
        <v>0</v>
      </c>
      <c r="AN210" s="1666">
        <f>IF(AN196=0,0,AN224/AN196*100)</f>
        <v>0</v>
      </c>
      <c r="AO210" s="1666">
        <f>IF(AO196=0,0,AO224/AO196*100)</f>
        <v>0</v>
      </c>
      <c r="AP210" s="1666">
        <f>IF(AP196=0,0,AP224/AP196*100)</f>
        <v>0</v>
      </c>
      <c r="AQ210" s="1666">
        <f>IF(AQ196=0,0,AQ224/AQ196*100)</f>
        <v>0</v>
      </c>
      <c r="AR210" s="1666">
        <f>IF(AR196=0,0,AR224/AR196*100)</f>
        <v>0</v>
      </c>
      <c r="AS210" s="280">
        <f>IF(AS196=0,0,AS224/AS196*100)</f>
        <v>0</v>
      </c>
      <c r="AT210" s="280">
        <f>IF(AT196=0,0,AT224/AT196*100)</f>
        <v>0</v>
      </c>
      <c r="AU210" s="280">
        <f>IF(AU196=0,0,AU224/AU196*100)</f>
        <v>0</v>
      </c>
      <c r="AV210" s="280">
        <f>IF(AV196=0,0,AV224/AV196*100)</f>
        <v>0</v>
      </c>
      <c r="AW210" s="280">
        <f>IF(AW196=0,0,AW224/AW196*100)</f>
        <v>0</v>
      </c>
      <c r="AX210" s="1666">
        <f>IF(AX196=0,0,AX224/AX196*100)</f>
        <v>0</v>
      </c>
      <c r="AY210" s="1666">
        <f>IF(AY196=0,0,AY224/AY196*100)</f>
        <v>0</v>
      </c>
      <c r="AZ210" s="1666">
        <f>IF(AZ196=0,0,AZ224/AZ196*100)</f>
        <v>0</v>
      </c>
      <c r="BA210" s="1666">
        <f>IF(BA196=0,0,BA224/BA196*100)</f>
        <v>0</v>
      </c>
      <c r="BB210" s="1666">
        <f>IF(BB196=0,0,BB224/BB196*100)</f>
        <v>0</v>
      </c>
      <c r="BC210" s="1730"/>
      <c r="BD210" s="934"/>
      <c r="BE210" s="934"/>
      <c r="BF210" s="1170" t="s">
        <v>1128</v>
      </c>
    </row>
    <row s="214" customFormat="1" customHeight="1" ht="14.25">
      <c r="A211" s="214"/>
      <c r="B211" s="214"/>
      <c r="C211" s="214"/>
      <c r="D211" s="214"/>
      <c r="E211" s="794">
        <v>15</v>
      </c>
      <c r="F211" s="919" cm="1" t="str">
        <f t="array" ref="F211:F211">F210</f>
        <v>1</v>
      </c>
      <c r="G211" s="736" t="s">
        <v>1129</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1130</v>
      </c>
      <c r="AD211" s="153" t="s">
        <v>805</v>
      </c>
      <c r="AE211" s="1793">
        <f>SUM(AE212:AE215)+SUM(AE221:AE224)</f>
        <v>0</v>
      </c>
      <c r="AF211" s="1793">
        <f>SUM(AF212:AF215)+SUM(AF221:AF224)</f>
        <v>0</v>
      </c>
      <c r="AG211" s="1793">
        <f>SUM(AG212:AG215)+SUM(AG221:AG224)</f>
        <v>0</v>
      </c>
      <c r="AH211" s="1793">
        <f>SUM(AH212:AH215)+SUM(AH221:AH224)</f>
        <v>0</v>
      </c>
      <c r="AI211" s="292">
        <f>SUM(AI212:AI215)+SUM(AI221:AI224)</f>
        <v>507</v>
      </c>
      <c r="AJ211" s="292">
        <f>SUM(AJ212:AJ215)+SUM(AJ221:AJ224)</f>
        <v>507</v>
      </c>
      <c r="AK211" s="292">
        <f>SUM(AK212:AK215)+SUM(AK221:AK224)</f>
        <v>507</v>
      </c>
      <c r="AL211" s="292">
        <f>SUM(AL212:AL215)+SUM(AL221:AL224)</f>
        <v>465</v>
      </c>
      <c r="AM211" s="292">
        <f>SUM(AM212:AM215)+SUM(AM221:AM224)</f>
        <v>465</v>
      </c>
      <c r="AN211" s="1793">
        <f>SUM(AN212:AN215)+SUM(AN221:AN224)</f>
        <v>0</v>
      </c>
      <c r="AO211" s="1793">
        <f>SUM(AO212:AO215)+SUM(AO221:AO224)</f>
        <v>0</v>
      </c>
      <c r="AP211" s="1793">
        <f>SUM(AP212:AP215)+SUM(AP221:AP224)</f>
        <v>0</v>
      </c>
      <c r="AQ211" s="1793">
        <f>SUM(AQ212:AQ215)+SUM(AQ221:AQ224)</f>
        <v>0</v>
      </c>
      <c r="AR211" s="1793">
        <f>SUM(AR212:AR215)+SUM(AR221:AR224)</f>
        <v>0</v>
      </c>
      <c r="AS211" s="292">
        <f>SUM(AS212:AS215)+SUM(AS221:AS224)</f>
        <v>322</v>
      </c>
      <c r="AT211" s="292">
        <f>SUM(AT212:AT215)+SUM(AT221:AT224)</f>
        <v>322</v>
      </c>
      <c r="AU211" s="292">
        <f>SUM(AU212:AU215)+SUM(AU221:AU224)</f>
        <v>4</v>
      </c>
      <c r="AV211" s="292">
        <f>SUM(AV212:AV215)+SUM(AV221:AV224)</f>
        <v>4</v>
      </c>
      <c r="AW211" s="292">
        <f>SUM(AW212:AW215)+SUM(AW221:AW224)</f>
        <v>4</v>
      </c>
      <c r="AX211" s="1793">
        <f>SUM(AX212:AX215)+SUM(AX221:AX224)</f>
        <v>0</v>
      </c>
      <c r="AY211" s="1793">
        <f>SUM(AY212:AY215)+SUM(AY221:AY224)</f>
        <v>0</v>
      </c>
      <c r="AZ211" s="1793">
        <f>SUM(AZ212:AZ215)+SUM(AZ221:AZ224)</f>
        <v>0</v>
      </c>
      <c r="BA211" s="1793">
        <f>SUM(BA212:BA215)+SUM(BA221:BA224)</f>
        <v>0</v>
      </c>
      <c r="BB211" s="1793">
        <f>SUM(BB212:BB215)+SUM(BB221:BB224)</f>
        <v>0</v>
      </c>
      <c r="BC211" s="1730"/>
      <c r="BD211" s="214"/>
      <c r="BE211" s="214"/>
      <c r="BF211" s="1170" t="s">
        <v>1131</v>
      </c>
    </row>
    <row s="1619"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1018</v>
      </c>
      <c r="AD212" s="486" t="s">
        <v>1019</v>
      </c>
      <c r="AE212" s="1666"/>
      <c r="AF212" s="1666"/>
      <c r="AG212" s="1666"/>
      <c r="AH212" s="1666"/>
      <c r="AI212" s="280">
        <v>507</v>
      </c>
      <c r="AJ212" s="280">
        <v>507</v>
      </c>
      <c r="AK212" s="280">
        <v>507</v>
      </c>
      <c r="AL212" s="280">
        <v>465</v>
      </c>
      <c r="AM212" s="280">
        <v>465</v>
      </c>
      <c r="AN212" s="1666"/>
      <c r="AO212" s="1666"/>
      <c r="AP212" s="1666"/>
      <c r="AQ212" s="1666"/>
      <c r="AR212" s="1666"/>
      <c r="AS212" s="280">
        <v>322</v>
      </c>
      <c r="AT212" s="280">
        <v>322</v>
      </c>
      <c r="AU212" s="280">
        <v>4</v>
      </c>
      <c r="AV212" s="280">
        <v>4</v>
      </c>
      <c r="AW212" s="280">
        <v>4</v>
      </c>
      <c r="AX212" s="1666"/>
      <c r="AY212" s="1666"/>
      <c r="AZ212" s="1666"/>
      <c r="BA212" s="1666"/>
      <c r="BB212" s="1666"/>
      <c r="BC212" s="1730"/>
      <c r="BD212" s="934"/>
      <c r="BE212" s="934"/>
      <c r="BF212" s="1170" t="s">
        <v>1132</v>
      </c>
    </row>
    <row s="1619"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1021</v>
      </c>
      <c r="AD213" s="486" t="s">
        <v>1019</v>
      </c>
      <c r="AE213" s="1666"/>
      <c r="AF213" s="1666"/>
      <c r="AG213" s="1666"/>
      <c r="AH213" s="1666"/>
      <c r="AI213" s="280"/>
      <c r="AJ213" s="280"/>
      <c r="AK213" s="280"/>
      <c r="AL213" s="280"/>
      <c r="AM213" s="280"/>
      <c r="AN213" s="1666"/>
      <c r="AO213" s="1666"/>
      <c r="AP213" s="1666"/>
      <c r="AQ213" s="1666"/>
      <c r="AR213" s="1666"/>
      <c r="AS213" s="280"/>
      <c r="AT213" s="280"/>
      <c r="AU213" s="280"/>
      <c r="AV213" s="280"/>
      <c r="AW213" s="280"/>
      <c r="AX213" s="1666"/>
      <c r="AY213" s="1666"/>
      <c r="AZ213" s="1666"/>
      <c r="BA213" s="1666"/>
      <c r="BB213" s="1666"/>
      <c r="BC213" s="1730"/>
      <c r="BD213" s="934"/>
      <c r="BE213" s="934"/>
      <c r="BF213" s="1170" t="s">
        <v>1133</v>
      </c>
    </row>
    <row s="1619"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1023</v>
      </c>
      <c r="AD214" s="486" t="s">
        <v>1019</v>
      </c>
      <c r="AE214" s="1666"/>
      <c r="AF214" s="1666"/>
      <c r="AG214" s="1666"/>
      <c r="AH214" s="1666"/>
      <c r="AI214" s="280"/>
      <c r="AJ214" s="280"/>
      <c r="AK214" s="280"/>
      <c r="AL214" s="280"/>
      <c r="AM214" s="280"/>
      <c r="AN214" s="1666"/>
      <c r="AO214" s="1666"/>
      <c r="AP214" s="1666"/>
      <c r="AQ214" s="1666"/>
      <c r="AR214" s="1666"/>
      <c r="AS214" s="280"/>
      <c r="AT214" s="280"/>
      <c r="AU214" s="280"/>
      <c r="AV214" s="280"/>
      <c r="AW214" s="280"/>
      <c r="AX214" s="1666"/>
      <c r="AY214" s="1666"/>
      <c r="AZ214" s="1666"/>
      <c r="BA214" s="1666"/>
      <c r="BB214" s="1666"/>
      <c r="BC214" s="1730"/>
      <c r="BD214" s="934"/>
      <c r="BE214" s="934"/>
      <c r="BF214" s="1170" t="s">
        <v>1134</v>
      </c>
    </row>
    <row s="1619"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1025</v>
      </c>
      <c r="AD215" s="486" t="s">
        <v>1019</v>
      </c>
      <c r="AE215" s="1807">
        <f>SUM(AE216:AE220)</f>
        <v>0</v>
      </c>
      <c r="AF215" s="1807">
        <f>SUM(AF216:AF220)</f>
        <v>0</v>
      </c>
      <c r="AG215" s="1807">
        <f>SUM(AG216:AG220)</f>
        <v>0</v>
      </c>
      <c r="AH215" s="1807">
        <f>SUM(AH216:AH220)</f>
        <v>0</v>
      </c>
      <c r="AI215" s="481">
        <f>SUM(AI216:AI220)</f>
        <v>0</v>
      </c>
      <c r="AJ215" s="481">
        <f>SUM(AJ216:AJ220)</f>
        <v>0</v>
      </c>
      <c r="AK215" s="481">
        <f>SUM(AK216:AK220)</f>
        <v>0</v>
      </c>
      <c r="AL215" s="481">
        <f>SUM(AL216:AL220)</f>
        <v>0</v>
      </c>
      <c r="AM215" s="481">
        <f>SUM(AM216:AM220)</f>
        <v>0</v>
      </c>
      <c r="AN215" s="1807">
        <f>SUM(AN216:AN220)</f>
        <v>0</v>
      </c>
      <c r="AO215" s="1807">
        <f>SUM(AO216:AO220)</f>
        <v>0</v>
      </c>
      <c r="AP215" s="1807">
        <f>SUM(AP216:AP220)</f>
        <v>0</v>
      </c>
      <c r="AQ215" s="1807">
        <f>SUM(AQ216:AQ220)</f>
        <v>0</v>
      </c>
      <c r="AR215" s="1807">
        <f>SUM(AR216:AR220)</f>
        <v>0</v>
      </c>
      <c r="AS215" s="481">
        <f>SUM(AS216:AS220)</f>
        <v>0</v>
      </c>
      <c r="AT215" s="481">
        <f>SUM(AT216:AT220)</f>
        <v>0</v>
      </c>
      <c r="AU215" s="481">
        <f>SUM(AU216:AU220)</f>
        <v>0</v>
      </c>
      <c r="AV215" s="481">
        <f>SUM(AV216:AV220)</f>
        <v>0</v>
      </c>
      <c r="AW215" s="481">
        <f>SUM(AW216:AW220)</f>
        <v>0</v>
      </c>
      <c r="AX215" s="1807">
        <f>SUM(AX216:AX220)</f>
        <v>0</v>
      </c>
      <c r="AY215" s="1807">
        <f>SUM(AY216:AY220)</f>
        <v>0</v>
      </c>
      <c r="AZ215" s="1807">
        <f>SUM(AZ216:AZ220)</f>
        <v>0</v>
      </c>
      <c r="BA215" s="1807">
        <f>SUM(BA216:BA220)</f>
        <v>0</v>
      </c>
      <c r="BB215" s="1807">
        <f>SUM(BB216:BB220)</f>
        <v>0</v>
      </c>
      <c r="BC215" s="1730"/>
      <c r="BD215" s="934"/>
      <c r="BE215" s="934"/>
      <c r="BF215" s="1170" t="s">
        <v>1135</v>
      </c>
    </row>
    <row s="1619"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1028</v>
      </c>
      <c r="AD216" s="486" t="s">
        <v>1019</v>
      </c>
      <c r="AE216" s="1666"/>
      <c r="AF216" s="1666"/>
      <c r="AG216" s="1666"/>
      <c r="AH216" s="1666"/>
      <c r="AI216" s="280"/>
      <c r="AJ216" s="280"/>
      <c r="AK216" s="280"/>
      <c r="AL216" s="280"/>
      <c r="AM216" s="280"/>
      <c r="AN216" s="1666"/>
      <c r="AO216" s="1666"/>
      <c r="AP216" s="1666"/>
      <c r="AQ216" s="1666"/>
      <c r="AR216" s="1666"/>
      <c r="AS216" s="280"/>
      <c r="AT216" s="280"/>
      <c r="AU216" s="280"/>
      <c r="AV216" s="280"/>
      <c r="AW216" s="280"/>
      <c r="AX216" s="1666"/>
      <c r="AY216" s="1666"/>
      <c r="AZ216" s="1666"/>
      <c r="BA216" s="1666"/>
      <c r="BB216" s="1666"/>
      <c r="BC216" s="1730"/>
      <c r="BD216" s="934"/>
      <c r="BE216" s="934"/>
      <c r="BF216" s="1170" t="s">
        <v>1136</v>
      </c>
    </row>
    <row s="1619"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1031</v>
      </c>
      <c r="AD217" s="486" t="s">
        <v>1019</v>
      </c>
      <c r="AE217" s="1666"/>
      <c r="AF217" s="1666"/>
      <c r="AG217" s="1666"/>
      <c r="AH217" s="1666"/>
      <c r="AI217" s="280"/>
      <c r="AJ217" s="280"/>
      <c r="AK217" s="280"/>
      <c r="AL217" s="280"/>
      <c r="AM217" s="280"/>
      <c r="AN217" s="1666"/>
      <c r="AO217" s="1666"/>
      <c r="AP217" s="1666"/>
      <c r="AQ217" s="1666"/>
      <c r="AR217" s="1666"/>
      <c r="AS217" s="280"/>
      <c r="AT217" s="280"/>
      <c r="AU217" s="280"/>
      <c r="AV217" s="280"/>
      <c r="AW217" s="280"/>
      <c r="AX217" s="1666"/>
      <c r="AY217" s="1666"/>
      <c r="AZ217" s="1666"/>
      <c r="BA217" s="1666"/>
      <c r="BB217" s="1666"/>
      <c r="BC217" s="1730"/>
      <c r="BD217" s="934"/>
      <c r="BE217" s="934"/>
      <c r="BF217" s="1170" t="s">
        <v>1137</v>
      </c>
    </row>
    <row s="1619"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1034</v>
      </c>
      <c r="AD218" s="486" t="s">
        <v>1019</v>
      </c>
      <c r="AE218" s="1666"/>
      <c r="AF218" s="1666"/>
      <c r="AG218" s="1666"/>
      <c r="AH218" s="1666"/>
      <c r="AI218" s="280"/>
      <c r="AJ218" s="280"/>
      <c r="AK218" s="280"/>
      <c r="AL218" s="280"/>
      <c r="AM218" s="280"/>
      <c r="AN218" s="1666"/>
      <c r="AO218" s="1666"/>
      <c r="AP218" s="1666"/>
      <c r="AQ218" s="1666"/>
      <c r="AR218" s="1666"/>
      <c r="AS218" s="280"/>
      <c r="AT218" s="280"/>
      <c r="AU218" s="280"/>
      <c r="AV218" s="280"/>
      <c r="AW218" s="280"/>
      <c r="AX218" s="1666"/>
      <c r="AY218" s="1666"/>
      <c r="AZ218" s="1666"/>
      <c r="BA218" s="1666"/>
      <c r="BB218" s="1666"/>
      <c r="BC218" s="1730"/>
      <c r="BD218" s="934"/>
      <c r="BE218" s="934"/>
      <c r="BF218" s="1170" t="s">
        <v>1138</v>
      </c>
    </row>
    <row s="1619"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1037</v>
      </c>
      <c r="AD219" s="486" t="s">
        <v>1019</v>
      </c>
      <c r="AE219" s="1666"/>
      <c r="AF219" s="1666"/>
      <c r="AG219" s="1666"/>
      <c r="AH219" s="1666"/>
      <c r="AI219" s="280"/>
      <c r="AJ219" s="280"/>
      <c r="AK219" s="280"/>
      <c r="AL219" s="280"/>
      <c r="AM219" s="280"/>
      <c r="AN219" s="1666"/>
      <c r="AO219" s="1666"/>
      <c r="AP219" s="1666"/>
      <c r="AQ219" s="1666"/>
      <c r="AR219" s="1666"/>
      <c r="AS219" s="280"/>
      <c r="AT219" s="280"/>
      <c r="AU219" s="280"/>
      <c r="AV219" s="280"/>
      <c r="AW219" s="280"/>
      <c r="AX219" s="1666"/>
      <c r="AY219" s="1666"/>
      <c r="AZ219" s="1666"/>
      <c r="BA219" s="1666"/>
      <c r="BB219" s="1666"/>
      <c r="BC219" s="1730"/>
      <c r="BD219" s="934"/>
      <c r="BE219" s="934"/>
      <c r="BF219" s="1170" t="s">
        <v>1139</v>
      </c>
    </row>
    <row s="1619"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1040</v>
      </c>
      <c r="AD220" s="486" t="s">
        <v>1019</v>
      </c>
      <c r="AE220" s="1666"/>
      <c r="AF220" s="1666"/>
      <c r="AG220" s="1666"/>
      <c r="AH220" s="1666"/>
      <c r="AI220" s="280"/>
      <c r="AJ220" s="280"/>
      <c r="AK220" s="280"/>
      <c r="AL220" s="280"/>
      <c r="AM220" s="280"/>
      <c r="AN220" s="1666"/>
      <c r="AO220" s="1666"/>
      <c r="AP220" s="1666"/>
      <c r="AQ220" s="1666"/>
      <c r="AR220" s="1666"/>
      <c r="AS220" s="280"/>
      <c r="AT220" s="280"/>
      <c r="AU220" s="280"/>
      <c r="AV220" s="280"/>
      <c r="AW220" s="280"/>
      <c r="AX220" s="1666"/>
      <c r="AY220" s="1666"/>
      <c r="AZ220" s="1666"/>
      <c r="BA220" s="1666"/>
      <c r="BB220" s="1666"/>
      <c r="BC220" s="1730"/>
      <c r="BD220" s="934"/>
      <c r="BE220" s="934"/>
      <c r="BF220" s="1170" t="s">
        <v>1140</v>
      </c>
    </row>
    <row s="1619"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1043</v>
      </c>
      <c r="AD221" s="486" t="s">
        <v>1019</v>
      </c>
      <c r="AE221" s="1666"/>
      <c r="AF221" s="1666"/>
      <c r="AG221" s="1666"/>
      <c r="AH221" s="1666"/>
      <c r="AI221" s="280"/>
      <c r="AJ221" s="280"/>
      <c r="AK221" s="280"/>
      <c r="AL221" s="280"/>
      <c r="AM221" s="280"/>
      <c r="AN221" s="1666"/>
      <c r="AO221" s="1666"/>
      <c r="AP221" s="1666"/>
      <c r="AQ221" s="1666"/>
      <c r="AR221" s="1666"/>
      <c r="AS221" s="280"/>
      <c r="AT221" s="280"/>
      <c r="AU221" s="280"/>
      <c r="AV221" s="280"/>
      <c r="AW221" s="280"/>
      <c r="AX221" s="1666"/>
      <c r="AY221" s="1666"/>
      <c r="AZ221" s="1666"/>
      <c r="BA221" s="1666"/>
      <c r="BB221" s="1666"/>
      <c r="BC221" s="1730"/>
      <c r="BD221" s="934"/>
      <c r="BE221" s="934"/>
      <c r="BF221" s="1170" t="s">
        <v>1141</v>
      </c>
    </row>
    <row s="1619"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1046</v>
      </c>
      <c r="AD222" s="486" t="s">
        <v>1019</v>
      </c>
      <c r="AE222" s="1666"/>
      <c r="AF222" s="1666"/>
      <c r="AG222" s="1666"/>
      <c r="AH222" s="1666"/>
      <c r="AI222" s="280"/>
      <c r="AJ222" s="280"/>
      <c r="AK222" s="280"/>
      <c r="AL222" s="280"/>
      <c r="AM222" s="280"/>
      <c r="AN222" s="1666"/>
      <c r="AO222" s="1666"/>
      <c r="AP222" s="1666"/>
      <c r="AQ222" s="1666"/>
      <c r="AR222" s="1666"/>
      <c r="AS222" s="280"/>
      <c r="AT222" s="280"/>
      <c r="AU222" s="280"/>
      <c r="AV222" s="280"/>
      <c r="AW222" s="280"/>
      <c r="AX222" s="1666"/>
      <c r="AY222" s="1666"/>
      <c r="AZ222" s="1666"/>
      <c r="BA222" s="1666"/>
      <c r="BB222" s="1666"/>
      <c r="BC222" s="1730"/>
      <c r="BD222" s="934"/>
      <c r="BE222" s="934"/>
      <c r="BF222" s="1170" t="s">
        <v>1142</v>
      </c>
    </row>
    <row s="1619"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1049</v>
      </c>
      <c r="AD223" s="486" t="s">
        <v>1019</v>
      </c>
      <c r="AE223" s="1666"/>
      <c r="AF223" s="1666"/>
      <c r="AG223" s="1666"/>
      <c r="AH223" s="1666"/>
      <c r="AI223" s="280"/>
      <c r="AJ223" s="280"/>
      <c r="AK223" s="280"/>
      <c r="AL223" s="280"/>
      <c r="AM223" s="280"/>
      <c r="AN223" s="1666"/>
      <c r="AO223" s="1666"/>
      <c r="AP223" s="1666"/>
      <c r="AQ223" s="1666"/>
      <c r="AR223" s="1666"/>
      <c r="AS223" s="280"/>
      <c r="AT223" s="280"/>
      <c r="AU223" s="280"/>
      <c r="AV223" s="280"/>
      <c r="AW223" s="280"/>
      <c r="AX223" s="1666"/>
      <c r="AY223" s="1666"/>
      <c r="AZ223" s="1666"/>
      <c r="BA223" s="1666"/>
      <c r="BB223" s="1666"/>
      <c r="BC223" s="1730"/>
      <c r="BD223" s="934"/>
      <c r="BE223" s="934"/>
      <c r="BF223" s="1170" t="s">
        <v>1143</v>
      </c>
    </row>
    <row s="1619"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1052</v>
      </c>
      <c r="AD224" s="486" t="s">
        <v>1019</v>
      </c>
      <c r="AE224" s="1666"/>
      <c r="AF224" s="1666"/>
      <c r="AG224" s="1666"/>
      <c r="AH224" s="1666"/>
      <c r="AI224" s="280"/>
      <c r="AJ224" s="280"/>
      <c r="AK224" s="280"/>
      <c r="AL224" s="280"/>
      <c r="AM224" s="280"/>
      <c r="AN224" s="1666"/>
      <c r="AO224" s="1666"/>
      <c r="AP224" s="1666"/>
      <c r="AQ224" s="1666"/>
      <c r="AR224" s="1666"/>
      <c r="AS224" s="280"/>
      <c r="AT224" s="280"/>
      <c r="AU224" s="280"/>
      <c r="AV224" s="280"/>
      <c r="AW224" s="280"/>
      <c r="AX224" s="1666"/>
      <c r="AY224" s="1666"/>
      <c r="AZ224" s="1666"/>
      <c r="BA224" s="1666"/>
      <c r="BB224" s="1666"/>
      <c r="BC224" s="1730"/>
      <c r="BD224" s="934"/>
      <c r="BE224" s="934"/>
      <c r="BF224" s="1170" t="s">
        <v>1144</v>
      </c>
    </row>
    <row s="1619" customFormat="1" customHeight="1" ht="10.5">
      <c r="A225" s="1440"/>
      <c r="B225" s="924"/>
      <c r="C225" s="1440"/>
      <c r="D225" s="1440"/>
      <c r="E225" s="794">
        <v>11.4</v>
      </c>
      <c r="F225" s="919" cm="1" t="str">
        <f t="array" ref="F225:F225">X225</f>
        <v>2</v>
      </c>
      <c r="G225" s="962"/>
      <c r="H225" s="962"/>
      <c r="I225" s="962"/>
      <c r="J225" s="962"/>
      <c r="K225" s="962"/>
      <c r="L225" s="962"/>
      <c r="M225" s="962"/>
      <c r="N225" s="962"/>
      <c r="O225" s="962"/>
      <c r="P225" s="962"/>
      <c r="Q225" s="925"/>
      <c r="R225" s="925"/>
      <c r="S225" s="962"/>
      <c r="T225" s="816">
        <f>X225&gt;0</f>
        <v>1</v>
      </c>
      <c r="U225" s="1440"/>
      <c r="V225" s="172" cm="1" t="str">
        <f t="array" ref="V225:V225">'ХВС, ТН'!$AB$56</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225" s="1440"/>
      <c r="X225" s="156" t="s">
        <v>343</v>
      </c>
      <c r="Y225" s="1440"/>
      <c r="Z225" s="1440"/>
      <c r="AA225" s="934"/>
      <c r="AB225" s="287" cm="1" t="str">
        <f t="array" ref="AB225:AB225">IF(ISBLANK('ХВС, ТН'!$AB$56),"",'ХВС, ТН'!$AB$56)</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225" s="257"/>
      <c r="AD225" s="251"/>
      <c r="AE225" s="251"/>
      <c r="AF225" s="251"/>
      <c r="AG225" s="251"/>
      <c r="AH225" s="251"/>
      <c r="AI225" s="251"/>
      <c r="AJ225" s="251"/>
      <c r="AK225" s="251"/>
      <c r="AL225" s="251"/>
      <c r="AM225" s="251"/>
      <c r="AN225" s="251"/>
      <c r="AO225" s="251"/>
      <c r="AP225" s="251"/>
      <c r="AQ225" s="251"/>
      <c r="AR225" s="251"/>
      <c r="AS225" s="251"/>
      <c r="AT225" s="251"/>
      <c r="AU225" s="251"/>
      <c r="AV225" s="251"/>
      <c r="AW225" s="251"/>
      <c r="AX225" s="251"/>
      <c r="AY225" s="251"/>
      <c r="AZ225" s="251"/>
      <c r="BA225" s="251"/>
      <c r="BB225" s="251"/>
      <c r="BC225" s="276"/>
      <c r="BD225" s="934"/>
      <c r="BE225" s="934"/>
      <c r="BF225" s="1177"/>
    </row>
    <row s="214" customFormat="1" customHeight="1" ht="21.75">
      <c r="A226" s="214"/>
      <c r="B226" s="214"/>
      <c r="C226" s="214"/>
      <c r="D226" s="214"/>
      <c r="E226" s="794">
        <v>22.8</v>
      </c>
      <c r="F226" s="919" cm="1" t="str">
        <f t="array" ref="F226:F226">F225</f>
        <v>2</v>
      </c>
      <c r="G226" s="214"/>
      <c r="H226" s="214"/>
      <c r="I226" s="214"/>
      <c r="J226" s="214"/>
      <c r="K226" s="214"/>
      <c r="L226" s="214"/>
      <c r="M226" s="214"/>
      <c r="N226" s="214"/>
      <c r="O226" s="214"/>
      <c r="P226" s="214"/>
      <c r="Q226" s="214"/>
      <c r="R226" s="214"/>
      <c r="S226" s="214"/>
      <c r="T226" s="816" cm="1" t="str">
        <f t="array" ref="T226:T226">T225</f>
        <v>true</v>
      </c>
      <c r="U226" s="214"/>
      <c r="V226" s="214"/>
      <c r="W226" s="214"/>
      <c r="X226" s="214"/>
      <c r="Y226" s="214"/>
      <c r="Z226" s="214"/>
      <c r="AA226" s="214"/>
      <c r="AB226" s="277">
        <v>1</v>
      </c>
      <c r="AC226" s="278" t="s">
        <v>1016</v>
      </c>
      <c r="AD226" s="153" t="s">
        <v>805</v>
      </c>
      <c r="AE226" s="1793">
        <f>SUM(AE227:AE230)+SUM(AE236:AE239)</f>
        <v>0</v>
      </c>
      <c r="AF226" s="1793">
        <f>SUM(AF227:AF230)+SUM(AF236:AF239)</f>
        <v>0</v>
      </c>
      <c r="AG226" s="1793">
        <f>SUM(AG227:AG230)+SUM(AG236:AG239)</f>
        <v>0</v>
      </c>
      <c r="AH226" s="1793">
        <f>SUM(AH227:AH230)+SUM(AH236:AH239)</f>
        <v>0</v>
      </c>
      <c r="AI226" s="292">
        <f>SUM(AI227:AI230)+SUM(AI236:AI239)</f>
        <v>0</v>
      </c>
      <c r="AJ226" s="292">
        <f>SUM(AJ227:AJ230)+SUM(AJ236:AJ239)</f>
        <v>0</v>
      </c>
      <c r="AK226" s="292">
        <f>SUM(AK227:AK230)+SUM(AK236:AK239)</f>
        <v>0</v>
      </c>
      <c r="AL226" s="292">
        <f>SUM(AL227:AL230)+SUM(AL236:AL239)</f>
        <v>0</v>
      </c>
      <c r="AM226" s="292">
        <f>SUM(AM227:AM230)+SUM(AM236:AM239)</f>
        <v>0</v>
      </c>
      <c r="AN226" s="1793">
        <f>SUM(AN227:AN230)+SUM(AN236:AN239)</f>
        <v>0</v>
      </c>
      <c r="AO226" s="1793">
        <f>SUM(AO227:AO230)+SUM(AO236:AO239)</f>
        <v>0</v>
      </c>
      <c r="AP226" s="1793">
        <f>SUM(AP227:AP230)+SUM(AP236:AP239)</f>
        <v>0</v>
      </c>
      <c r="AQ226" s="1793">
        <f>SUM(AQ227:AQ230)+SUM(AQ236:AQ239)</f>
        <v>0</v>
      </c>
      <c r="AR226" s="1793">
        <f>SUM(AR227:AR230)+SUM(AR236:AR239)</f>
        <v>0</v>
      </c>
      <c r="AS226" s="292">
        <f>SUM(AS227:AS230)+SUM(AS236:AS239)</f>
        <v>0</v>
      </c>
      <c r="AT226" s="292">
        <f>SUM(AT227:AT230)+SUM(AT236:AT239)</f>
        <v>0</v>
      </c>
      <c r="AU226" s="292">
        <f>SUM(AU227:AU230)+SUM(AU236:AU239)</f>
        <v>0</v>
      </c>
      <c r="AV226" s="292">
        <f>SUM(AV227:AV230)+SUM(AV236:AV239)</f>
        <v>0</v>
      </c>
      <c r="AW226" s="292">
        <f>SUM(AW227:AW230)+SUM(AW236:AW239)</f>
        <v>0</v>
      </c>
      <c r="AX226" s="1793">
        <f>SUM(AX227:AX230)+SUM(AX236:AX239)</f>
        <v>0</v>
      </c>
      <c r="AY226" s="1793">
        <f>SUM(AY227:AY230)+SUM(AY236:AY239)</f>
        <v>0</v>
      </c>
      <c r="AZ226" s="1793">
        <f>SUM(AZ227:AZ230)+SUM(AZ236:AZ239)</f>
        <v>0</v>
      </c>
      <c r="BA226" s="1793">
        <f>SUM(BA227:BA230)+SUM(BA236:BA239)</f>
        <v>0</v>
      </c>
      <c r="BB226" s="1793">
        <f>SUM(BB227:BB230)+SUM(BB236:BB239)</f>
        <v>0</v>
      </c>
      <c r="BC226" s="1730"/>
      <c r="BD226" s="214"/>
      <c r="BE226" s="214"/>
      <c r="BF226" s="1170" t="s">
        <v>1017</v>
      </c>
    </row>
    <row s="1619" customFormat="1" customHeight="1" ht="14.25">
      <c r="A227" s="1440"/>
      <c r="B227" s="924"/>
      <c r="C227" s="1440"/>
      <c r="D227" s="1440"/>
      <c r="E227" s="794">
        <v>15</v>
      </c>
      <c r="F227" s="919" cm="1" t="str">
        <f t="array" ref="F227:F227">F226</f>
        <v>2</v>
      </c>
      <c r="G227" s="962"/>
      <c r="H227" s="962"/>
      <c r="I227" s="962"/>
      <c r="J227" s="962"/>
      <c r="K227" s="962"/>
      <c r="L227" s="962"/>
      <c r="M227" s="962"/>
      <c r="N227" s="962"/>
      <c r="O227" s="962"/>
      <c r="P227" s="962"/>
      <c r="Q227" s="925"/>
      <c r="R227" s="925"/>
      <c r="S227" s="962"/>
      <c r="T227" s="816" cm="1" t="str">
        <f t="array" ref="T227:T227">T226</f>
        <v>true</v>
      </c>
      <c r="U227" s="1440"/>
      <c r="V227" s="1440"/>
      <c r="W227" s="1440"/>
      <c r="X227" s="1440"/>
      <c r="Y227" s="1440"/>
      <c r="Z227" s="1440"/>
      <c r="AA227" s="934"/>
      <c r="AB227" s="486" t="s">
        <v>442</v>
      </c>
      <c r="AC227" s="487" t="s">
        <v>1018</v>
      </c>
      <c r="AD227" s="486" t="s">
        <v>1019</v>
      </c>
      <c r="AE227" s="1666"/>
      <c r="AF227" s="1666"/>
      <c r="AG227" s="1666"/>
      <c r="AH227" s="1666"/>
      <c r="AI227" s="280"/>
      <c r="AJ227" s="280"/>
      <c r="AK227" s="280"/>
      <c r="AL227" s="280"/>
      <c r="AM227" s="280"/>
      <c r="AN227" s="1666"/>
      <c r="AO227" s="1666"/>
      <c r="AP227" s="1666"/>
      <c r="AQ227" s="1666"/>
      <c r="AR227" s="1666"/>
      <c r="AS227" s="280"/>
      <c r="AT227" s="280"/>
      <c r="AU227" s="280"/>
      <c r="AV227" s="280"/>
      <c r="AW227" s="280"/>
      <c r="AX227" s="1666"/>
      <c r="AY227" s="1666"/>
      <c r="AZ227" s="1666"/>
      <c r="BA227" s="1666"/>
      <c r="BB227" s="1666"/>
      <c r="BC227" s="1730"/>
      <c r="BD227" s="934"/>
      <c r="BE227" s="934"/>
      <c r="BF227" s="1170" t="s">
        <v>1020</v>
      </c>
    </row>
    <row s="1619" customFormat="1" customHeight="1" ht="14.25">
      <c r="A228" s="1440"/>
      <c r="B228" s="924"/>
      <c r="C228" s="1440"/>
      <c r="D228" s="1440"/>
      <c r="E228" s="794">
        <v>15</v>
      </c>
      <c r="F228" s="919" cm="1" t="str">
        <f t="array" ref="F228:F228">F227</f>
        <v>2</v>
      </c>
      <c r="G228" s="962"/>
      <c r="H228" s="962"/>
      <c r="I228" s="962"/>
      <c r="J228" s="962"/>
      <c r="K228" s="962"/>
      <c r="L228" s="962"/>
      <c r="M228" s="962"/>
      <c r="N228" s="962"/>
      <c r="O228" s="962"/>
      <c r="P228" s="962"/>
      <c r="Q228" s="925"/>
      <c r="R228" s="925"/>
      <c r="S228" s="962"/>
      <c r="T228" s="816" cm="1" t="str">
        <f t="array" ref="T228:T228">T227</f>
        <v>true</v>
      </c>
      <c r="U228" s="1440"/>
      <c r="V228" s="1440"/>
      <c r="W228" s="1440"/>
      <c r="X228" s="1440"/>
      <c r="Y228" s="1440"/>
      <c r="Z228" s="1440"/>
      <c r="AA228" s="934"/>
      <c r="AB228" s="486" t="s">
        <v>931</v>
      </c>
      <c r="AC228" s="487" t="s">
        <v>1021</v>
      </c>
      <c r="AD228" s="486" t="s">
        <v>1019</v>
      </c>
      <c r="AE228" s="1666"/>
      <c r="AF228" s="1666"/>
      <c r="AG228" s="1666"/>
      <c r="AH228" s="1666"/>
      <c r="AI228" s="280"/>
      <c r="AJ228" s="280"/>
      <c r="AK228" s="280"/>
      <c r="AL228" s="280"/>
      <c r="AM228" s="280"/>
      <c r="AN228" s="1666"/>
      <c r="AO228" s="1666"/>
      <c r="AP228" s="1666"/>
      <c r="AQ228" s="1666"/>
      <c r="AR228" s="1666"/>
      <c r="AS228" s="280"/>
      <c r="AT228" s="280"/>
      <c r="AU228" s="280"/>
      <c r="AV228" s="280"/>
      <c r="AW228" s="280"/>
      <c r="AX228" s="1666"/>
      <c r="AY228" s="1666"/>
      <c r="AZ228" s="1666"/>
      <c r="BA228" s="1666"/>
      <c r="BB228" s="1666"/>
      <c r="BC228" s="1730"/>
      <c r="BD228" s="934"/>
      <c r="BE228" s="934"/>
      <c r="BF228" s="1170" t="s">
        <v>1022</v>
      </c>
    </row>
    <row s="1619" customFormat="1" customHeight="1" ht="14.25">
      <c r="A229" s="1440"/>
      <c r="B229" s="924"/>
      <c r="C229" s="1440"/>
      <c r="D229" s="1440"/>
      <c r="E229" s="794">
        <v>15</v>
      </c>
      <c r="F229" s="919" cm="1" t="str">
        <f t="array" ref="F229:F229">F228</f>
        <v>2</v>
      </c>
      <c r="G229" s="962"/>
      <c r="H229" s="962"/>
      <c r="I229" s="962"/>
      <c r="J229" s="962"/>
      <c r="K229" s="962"/>
      <c r="L229" s="962"/>
      <c r="M229" s="962"/>
      <c r="N229" s="962"/>
      <c r="O229" s="962"/>
      <c r="P229" s="962"/>
      <c r="Q229" s="925"/>
      <c r="R229" s="925"/>
      <c r="S229" s="962"/>
      <c r="T229" s="816" cm="1" t="str">
        <f t="array" ref="T229:T229">T228</f>
        <v>true</v>
      </c>
      <c r="U229" s="1440"/>
      <c r="V229" s="1440"/>
      <c r="W229" s="1440"/>
      <c r="X229" s="1440"/>
      <c r="Y229" s="1440"/>
      <c r="Z229" s="1440"/>
      <c r="AA229" s="934"/>
      <c r="AB229" s="486" t="s">
        <v>933</v>
      </c>
      <c r="AC229" s="487" t="s">
        <v>1023</v>
      </c>
      <c r="AD229" s="486" t="s">
        <v>1019</v>
      </c>
      <c r="AE229" s="1666"/>
      <c r="AF229" s="1666"/>
      <c r="AG229" s="1666"/>
      <c r="AH229" s="1666"/>
      <c r="AI229" s="280"/>
      <c r="AJ229" s="280"/>
      <c r="AK229" s="280"/>
      <c r="AL229" s="280"/>
      <c r="AM229" s="280"/>
      <c r="AN229" s="1666"/>
      <c r="AO229" s="1666"/>
      <c r="AP229" s="1666"/>
      <c r="AQ229" s="1666"/>
      <c r="AR229" s="1666"/>
      <c r="AS229" s="280"/>
      <c r="AT229" s="280"/>
      <c r="AU229" s="280"/>
      <c r="AV229" s="280"/>
      <c r="AW229" s="280"/>
      <c r="AX229" s="1666"/>
      <c r="AY229" s="1666"/>
      <c r="AZ229" s="1666"/>
      <c r="BA229" s="1666"/>
      <c r="BB229" s="1666"/>
      <c r="BC229" s="1730"/>
      <c r="BD229" s="934"/>
      <c r="BE229" s="934"/>
      <c r="BF229" s="1170" t="s">
        <v>1024</v>
      </c>
    </row>
    <row s="1619" customFormat="1" customHeight="1" ht="14.25">
      <c r="A230" s="1440"/>
      <c r="B230" s="924"/>
      <c r="C230" s="1440"/>
      <c r="D230" s="1440"/>
      <c r="E230" s="794">
        <v>15</v>
      </c>
      <c r="F230" s="919" cm="1" t="str">
        <f t="array" ref="F230:F230">F229</f>
        <v>2</v>
      </c>
      <c r="G230" s="962"/>
      <c r="H230" s="962"/>
      <c r="I230" s="962"/>
      <c r="J230" s="962"/>
      <c r="K230" s="962"/>
      <c r="L230" s="962"/>
      <c r="M230" s="962"/>
      <c r="N230" s="962"/>
      <c r="O230" s="962"/>
      <c r="P230" s="962"/>
      <c r="Q230" s="925"/>
      <c r="R230" s="925"/>
      <c r="S230" s="962"/>
      <c r="T230" s="816" cm="1" t="str">
        <f t="array" ref="T230:T230">T229</f>
        <v>true</v>
      </c>
      <c r="U230" s="1440"/>
      <c r="V230" s="1440"/>
      <c r="W230" s="1440"/>
      <c r="X230" s="1440"/>
      <c r="Y230" s="1440"/>
      <c r="Z230" s="1440"/>
      <c r="AA230" s="934"/>
      <c r="AB230" s="486" t="s">
        <v>937</v>
      </c>
      <c r="AC230" s="487" t="s">
        <v>1025</v>
      </c>
      <c r="AD230" s="486" t="s">
        <v>1019</v>
      </c>
      <c r="AE230" s="1807">
        <f>SUM(AE231:AE235)</f>
        <v>0</v>
      </c>
      <c r="AF230" s="1807">
        <f>SUM(AF231:AF235)</f>
        <v>0</v>
      </c>
      <c r="AG230" s="1807">
        <f>SUM(AG231:AG235)</f>
        <v>0</v>
      </c>
      <c r="AH230" s="1807">
        <f>SUM(AH231:AH235)</f>
        <v>0</v>
      </c>
      <c r="AI230" s="481">
        <f>SUM(AI231:AI235)</f>
        <v>0</v>
      </c>
      <c r="AJ230" s="481">
        <f>SUM(AJ231:AJ235)</f>
        <v>0</v>
      </c>
      <c r="AK230" s="481">
        <f>SUM(AK231:AK235)</f>
        <v>0</v>
      </c>
      <c r="AL230" s="481">
        <f>SUM(AL231:AL235)</f>
        <v>0</v>
      </c>
      <c r="AM230" s="481">
        <f>SUM(AM231:AM235)</f>
        <v>0</v>
      </c>
      <c r="AN230" s="1807">
        <f>SUM(AN231:AN235)</f>
        <v>0</v>
      </c>
      <c r="AO230" s="1807">
        <f>SUM(AO231:AO235)</f>
        <v>0</v>
      </c>
      <c r="AP230" s="1807">
        <f>SUM(AP231:AP235)</f>
        <v>0</v>
      </c>
      <c r="AQ230" s="1807">
        <f>SUM(AQ231:AQ235)</f>
        <v>0</v>
      </c>
      <c r="AR230" s="1807">
        <f>SUM(AR231:AR235)</f>
        <v>0</v>
      </c>
      <c r="AS230" s="481">
        <f>SUM(AS231:AS235)</f>
        <v>0</v>
      </c>
      <c r="AT230" s="481">
        <f>SUM(AT231:AT235)</f>
        <v>0</v>
      </c>
      <c r="AU230" s="481">
        <f>SUM(AU231:AU235)</f>
        <v>0</v>
      </c>
      <c r="AV230" s="481">
        <f>SUM(AV231:AV235)</f>
        <v>0</v>
      </c>
      <c r="AW230" s="481">
        <f>SUM(AW231:AW235)</f>
        <v>0</v>
      </c>
      <c r="AX230" s="1807">
        <f>SUM(AX231:AX235)</f>
        <v>0</v>
      </c>
      <c r="AY230" s="1807">
        <f>SUM(AY231:AY235)</f>
        <v>0</v>
      </c>
      <c r="AZ230" s="1807">
        <f>SUM(AZ231:AZ235)</f>
        <v>0</v>
      </c>
      <c r="BA230" s="1807">
        <f>SUM(BA231:BA235)</f>
        <v>0</v>
      </c>
      <c r="BB230" s="1807">
        <f>SUM(BB231:BB235)</f>
        <v>0</v>
      </c>
      <c r="BC230" s="1730"/>
      <c r="BD230" s="934"/>
      <c r="BE230" s="934"/>
      <c r="BF230" s="1170" t="s">
        <v>1026</v>
      </c>
    </row>
    <row s="1619" customFormat="1" customHeight="1" ht="14.25">
      <c r="A231" s="1440"/>
      <c r="B231" s="924"/>
      <c r="C231" s="1440"/>
      <c r="D231" s="1440"/>
      <c r="E231" s="794">
        <v>15</v>
      </c>
      <c r="F231" s="919" cm="1" t="str">
        <f t="array" ref="F231:F231">F230</f>
        <v>2</v>
      </c>
      <c r="G231" s="962"/>
      <c r="H231" s="962"/>
      <c r="I231" s="962"/>
      <c r="J231" s="962"/>
      <c r="K231" s="962"/>
      <c r="L231" s="962"/>
      <c r="M231" s="962"/>
      <c r="N231" s="962"/>
      <c r="O231" s="962"/>
      <c r="P231" s="962"/>
      <c r="Q231" s="925"/>
      <c r="R231" s="925"/>
      <c r="S231" s="962"/>
      <c r="T231" s="816" cm="1" t="str">
        <f t="array" ref="T231:T231">T230</f>
        <v>true</v>
      </c>
      <c r="U231" s="1440"/>
      <c r="V231" s="1440"/>
      <c r="W231" s="1440"/>
      <c r="X231" s="1440"/>
      <c r="Y231" s="1440"/>
      <c r="Z231" s="1440"/>
      <c r="AA231" s="934"/>
      <c r="AB231" s="486" t="s">
        <v>1027</v>
      </c>
      <c r="AC231" s="488" t="s">
        <v>1028</v>
      </c>
      <c r="AD231" s="486" t="s">
        <v>1019</v>
      </c>
      <c r="AE231" s="1666"/>
      <c r="AF231" s="1666"/>
      <c r="AG231" s="1666"/>
      <c r="AH231" s="1666"/>
      <c r="AI231" s="280"/>
      <c r="AJ231" s="280"/>
      <c r="AK231" s="280"/>
      <c r="AL231" s="280"/>
      <c r="AM231" s="280"/>
      <c r="AN231" s="1666"/>
      <c r="AO231" s="1666"/>
      <c r="AP231" s="1666"/>
      <c r="AQ231" s="1666"/>
      <c r="AR231" s="1666"/>
      <c r="AS231" s="280"/>
      <c r="AT231" s="280"/>
      <c r="AU231" s="280"/>
      <c r="AV231" s="280"/>
      <c r="AW231" s="280"/>
      <c r="AX231" s="1666"/>
      <c r="AY231" s="1666"/>
      <c r="AZ231" s="1666"/>
      <c r="BA231" s="1666"/>
      <c r="BB231" s="1666"/>
      <c r="BC231" s="1730"/>
      <c r="BD231" s="934"/>
      <c r="BE231" s="934"/>
      <c r="BF231" s="1170" t="s">
        <v>1029</v>
      </c>
    </row>
    <row s="1619" customFormat="1" customHeight="1" ht="14.25">
      <c r="A232" s="1440"/>
      <c r="B232" s="924"/>
      <c r="C232" s="1440"/>
      <c r="D232" s="1440"/>
      <c r="E232" s="794">
        <v>15</v>
      </c>
      <c r="F232" s="919" cm="1" t="str">
        <f t="array" ref="F232:F232">F231</f>
        <v>2</v>
      </c>
      <c r="G232" s="962"/>
      <c r="H232" s="962"/>
      <c r="I232" s="962"/>
      <c r="J232" s="962"/>
      <c r="K232" s="962"/>
      <c r="L232" s="962"/>
      <c r="M232" s="962"/>
      <c r="N232" s="962"/>
      <c r="O232" s="962"/>
      <c r="P232" s="962"/>
      <c r="Q232" s="925"/>
      <c r="R232" s="925"/>
      <c r="S232" s="962"/>
      <c r="T232" s="816" cm="1" t="str">
        <f t="array" ref="T232:T232">T231</f>
        <v>true</v>
      </c>
      <c r="U232" s="1440"/>
      <c r="V232" s="1440"/>
      <c r="W232" s="1440"/>
      <c r="X232" s="1440"/>
      <c r="Y232" s="1440"/>
      <c r="Z232" s="1440"/>
      <c r="AA232" s="934"/>
      <c r="AB232" s="486" t="s">
        <v>1030</v>
      </c>
      <c r="AC232" s="488" t="s">
        <v>1031</v>
      </c>
      <c r="AD232" s="486" t="s">
        <v>1019</v>
      </c>
      <c r="AE232" s="1666"/>
      <c r="AF232" s="1666"/>
      <c r="AG232" s="1666"/>
      <c r="AH232" s="1666"/>
      <c r="AI232" s="280"/>
      <c r="AJ232" s="280"/>
      <c r="AK232" s="280"/>
      <c r="AL232" s="280"/>
      <c r="AM232" s="280"/>
      <c r="AN232" s="1666"/>
      <c r="AO232" s="1666"/>
      <c r="AP232" s="1666"/>
      <c r="AQ232" s="1666"/>
      <c r="AR232" s="1666"/>
      <c r="AS232" s="280"/>
      <c r="AT232" s="280"/>
      <c r="AU232" s="280"/>
      <c r="AV232" s="280"/>
      <c r="AW232" s="280"/>
      <c r="AX232" s="1666"/>
      <c r="AY232" s="1666"/>
      <c r="AZ232" s="1666"/>
      <c r="BA232" s="1666"/>
      <c r="BB232" s="1666"/>
      <c r="BC232" s="1730"/>
      <c r="BD232" s="934"/>
      <c r="BE232" s="934"/>
      <c r="BF232" s="1170" t="s">
        <v>1032</v>
      </c>
    </row>
    <row s="1619" customFormat="1" customHeight="1" ht="14.25">
      <c r="A233" s="1440"/>
      <c r="B233" s="924"/>
      <c r="C233" s="1440"/>
      <c r="D233" s="1440"/>
      <c r="E233" s="794">
        <v>15</v>
      </c>
      <c r="F233" s="919" cm="1" t="str">
        <f t="array" ref="F233:F233">F232</f>
        <v>2</v>
      </c>
      <c r="G233" s="962"/>
      <c r="H233" s="962"/>
      <c r="I233" s="962"/>
      <c r="J233" s="962"/>
      <c r="K233" s="962"/>
      <c r="L233" s="962"/>
      <c r="M233" s="962"/>
      <c r="N233" s="962"/>
      <c r="O233" s="962"/>
      <c r="P233" s="962"/>
      <c r="Q233" s="925"/>
      <c r="R233" s="925"/>
      <c r="S233" s="962"/>
      <c r="T233" s="816" cm="1" t="str">
        <f t="array" ref="T233:T233">T232</f>
        <v>true</v>
      </c>
      <c r="U233" s="1440"/>
      <c r="V233" s="1440"/>
      <c r="W233" s="1440"/>
      <c r="X233" s="1440"/>
      <c r="Y233" s="1440"/>
      <c r="Z233" s="1440"/>
      <c r="AA233" s="934"/>
      <c r="AB233" s="486" t="s">
        <v>1033</v>
      </c>
      <c r="AC233" s="488" t="s">
        <v>1034</v>
      </c>
      <c r="AD233" s="486" t="s">
        <v>1019</v>
      </c>
      <c r="AE233" s="1666"/>
      <c r="AF233" s="1666"/>
      <c r="AG233" s="1666"/>
      <c r="AH233" s="1666"/>
      <c r="AI233" s="280"/>
      <c r="AJ233" s="280"/>
      <c r="AK233" s="280"/>
      <c r="AL233" s="280"/>
      <c r="AM233" s="280"/>
      <c r="AN233" s="1666"/>
      <c r="AO233" s="1666"/>
      <c r="AP233" s="1666"/>
      <c r="AQ233" s="1666"/>
      <c r="AR233" s="1666"/>
      <c r="AS233" s="280"/>
      <c r="AT233" s="280"/>
      <c r="AU233" s="280"/>
      <c r="AV233" s="280"/>
      <c r="AW233" s="280"/>
      <c r="AX233" s="1666"/>
      <c r="AY233" s="1666"/>
      <c r="AZ233" s="1666"/>
      <c r="BA233" s="1666"/>
      <c r="BB233" s="1666"/>
      <c r="BC233" s="1730"/>
      <c r="BD233" s="934"/>
      <c r="BE233" s="934"/>
      <c r="BF233" s="1170" t="s">
        <v>1035</v>
      </c>
    </row>
    <row s="1619" customFormat="1" customHeight="1" ht="14.25">
      <c r="A234" s="1440"/>
      <c r="B234" s="924"/>
      <c r="C234" s="1440"/>
      <c r="D234" s="1440"/>
      <c r="E234" s="794">
        <v>15</v>
      </c>
      <c r="F234" s="919" cm="1" t="str">
        <f t="array" ref="F234:F234">F233</f>
        <v>2</v>
      </c>
      <c r="G234" s="962"/>
      <c r="H234" s="962"/>
      <c r="I234" s="962"/>
      <c r="J234" s="962"/>
      <c r="K234" s="962"/>
      <c r="L234" s="962"/>
      <c r="M234" s="962"/>
      <c r="N234" s="962"/>
      <c r="O234" s="962"/>
      <c r="P234" s="962"/>
      <c r="Q234" s="925"/>
      <c r="R234" s="925"/>
      <c r="S234" s="962"/>
      <c r="T234" s="816" cm="1" t="str">
        <f t="array" ref="T234:T234">T233</f>
        <v>true</v>
      </c>
      <c r="U234" s="1440"/>
      <c r="V234" s="1440"/>
      <c r="W234" s="1440"/>
      <c r="X234" s="1440"/>
      <c r="Y234" s="1440"/>
      <c r="Z234" s="1440"/>
      <c r="AA234" s="934"/>
      <c r="AB234" s="486" t="s">
        <v>1036</v>
      </c>
      <c r="AC234" s="488" t="s">
        <v>1037</v>
      </c>
      <c r="AD234" s="486" t="s">
        <v>1019</v>
      </c>
      <c r="AE234" s="1666"/>
      <c r="AF234" s="1666"/>
      <c r="AG234" s="1666"/>
      <c r="AH234" s="1666"/>
      <c r="AI234" s="280"/>
      <c r="AJ234" s="280"/>
      <c r="AK234" s="280"/>
      <c r="AL234" s="280"/>
      <c r="AM234" s="280"/>
      <c r="AN234" s="1666"/>
      <c r="AO234" s="1666"/>
      <c r="AP234" s="1666"/>
      <c r="AQ234" s="1666"/>
      <c r="AR234" s="1666"/>
      <c r="AS234" s="280"/>
      <c r="AT234" s="280"/>
      <c r="AU234" s="280"/>
      <c r="AV234" s="280"/>
      <c r="AW234" s="280"/>
      <c r="AX234" s="1666"/>
      <c r="AY234" s="1666"/>
      <c r="AZ234" s="1666"/>
      <c r="BA234" s="1666"/>
      <c r="BB234" s="1666"/>
      <c r="BC234" s="1730"/>
      <c r="BD234" s="934"/>
      <c r="BE234" s="934"/>
      <c r="BF234" s="1170" t="s">
        <v>1038</v>
      </c>
    </row>
    <row s="1619" customFormat="1" customHeight="1" ht="14.25">
      <c r="A235" s="1440"/>
      <c r="B235" s="924"/>
      <c r="C235" s="1440"/>
      <c r="D235" s="1440"/>
      <c r="E235" s="794">
        <v>15</v>
      </c>
      <c r="F235" s="919" cm="1" t="str">
        <f t="array" ref="F235:F235">F234</f>
        <v>2</v>
      </c>
      <c r="G235" s="962"/>
      <c r="H235" s="962"/>
      <c r="I235" s="962"/>
      <c r="J235" s="962"/>
      <c r="K235" s="962"/>
      <c r="L235" s="962"/>
      <c r="M235" s="962"/>
      <c r="N235" s="962"/>
      <c r="O235" s="962"/>
      <c r="P235" s="962"/>
      <c r="Q235" s="925"/>
      <c r="R235" s="925"/>
      <c r="S235" s="962"/>
      <c r="T235" s="816" cm="1" t="str">
        <f t="array" ref="T235:T235">T234</f>
        <v>true</v>
      </c>
      <c r="U235" s="1440"/>
      <c r="V235" s="1440"/>
      <c r="W235" s="1440"/>
      <c r="X235" s="1440"/>
      <c r="Y235" s="1440"/>
      <c r="Z235" s="1440"/>
      <c r="AA235" s="934"/>
      <c r="AB235" s="486" t="s">
        <v>1039</v>
      </c>
      <c r="AC235" s="488" t="s">
        <v>1040</v>
      </c>
      <c r="AD235" s="486" t="s">
        <v>1019</v>
      </c>
      <c r="AE235" s="1666"/>
      <c r="AF235" s="1666"/>
      <c r="AG235" s="1666"/>
      <c r="AH235" s="1666"/>
      <c r="AI235" s="280"/>
      <c r="AJ235" s="280"/>
      <c r="AK235" s="280"/>
      <c r="AL235" s="280"/>
      <c r="AM235" s="280"/>
      <c r="AN235" s="1666"/>
      <c r="AO235" s="1666"/>
      <c r="AP235" s="1666"/>
      <c r="AQ235" s="1666"/>
      <c r="AR235" s="1666"/>
      <c r="AS235" s="280"/>
      <c r="AT235" s="280"/>
      <c r="AU235" s="280"/>
      <c r="AV235" s="280"/>
      <c r="AW235" s="280"/>
      <c r="AX235" s="1666"/>
      <c r="AY235" s="1666"/>
      <c r="AZ235" s="1666"/>
      <c r="BA235" s="1666"/>
      <c r="BB235" s="1666"/>
      <c r="BC235" s="1730"/>
      <c r="BD235" s="934"/>
      <c r="BE235" s="934"/>
      <c r="BF235" s="1170" t="s">
        <v>1041</v>
      </c>
    </row>
    <row s="1619" customFormat="1" customHeight="1" ht="14.25">
      <c r="A236" s="1440"/>
      <c r="B236" s="924"/>
      <c r="C236" s="1440"/>
      <c r="D236" s="1440"/>
      <c r="E236" s="794">
        <v>15</v>
      </c>
      <c r="F236" s="919" cm="1" t="str">
        <f t="array" ref="F236:F236">F235</f>
        <v>2</v>
      </c>
      <c r="G236" s="962"/>
      <c r="H236" s="962"/>
      <c r="I236" s="962"/>
      <c r="J236" s="962"/>
      <c r="K236" s="962"/>
      <c r="L236" s="962"/>
      <c r="M236" s="962"/>
      <c r="N236" s="962"/>
      <c r="O236" s="962"/>
      <c r="P236" s="962"/>
      <c r="Q236" s="925"/>
      <c r="R236" s="925"/>
      <c r="S236" s="962"/>
      <c r="T236" s="816" cm="1" t="str">
        <f t="array" ref="T236:T236">T235</f>
        <v>true</v>
      </c>
      <c r="U236" s="1440"/>
      <c r="V236" s="1440"/>
      <c r="W236" s="1440"/>
      <c r="X236" s="1440"/>
      <c r="Y236" s="1440"/>
      <c r="Z236" s="1440"/>
      <c r="AA236" s="934"/>
      <c r="AB236" s="486" t="s">
        <v>1042</v>
      </c>
      <c r="AC236" s="487" t="s">
        <v>1043</v>
      </c>
      <c r="AD236" s="486" t="s">
        <v>1019</v>
      </c>
      <c r="AE236" s="1666"/>
      <c r="AF236" s="1666"/>
      <c r="AG236" s="1666"/>
      <c r="AH236" s="1666"/>
      <c r="AI236" s="280"/>
      <c r="AJ236" s="280"/>
      <c r="AK236" s="280"/>
      <c r="AL236" s="280"/>
      <c r="AM236" s="280"/>
      <c r="AN236" s="1666"/>
      <c r="AO236" s="1666"/>
      <c r="AP236" s="1666"/>
      <c r="AQ236" s="1666"/>
      <c r="AR236" s="1666"/>
      <c r="AS236" s="280"/>
      <c r="AT236" s="280"/>
      <c r="AU236" s="280"/>
      <c r="AV236" s="280"/>
      <c r="AW236" s="280"/>
      <c r="AX236" s="1666"/>
      <c r="AY236" s="1666"/>
      <c r="AZ236" s="1666"/>
      <c r="BA236" s="1666"/>
      <c r="BB236" s="1666"/>
      <c r="BC236" s="1730"/>
      <c r="BD236" s="934"/>
      <c r="BE236" s="934"/>
      <c r="BF236" s="1170" t="s">
        <v>1044</v>
      </c>
    </row>
    <row s="1619" customFormat="1" customHeight="1" ht="14.25">
      <c r="A237" s="1440"/>
      <c r="B237" s="924"/>
      <c r="C237" s="1440"/>
      <c r="D237" s="1440"/>
      <c r="E237" s="794">
        <v>15</v>
      </c>
      <c r="F237" s="919" cm="1" t="str">
        <f t="array" ref="F237:F237">F236</f>
        <v>2</v>
      </c>
      <c r="G237" s="962"/>
      <c r="H237" s="962"/>
      <c r="I237" s="962"/>
      <c r="J237" s="962"/>
      <c r="K237" s="962"/>
      <c r="L237" s="962"/>
      <c r="M237" s="962"/>
      <c r="N237" s="962"/>
      <c r="O237" s="962"/>
      <c r="P237" s="962"/>
      <c r="Q237" s="925"/>
      <c r="R237" s="925"/>
      <c r="S237" s="962"/>
      <c r="T237" s="816" cm="1" t="str">
        <f t="array" ref="T237:T237">T236</f>
        <v>true</v>
      </c>
      <c r="U237" s="1440"/>
      <c r="V237" s="1440"/>
      <c r="W237" s="1440"/>
      <c r="X237" s="1440"/>
      <c r="Y237" s="1440"/>
      <c r="Z237" s="1440"/>
      <c r="AA237" s="934"/>
      <c r="AB237" s="486" t="s">
        <v>1045</v>
      </c>
      <c r="AC237" s="487" t="s">
        <v>1046</v>
      </c>
      <c r="AD237" s="486" t="s">
        <v>1019</v>
      </c>
      <c r="AE237" s="1666"/>
      <c r="AF237" s="1666"/>
      <c r="AG237" s="1666"/>
      <c r="AH237" s="1666"/>
      <c r="AI237" s="280"/>
      <c r="AJ237" s="280"/>
      <c r="AK237" s="280"/>
      <c r="AL237" s="280"/>
      <c r="AM237" s="280"/>
      <c r="AN237" s="1666"/>
      <c r="AO237" s="1666"/>
      <c r="AP237" s="1666"/>
      <c r="AQ237" s="1666"/>
      <c r="AR237" s="1666"/>
      <c r="AS237" s="280"/>
      <c r="AT237" s="280"/>
      <c r="AU237" s="280"/>
      <c r="AV237" s="280"/>
      <c r="AW237" s="280"/>
      <c r="AX237" s="1666"/>
      <c r="AY237" s="1666"/>
      <c r="AZ237" s="1666"/>
      <c r="BA237" s="1666"/>
      <c r="BB237" s="1666"/>
      <c r="BC237" s="1730"/>
      <c r="BD237" s="934"/>
      <c r="BE237" s="934"/>
      <c r="BF237" s="1170" t="s">
        <v>1047</v>
      </c>
    </row>
    <row s="1619" customFormat="1" customHeight="1" ht="14.25">
      <c r="A238" s="1440"/>
      <c r="B238" s="924"/>
      <c r="C238" s="1440"/>
      <c r="D238" s="1440"/>
      <c r="E238" s="794">
        <v>15</v>
      </c>
      <c r="F238" s="919" cm="1" t="str">
        <f t="array" ref="F238:F238">F237</f>
        <v>2</v>
      </c>
      <c r="G238" s="962"/>
      <c r="H238" s="962"/>
      <c r="I238" s="962"/>
      <c r="J238" s="962"/>
      <c r="K238" s="962"/>
      <c r="L238" s="962"/>
      <c r="M238" s="962"/>
      <c r="N238" s="962"/>
      <c r="O238" s="962"/>
      <c r="P238" s="962"/>
      <c r="Q238" s="925"/>
      <c r="R238" s="925"/>
      <c r="S238" s="962"/>
      <c r="T238" s="816" cm="1" t="str">
        <f t="array" ref="T238:T238">T237</f>
        <v>true</v>
      </c>
      <c r="U238" s="1440"/>
      <c r="V238" s="1440"/>
      <c r="W238" s="1440"/>
      <c r="X238" s="1440"/>
      <c r="Y238" s="1440"/>
      <c r="Z238" s="1440"/>
      <c r="AA238" s="934"/>
      <c r="AB238" s="486" t="s">
        <v>1048</v>
      </c>
      <c r="AC238" s="487" t="s">
        <v>1049</v>
      </c>
      <c r="AD238" s="486" t="s">
        <v>1019</v>
      </c>
      <c r="AE238" s="1666"/>
      <c r="AF238" s="1666"/>
      <c r="AG238" s="1666"/>
      <c r="AH238" s="1666"/>
      <c r="AI238" s="280"/>
      <c r="AJ238" s="280"/>
      <c r="AK238" s="280"/>
      <c r="AL238" s="280"/>
      <c r="AM238" s="280"/>
      <c r="AN238" s="1666"/>
      <c r="AO238" s="1666"/>
      <c r="AP238" s="1666"/>
      <c r="AQ238" s="1666"/>
      <c r="AR238" s="1666"/>
      <c r="AS238" s="280"/>
      <c r="AT238" s="280"/>
      <c r="AU238" s="280"/>
      <c r="AV238" s="280"/>
      <c r="AW238" s="280"/>
      <c r="AX238" s="1666"/>
      <c r="AY238" s="1666"/>
      <c r="AZ238" s="1666"/>
      <c r="BA238" s="1666"/>
      <c r="BB238" s="1666"/>
      <c r="BC238" s="1730"/>
      <c r="BD238" s="934"/>
      <c r="BE238" s="934"/>
      <c r="BF238" s="1170" t="s">
        <v>1050</v>
      </c>
    </row>
    <row s="1619" customFormat="1" customHeight="1" ht="14.25">
      <c r="A239" s="1440"/>
      <c r="B239" s="924"/>
      <c r="C239" s="1440"/>
      <c r="D239" s="1440"/>
      <c r="E239" s="794">
        <v>15</v>
      </c>
      <c r="F239" s="919" cm="1" t="str">
        <f t="array" ref="F239:F239">F238</f>
        <v>2</v>
      </c>
      <c r="G239" s="962"/>
      <c r="H239" s="962"/>
      <c r="I239" s="962"/>
      <c r="J239" s="962"/>
      <c r="K239" s="962"/>
      <c r="L239" s="962"/>
      <c r="M239" s="962"/>
      <c r="N239" s="962"/>
      <c r="O239" s="962"/>
      <c r="P239" s="962"/>
      <c r="Q239" s="925"/>
      <c r="R239" s="925"/>
      <c r="S239" s="962"/>
      <c r="T239" s="816" cm="1" t="str">
        <f t="array" ref="T239:T239">T238</f>
        <v>true</v>
      </c>
      <c r="U239" s="1440"/>
      <c r="V239" s="1440"/>
      <c r="W239" s="1440"/>
      <c r="X239" s="1440"/>
      <c r="Y239" s="1440"/>
      <c r="Z239" s="1440"/>
      <c r="AA239" s="934"/>
      <c r="AB239" s="486" t="s">
        <v>1051</v>
      </c>
      <c r="AC239" s="487" t="s">
        <v>1052</v>
      </c>
      <c r="AD239" s="486" t="s">
        <v>1019</v>
      </c>
      <c r="AE239" s="1666"/>
      <c r="AF239" s="1666"/>
      <c r="AG239" s="1666"/>
      <c r="AH239" s="1666"/>
      <c r="AI239" s="280"/>
      <c r="AJ239" s="280"/>
      <c r="AK239" s="280"/>
      <c r="AL239" s="280"/>
      <c r="AM239" s="280"/>
      <c r="AN239" s="1666"/>
      <c r="AO239" s="1666"/>
      <c r="AP239" s="1666"/>
      <c r="AQ239" s="1666"/>
      <c r="AR239" s="1666"/>
      <c r="AS239" s="280"/>
      <c r="AT239" s="280"/>
      <c r="AU239" s="280"/>
      <c r="AV239" s="280"/>
      <c r="AW239" s="280"/>
      <c r="AX239" s="1666"/>
      <c r="AY239" s="1666"/>
      <c r="AZ239" s="1666"/>
      <c r="BA239" s="1666"/>
      <c r="BB239" s="1666"/>
      <c r="BC239" s="1730"/>
      <c r="BD239" s="934"/>
      <c r="BE239" s="934"/>
      <c r="BF239" s="1170" t="s">
        <v>1053</v>
      </c>
    </row>
    <row s="214" customFormat="1" customHeight="1" ht="44.25">
      <c r="A240" s="214"/>
      <c r="B240" s="214"/>
      <c r="C240" s="214"/>
      <c r="D240" s="214"/>
      <c r="E240" s="794">
        <v>45.6</v>
      </c>
      <c r="F240" s="919" cm="1" t="str">
        <f t="array" ref="F240:F240">F239</f>
        <v>2</v>
      </c>
      <c r="G240" s="214"/>
      <c r="H240" s="214"/>
      <c r="I240" s="214"/>
      <c r="J240" s="214"/>
      <c r="K240" s="214"/>
      <c r="L240" s="214"/>
      <c r="M240" s="214"/>
      <c r="N240" s="214"/>
      <c r="O240" s="214"/>
      <c r="P240" s="214"/>
      <c r="Q240" s="214"/>
      <c r="R240" s="214"/>
      <c r="S240" s="214"/>
      <c r="T240" s="816" cm="1" t="str">
        <f t="array" ref="T240:T240">T239</f>
        <v>true</v>
      </c>
      <c r="U240" s="214"/>
      <c r="V240" s="214"/>
      <c r="W240" s="214"/>
      <c r="X240" s="214"/>
      <c r="Y240" s="214"/>
      <c r="Z240" s="214"/>
      <c r="AA240" s="214"/>
      <c r="AB240" s="277">
        <v>2</v>
      </c>
      <c r="AC240" s="278" t="s">
        <v>1054</v>
      </c>
      <c r="AD240" s="153" t="s">
        <v>805</v>
      </c>
      <c r="AE240" s="1793">
        <f>SUM(AE241:AE244)+SUM(AE250:AE253)</f>
        <v>0</v>
      </c>
      <c r="AF240" s="1793">
        <f>SUM(AF241:AF244)+SUM(AF250:AF253)</f>
        <v>0</v>
      </c>
      <c r="AG240" s="1793">
        <f>SUM(AG241:AG244)+SUM(AG250:AG253)</f>
        <v>0</v>
      </c>
      <c r="AH240" s="1793">
        <f>SUM(AH241:AH244)+SUM(AH250:AH253)</f>
        <v>0</v>
      </c>
      <c r="AI240" s="292">
        <f>SUM(AI241:AI244)+SUM(AI250:AI253)</f>
        <v>0</v>
      </c>
      <c r="AJ240" s="292">
        <f>SUM(AJ241:AJ244)+SUM(AJ250:AJ253)</f>
        <v>0</v>
      </c>
      <c r="AK240" s="292">
        <f>SUM(AK241:AK244)+SUM(AK250:AK253)</f>
        <v>0</v>
      </c>
      <c r="AL240" s="292">
        <f>SUM(AL241:AL244)+SUM(AL250:AL253)</f>
        <v>0</v>
      </c>
      <c r="AM240" s="292">
        <f>SUM(AM241:AM244)+SUM(AM250:AM253)</f>
        <v>0</v>
      </c>
      <c r="AN240" s="1793">
        <f>SUM(AN241:AN244)+SUM(AN250:AN253)</f>
        <v>0</v>
      </c>
      <c r="AO240" s="1793">
        <f>SUM(AO241:AO244)+SUM(AO250:AO253)</f>
        <v>0</v>
      </c>
      <c r="AP240" s="1793">
        <f>SUM(AP241:AP244)+SUM(AP250:AP253)</f>
        <v>0</v>
      </c>
      <c r="AQ240" s="1793">
        <f>SUM(AQ241:AQ244)+SUM(AQ250:AQ253)</f>
        <v>0</v>
      </c>
      <c r="AR240" s="1793">
        <f>SUM(AR241:AR244)+SUM(AR250:AR253)</f>
        <v>0</v>
      </c>
      <c r="AS240" s="292">
        <f>SUM(AS241:AS244)+SUM(AS250:AS253)</f>
        <v>0</v>
      </c>
      <c r="AT240" s="292">
        <f>SUM(AT241:AT244)+SUM(AT250:AT253)</f>
        <v>0</v>
      </c>
      <c r="AU240" s="292">
        <f>SUM(AU241:AU244)+SUM(AU250:AU253)</f>
        <v>0</v>
      </c>
      <c r="AV240" s="292">
        <f>SUM(AV241:AV244)+SUM(AV250:AV253)</f>
        <v>0</v>
      </c>
      <c r="AW240" s="292">
        <f>SUM(AW241:AW244)+SUM(AW250:AW253)</f>
        <v>0</v>
      </c>
      <c r="AX240" s="1793">
        <f>SUM(AX241:AX244)+SUM(AX250:AX253)</f>
        <v>0</v>
      </c>
      <c r="AY240" s="1793">
        <f>SUM(AY241:AY244)+SUM(AY250:AY253)</f>
        <v>0</v>
      </c>
      <c r="AZ240" s="1793">
        <f>SUM(AZ241:AZ244)+SUM(AZ250:AZ253)</f>
        <v>0</v>
      </c>
      <c r="BA240" s="1793">
        <f>SUM(BA241:BA244)+SUM(BA250:BA253)</f>
        <v>0</v>
      </c>
      <c r="BB240" s="1793">
        <f>SUM(BB241:BB244)+SUM(BB250:BB253)</f>
        <v>0</v>
      </c>
      <c r="BC240" s="1730"/>
      <c r="BD240" s="214"/>
      <c r="BE240" s="214"/>
      <c r="BF240" s="1170" t="s">
        <v>1055</v>
      </c>
    </row>
    <row s="1619" customFormat="1" customHeight="1" ht="14.25">
      <c r="A241" s="1440"/>
      <c r="B241" s="924"/>
      <c r="C241" s="1440"/>
      <c r="D241" s="1440"/>
      <c r="E241" s="794">
        <v>15</v>
      </c>
      <c r="F241" s="919" cm="1" t="str">
        <f t="array" ref="F241:F241">F240</f>
        <v>2</v>
      </c>
      <c r="G241" s="962"/>
      <c r="H241" s="962"/>
      <c r="I241" s="962"/>
      <c r="J241" s="962"/>
      <c r="K241" s="962"/>
      <c r="L241" s="962"/>
      <c r="M241" s="962"/>
      <c r="N241" s="962"/>
      <c r="O241" s="962"/>
      <c r="P241" s="962"/>
      <c r="Q241" s="925"/>
      <c r="R241" s="925"/>
      <c r="S241" s="962"/>
      <c r="T241" s="816" cm="1" t="str">
        <f t="array" ref="T241:T241">T240</f>
        <v>true</v>
      </c>
      <c r="U241" s="1440"/>
      <c r="V241" s="1440"/>
      <c r="W241" s="1440"/>
      <c r="X241" s="1440"/>
      <c r="Y241" s="1440"/>
      <c r="Z241" s="1440"/>
      <c r="AA241" s="934"/>
      <c r="AB241" s="486" t="str">
        <f>AB240&amp;".1"</f>
        <v>2.1</v>
      </c>
      <c r="AC241" s="487" t="s">
        <v>1018</v>
      </c>
      <c r="AD241" s="486" t="s">
        <v>1019</v>
      </c>
      <c r="AE241" s="1666"/>
      <c r="AF241" s="1666"/>
      <c r="AG241" s="1666"/>
      <c r="AH241" s="1666"/>
      <c r="AI241" s="280"/>
      <c r="AJ241" s="280"/>
      <c r="AK241" s="280"/>
      <c r="AL241" s="280"/>
      <c r="AM241" s="280"/>
      <c r="AN241" s="1666"/>
      <c r="AO241" s="1666"/>
      <c r="AP241" s="1666"/>
      <c r="AQ241" s="1666"/>
      <c r="AR241" s="1666"/>
      <c r="AS241" s="280"/>
      <c r="AT241" s="280"/>
      <c r="AU241" s="280"/>
      <c r="AV241" s="280"/>
      <c r="AW241" s="280"/>
      <c r="AX241" s="1666"/>
      <c r="AY241" s="1666"/>
      <c r="AZ241" s="1666"/>
      <c r="BA241" s="1666"/>
      <c r="BB241" s="1666"/>
      <c r="BC241" s="1730"/>
      <c r="BD241" s="934"/>
      <c r="BE241" s="934"/>
      <c r="BF241" s="1170" t="s">
        <v>1056</v>
      </c>
    </row>
    <row s="1619" customFormat="1" customHeight="1" ht="14.25">
      <c r="A242" s="1440"/>
      <c r="B242" s="924"/>
      <c r="C242" s="1440"/>
      <c r="D242" s="1440"/>
      <c r="E242" s="794">
        <v>15</v>
      </c>
      <c r="F242" s="919" cm="1" t="str">
        <f t="array" ref="F242:F242">F241</f>
        <v>2</v>
      </c>
      <c r="G242" s="962"/>
      <c r="H242" s="962"/>
      <c r="I242" s="962"/>
      <c r="J242" s="962"/>
      <c r="K242" s="962"/>
      <c r="L242" s="962"/>
      <c r="M242" s="962"/>
      <c r="N242" s="962"/>
      <c r="O242" s="962"/>
      <c r="P242" s="962"/>
      <c r="Q242" s="925"/>
      <c r="R242" s="925"/>
      <c r="S242" s="962"/>
      <c r="T242" s="816" cm="1" t="str">
        <f t="array" ref="T242:T242">T241</f>
        <v>true</v>
      </c>
      <c r="U242" s="1440"/>
      <c r="V242" s="1440"/>
      <c r="W242" s="1440"/>
      <c r="X242" s="1440"/>
      <c r="Y242" s="1440"/>
      <c r="Z242" s="1440"/>
      <c r="AA242" s="934"/>
      <c r="AB242" s="486" t="str">
        <f>AB240&amp;".2"</f>
        <v>2.2</v>
      </c>
      <c r="AC242" s="487" t="s">
        <v>1021</v>
      </c>
      <c r="AD242" s="486" t="s">
        <v>1019</v>
      </c>
      <c r="AE242" s="1666"/>
      <c r="AF242" s="1666"/>
      <c r="AG242" s="1666"/>
      <c r="AH242" s="1666"/>
      <c r="AI242" s="280"/>
      <c r="AJ242" s="280"/>
      <c r="AK242" s="280"/>
      <c r="AL242" s="280"/>
      <c r="AM242" s="280"/>
      <c r="AN242" s="1666"/>
      <c r="AO242" s="1666"/>
      <c r="AP242" s="1666"/>
      <c r="AQ242" s="1666"/>
      <c r="AR242" s="1666"/>
      <c r="AS242" s="280"/>
      <c r="AT242" s="280"/>
      <c r="AU242" s="280"/>
      <c r="AV242" s="280"/>
      <c r="AW242" s="280"/>
      <c r="AX242" s="1666"/>
      <c r="AY242" s="1666"/>
      <c r="AZ242" s="1666"/>
      <c r="BA242" s="1666"/>
      <c r="BB242" s="1666"/>
      <c r="BC242" s="1730"/>
      <c r="BD242" s="934"/>
      <c r="BE242" s="934"/>
      <c r="BF242" s="1170" t="s">
        <v>1057</v>
      </c>
    </row>
    <row s="1619" customFormat="1" customHeight="1" ht="14.25">
      <c r="A243" s="1440"/>
      <c r="B243" s="924"/>
      <c r="C243" s="1440"/>
      <c r="D243" s="1440"/>
      <c r="E243" s="794">
        <v>15</v>
      </c>
      <c r="F243" s="919" cm="1" t="str">
        <f t="array" ref="F243:F243">F242</f>
        <v>2</v>
      </c>
      <c r="G243" s="962"/>
      <c r="H243" s="962"/>
      <c r="I243" s="962"/>
      <c r="J243" s="962"/>
      <c r="K243" s="962"/>
      <c r="L243" s="962"/>
      <c r="M243" s="962"/>
      <c r="N243" s="962"/>
      <c r="O243" s="962"/>
      <c r="P243" s="962"/>
      <c r="Q243" s="925"/>
      <c r="R243" s="925"/>
      <c r="S243" s="962"/>
      <c r="T243" s="816" cm="1" t="str">
        <f t="array" ref="T243:T243">T242</f>
        <v>true</v>
      </c>
      <c r="U243" s="1440"/>
      <c r="V243" s="1440"/>
      <c r="W243" s="1440"/>
      <c r="X243" s="1440"/>
      <c r="Y243" s="1440"/>
      <c r="Z243" s="1440"/>
      <c r="AA243" s="934"/>
      <c r="AB243" s="486" t="str">
        <f>AB240&amp;".3"</f>
        <v>2.3</v>
      </c>
      <c r="AC243" s="487" t="s">
        <v>1023</v>
      </c>
      <c r="AD243" s="486" t="s">
        <v>1019</v>
      </c>
      <c r="AE243" s="1666"/>
      <c r="AF243" s="1666"/>
      <c r="AG243" s="1666"/>
      <c r="AH243" s="1666"/>
      <c r="AI243" s="280"/>
      <c r="AJ243" s="280"/>
      <c r="AK243" s="280"/>
      <c r="AL243" s="280"/>
      <c r="AM243" s="280"/>
      <c r="AN243" s="1666"/>
      <c r="AO243" s="1666"/>
      <c r="AP243" s="1666"/>
      <c r="AQ243" s="1666"/>
      <c r="AR243" s="1666"/>
      <c r="AS243" s="280"/>
      <c r="AT243" s="280"/>
      <c r="AU243" s="280"/>
      <c r="AV243" s="280"/>
      <c r="AW243" s="280"/>
      <c r="AX243" s="1666"/>
      <c r="AY243" s="1666"/>
      <c r="AZ243" s="1666"/>
      <c r="BA243" s="1666"/>
      <c r="BB243" s="1666"/>
      <c r="BC243" s="1730"/>
      <c r="BD243" s="934"/>
      <c r="BE243" s="934"/>
      <c r="BF243" s="1170" t="s">
        <v>1058</v>
      </c>
    </row>
    <row s="1619" customFormat="1" customHeight="1" ht="14.25">
      <c r="A244" s="1440"/>
      <c r="B244" s="924"/>
      <c r="C244" s="1440"/>
      <c r="D244" s="1440"/>
      <c r="E244" s="794">
        <v>15</v>
      </c>
      <c r="F244" s="919" cm="1" t="str">
        <f t="array" ref="F244:F244">F243</f>
        <v>2</v>
      </c>
      <c r="G244" s="962"/>
      <c r="H244" s="962"/>
      <c r="I244" s="962"/>
      <c r="J244" s="962"/>
      <c r="K244" s="962"/>
      <c r="L244" s="962"/>
      <c r="M244" s="962"/>
      <c r="N244" s="962"/>
      <c r="O244" s="962"/>
      <c r="P244" s="962"/>
      <c r="Q244" s="925"/>
      <c r="R244" s="925"/>
      <c r="S244" s="962"/>
      <c r="T244" s="816" cm="1" t="str">
        <f t="array" ref="T244:T244">T243</f>
        <v>true</v>
      </c>
      <c r="U244" s="1440"/>
      <c r="V244" s="1440"/>
      <c r="W244" s="1440"/>
      <c r="X244" s="1440"/>
      <c r="Y244" s="1440"/>
      <c r="Z244" s="1440"/>
      <c r="AA244" s="934"/>
      <c r="AB244" s="486" t="str">
        <f>AB240&amp;".4"</f>
        <v>2.4</v>
      </c>
      <c r="AC244" s="487" t="s">
        <v>1025</v>
      </c>
      <c r="AD244" s="486" t="s">
        <v>1019</v>
      </c>
      <c r="AE244" s="1807">
        <f>SUM(AE245:AE249)</f>
        <v>0</v>
      </c>
      <c r="AF244" s="1807">
        <f>SUM(AF245:AF249)</f>
        <v>0</v>
      </c>
      <c r="AG244" s="1807">
        <f>SUM(AG245:AG249)</f>
        <v>0</v>
      </c>
      <c r="AH244" s="1807">
        <f>SUM(AH245:AH249)</f>
        <v>0</v>
      </c>
      <c r="AI244" s="481">
        <f>SUM(AI245:AI249)</f>
        <v>0</v>
      </c>
      <c r="AJ244" s="481">
        <f>SUM(AJ245:AJ249)</f>
        <v>0</v>
      </c>
      <c r="AK244" s="481">
        <f>SUM(AK245:AK249)</f>
        <v>0</v>
      </c>
      <c r="AL244" s="481">
        <f>SUM(AL245:AL249)</f>
        <v>0</v>
      </c>
      <c r="AM244" s="481">
        <f>SUM(AM245:AM249)</f>
        <v>0</v>
      </c>
      <c r="AN244" s="1807">
        <f>SUM(AN245:AN249)</f>
        <v>0</v>
      </c>
      <c r="AO244" s="1807">
        <f>SUM(AO245:AO249)</f>
        <v>0</v>
      </c>
      <c r="AP244" s="1807">
        <f>SUM(AP245:AP249)</f>
        <v>0</v>
      </c>
      <c r="AQ244" s="1807">
        <f>SUM(AQ245:AQ249)</f>
        <v>0</v>
      </c>
      <c r="AR244" s="1807">
        <f>SUM(AR245:AR249)</f>
        <v>0</v>
      </c>
      <c r="AS244" s="481">
        <f>SUM(AS245:AS249)</f>
        <v>0</v>
      </c>
      <c r="AT244" s="481">
        <f>SUM(AT245:AT249)</f>
        <v>0</v>
      </c>
      <c r="AU244" s="481">
        <f>SUM(AU245:AU249)</f>
        <v>0</v>
      </c>
      <c r="AV244" s="481">
        <f>SUM(AV245:AV249)</f>
        <v>0</v>
      </c>
      <c r="AW244" s="481">
        <f>SUM(AW245:AW249)</f>
        <v>0</v>
      </c>
      <c r="AX244" s="1807">
        <f>SUM(AX245:AX249)</f>
        <v>0</v>
      </c>
      <c r="AY244" s="1807">
        <f>SUM(AY245:AY249)</f>
        <v>0</v>
      </c>
      <c r="AZ244" s="1807">
        <f>SUM(AZ245:AZ249)</f>
        <v>0</v>
      </c>
      <c r="BA244" s="1807">
        <f>SUM(BA245:BA249)</f>
        <v>0</v>
      </c>
      <c r="BB244" s="1807">
        <f>SUM(BB245:BB249)</f>
        <v>0</v>
      </c>
      <c r="BC244" s="1730"/>
      <c r="BD244" s="934"/>
      <c r="BE244" s="934"/>
      <c r="BF244" s="1170" t="s">
        <v>1059</v>
      </c>
    </row>
    <row s="1619" customFormat="1" customHeight="1" ht="14.25">
      <c r="A245" s="1440"/>
      <c r="B245" s="924"/>
      <c r="C245" s="1440"/>
      <c r="D245" s="1440"/>
      <c r="E245" s="794">
        <v>15</v>
      </c>
      <c r="F245" s="919" cm="1" t="str">
        <f t="array" ref="F245:F245">F244</f>
        <v>2</v>
      </c>
      <c r="G245" s="962"/>
      <c r="H245" s="962"/>
      <c r="I245" s="962"/>
      <c r="J245" s="962"/>
      <c r="K245" s="962"/>
      <c r="L245" s="962"/>
      <c r="M245" s="962"/>
      <c r="N245" s="962"/>
      <c r="O245" s="962"/>
      <c r="P245" s="962"/>
      <c r="Q245" s="925"/>
      <c r="R245" s="925"/>
      <c r="S245" s="962"/>
      <c r="T245" s="816" cm="1" t="str">
        <f t="array" ref="T245:T245">T244</f>
        <v>true</v>
      </c>
      <c r="U245" s="1440"/>
      <c r="V245" s="1440"/>
      <c r="W245" s="1440"/>
      <c r="X245" s="1440"/>
      <c r="Y245" s="1440"/>
      <c r="Z245" s="1440"/>
      <c r="AA245" s="934"/>
      <c r="AB245" s="486" t="str">
        <f>AB244&amp;".1"</f>
        <v>2.4.1</v>
      </c>
      <c r="AC245" s="488" t="s">
        <v>1028</v>
      </c>
      <c r="AD245" s="486" t="s">
        <v>1019</v>
      </c>
      <c r="AE245" s="1666"/>
      <c r="AF245" s="1666"/>
      <c r="AG245" s="1666"/>
      <c r="AH245" s="1666"/>
      <c r="AI245" s="280"/>
      <c r="AJ245" s="280"/>
      <c r="AK245" s="280"/>
      <c r="AL245" s="280"/>
      <c r="AM245" s="280"/>
      <c r="AN245" s="1666"/>
      <c r="AO245" s="1666"/>
      <c r="AP245" s="1666"/>
      <c r="AQ245" s="1666"/>
      <c r="AR245" s="1666"/>
      <c r="AS245" s="280"/>
      <c r="AT245" s="280"/>
      <c r="AU245" s="280"/>
      <c r="AV245" s="280"/>
      <c r="AW245" s="280"/>
      <c r="AX245" s="1666"/>
      <c r="AY245" s="1666"/>
      <c r="AZ245" s="1666"/>
      <c r="BA245" s="1666"/>
      <c r="BB245" s="1666"/>
      <c r="BC245" s="1730"/>
      <c r="BD245" s="934"/>
      <c r="BE245" s="934"/>
      <c r="BF245" s="1170" t="s">
        <v>1060</v>
      </c>
    </row>
    <row s="1619" customFormat="1" customHeight="1" ht="14.25">
      <c r="A246" s="1440"/>
      <c r="B246" s="924"/>
      <c r="C246" s="1440"/>
      <c r="D246" s="1440"/>
      <c r="E246" s="794">
        <v>15</v>
      </c>
      <c r="F246" s="919" cm="1" t="str">
        <f t="array" ref="F246:F246">F245</f>
        <v>2</v>
      </c>
      <c r="G246" s="962"/>
      <c r="H246" s="962"/>
      <c r="I246" s="962"/>
      <c r="J246" s="962"/>
      <c r="K246" s="962"/>
      <c r="L246" s="962"/>
      <c r="M246" s="962"/>
      <c r="N246" s="962"/>
      <c r="O246" s="962"/>
      <c r="P246" s="962"/>
      <c r="Q246" s="925"/>
      <c r="R246" s="925"/>
      <c r="S246" s="962"/>
      <c r="T246" s="816" cm="1" t="str">
        <f t="array" ref="T246:T246">T245</f>
        <v>true</v>
      </c>
      <c r="U246" s="1440"/>
      <c r="V246" s="1440"/>
      <c r="W246" s="1440"/>
      <c r="X246" s="1440"/>
      <c r="Y246" s="1440"/>
      <c r="Z246" s="1440"/>
      <c r="AA246" s="934"/>
      <c r="AB246" s="486" t="str">
        <f>AB244&amp;".2"</f>
        <v>2.4.2</v>
      </c>
      <c r="AC246" s="488" t="s">
        <v>1031</v>
      </c>
      <c r="AD246" s="486" t="s">
        <v>1019</v>
      </c>
      <c r="AE246" s="1666"/>
      <c r="AF246" s="1666"/>
      <c r="AG246" s="1666"/>
      <c r="AH246" s="1666"/>
      <c r="AI246" s="280"/>
      <c r="AJ246" s="280"/>
      <c r="AK246" s="280"/>
      <c r="AL246" s="280"/>
      <c r="AM246" s="280"/>
      <c r="AN246" s="1666"/>
      <c r="AO246" s="1666"/>
      <c r="AP246" s="1666"/>
      <c r="AQ246" s="1666"/>
      <c r="AR246" s="1666"/>
      <c r="AS246" s="280"/>
      <c r="AT246" s="280"/>
      <c r="AU246" s="280"/>
      <c r="AV246" s="280"/>
      <c r="AW246" s="280"/>
      <c r="AX246" s="1666"/>
      <c r="AY246" s="1666"/>
      <c r="AZ246" s="1666"/>
      <c r="BA246" s="1666"/>
      <c r="BB246" s="1666"/>
      <c r="BC246" s="1730"/>
      <c r="BD246" s="934"/>
      <c r="BE246" s="934"/>
      <c r="BF246" s="1170" t="s">
        <v>1061</v>
      </c>
    </row>
    <row s="1619" customFormat="1" customHeight="1" ht="14.25">
      <c r="A247" s="1440"/>
      <c r="B247" s="924"/>
      <c r="C247" s="1440"/>
      <c r="D247" s="1440"/>
      <c r="E247" s="794">
        <v>15</v>
      </c>
      <c r="F247" s="919" cm="1" t="str">
        <f t="array" ref="F247:F247">F246</f>
        <v>2</v>
      </c>
      <c r="G247" s="962"/>
      <c r="H247" s="962"/>
      <c r="I247" s="962"/>
      <c r="J247" s="962"/>
      <c r="K247" s="962"/>
      <c r="L247" s="962"/>
      <c r="M247" s="962"/>
      <c r="N247" s="962"/>
      <c r="O247" s="962"/>
      <c r="P247" s="962"/>
      <c r="Q247" s="925"/>
      <c r="R247" s="925"/>
      <c r="S247" s="962"/>
      <c r="T247" s="816" cm="1" t="str">
        <f t="array" ref="T247:T247">T246</f>
        <v>true</v>
      </c>
      <c r="U247" s="1440"/>
      <c r="V247" s="1440"/>
      <c r="W247" s="1440"/>
      <c r="X247" s="1440"/>
      <c r="Y247" s="1440"/>
      <c r="Z247" s="1440"/>
      <c r="AA247" s="934"/>
      <c r="AB247" s="486" t="str">
        <f>AB244&amp;".3"</f>
        <v>2.4.3</v>
      </c>
      <c r="AC247" s="488" t="s">
        <v>1034</v>
      </c>
      <c r="AD247" s="486" t="s">
        <v>1019</v>
      </c>
      <c r="AE247" s="1666"/>
      <c r="AF247" s="1666"/>
      <c r="AG247" s="1666"/>
      <c r="AH247" s="1666"/>
      <c r="AI247" s="280"/>
      <c r="AJ247" s="280"/>
      <c r="AK247" s="280"/>
      <c r="AL247" s="280"/>
      <c r="AM247" s="280"/>
      <c r="AN247" s="1666"/>
      <c r="AO247" s="1666"/>
      <c r="AP247" s="1666"/>
      <c r="AQ247" s="1666"/>
      <c r="AR247" s="1666"/>
      <c r="AS247" s="280"/>
      <c r="AT247" s="280"/>
      <c r="AU247" s="280"/>
      <c r="AV247" s="280"/>
      <c r="AW247" s="280"/>
      <c r="AX247" s="1666"/>
      <c r="AY247" s="1666"/>
      <c r="AZ247" s="1666"/>
      <c r="BA247" s="1666"/>
      <c r="BB247" s="1666"/>
      <c r="BC247" s="1730"/>
      <c r="BD247" s="934"/>
      <c r="BE247" s="934"/>
      <c r="BF247" s="1170" t="s">
        <v>1062</v>
      </c>
    </row>
    <row s="1619" customFormat="1" customHeight="1" ht="14.25">
      <c r="A248" s="1440"/>
      <c r="B248" s="924"/>
      <c r="C248" s="1440"/>
      <c r="D248" s="1440"/>
      <c r="E248" s="794">
        <v>15</v>
      </c>
      <c r="F248" s="919" cm="1" t="str">
        <f t="array" ref="F248:F248">F247</f>
        <v>2</v>
      </c>
      <c r="G248" s="962"/>
      <c r="H248" s="962"/>
      <c r="I248" s="962"/>
      <c r="J248" s="962"/>
      <c r="K248" s="962"/>
      <c r="L248" s="962"/>
      <c r="M248" s="962"/>
      <c r="N248" s="962"/>
      <c r="O248" s="962"/>
      <c r="P248" s="962"/>
      <c r="Q248" s="925"/>
      <c r="R248" s="925"/>
      <c r="S248" s="962"/>
      <c r="T248" s="816" cm="1" t="str">
        <f t="array" ref="T248:T248">T247</f>
        <v>true</v>
      </c>
      <c r="U248" s="1440"/>
      <c r="V248" s="1440"/>
      <c r="W248" s="1440"/>
      <c r="X248" s="1440"/>
      <c r="Y248" s="1440"/>
      <c r="Z248" s="1440"/>
      <c r="AA248" s="934"/>
      <c r="AB248" s="486" t="str">
        <f>AB244&amp;".4"</f>
        <v>2.4.4</v>
      </c>
      <c r="AC248" s="488" t="s">
        <v>1037</v>
      </c>
      <c r="AD248" s="486" t="s">
        <v>1019</v>
      </c>
      <c r="AE248" s="1666"/>
      <c r="AF248" s="1666"/>
      <c r="AG248" s="1666"/>
      <c r="AH248" s="1666"/>
      <c r="AI248" s="280"/>
      <c r="AJ248" s="280"/>
      <c r="AK248" s="280"/>
      <c r="AL248" s="280"/>
      <c r="AM248" s="280"/>
      <c r="AN248" s="1666"/>
      <c r="AO248" s="1666"/>
      <c r="AP248" s="1666"/>
      <c r="AQ248" s="1666"/>
      <c r="AR248" s="1666"/>
      <c r="AS248" s="280"/>
      <c r="AT248" s="280"/>
      <c r="AU248" s="280"/>
      <c r="AV248" s="280"/>
      <c r="AW248" s="280"/>
      <c r="AX248" s="1666"/>
      <c r="AY248" s="1666"/>
      <c r="AZ248" s="1666"/>
      <c r="BA248" s="1666"/>
      <c r="BB248" s="1666"/>
      <c r="BC248" s="1730"/>
      <c r="BD248" s="934"/>
      <c r="BE248" s="934"/>
      <c r="BF248" s="1170" t="s">
        <v>1063</v>
      </c>
    </row>
    <row s="1619" customFormat="1" customHeight="1" ht="14.25">
      <c r="A249" s="1440"/>
      <c r="B249" s="924"/>
      <c r="C249" s="1440"/>
      <c r="D249" s="1440"/>
      <c r="E249" s="794">
        <v>15</v>
      </c>
      <c r="F249" s="919" cm="1" t="str">
        <f t="array" ref="F249:F249">F248</f>
        <v>2</v>
      </c>
      <c r="G249" s="962"/>
      <c r="H249" s="962"/>
      <c r="I249" s="962"/>
      <c r="J249" s="962"/>
      <c r="K249" s="962"/>
      <c r="L249" s="962"/>
      <c r="M249" s="962"/>
      <c r="N249" s="962"/>
      <c r="O249" s="962"/>
      <c r="P249" s="962"/>
      <c r="Q249" s="925"/>
      <c r="R249" s="925"/>
      <c r="S249" s="962"/>
      <c r="T249" s="816" cm="1" t="str">
        <f t="array" ref="T249:T249">T248</f>
        <v>true</v>
      </c>
      <c r="U249" s="1440"/>
      <c r="V249" s="1440"/>
      <c r="W249" s="1440"/>
      <c r="X249" s="1440"/>
      <c r="Y249" s="1440"/>
      <c r="Z249" s="1440"/>
      <c r="AA249" s="934"/>
      <c r="AB249" s="486" t="str">
        <f>AB244&amp;".5"</f>
        <v>2.4.5</v>
      </c>
      <c r="AC249" s="488" t="s">
        <v>1040</v>
      </c>
      <c r="AD249" s="486" t="s">
        <v>1019</v>
      </c>
      <c r="AE249" s="1666"/>
      <c r="AF249" s="1666"/>
      <c r="AG249" s="1666"/>
      <c r="AH249" s="1666"/>
      <c r="AI249" s="280"/>
      <c r="AJ249" s="280"/>
      <c r="AK249" s="280"/>
      <c r="AL249" s="280"/>
      <c r="AM249" s="280"/>
      <c r="AN249" s="1666"/>
      <c r="AO249" s="1666"/>
      <c r="AP249" s="1666"/>
      <c r="AQ249" s="1666"/>
      <c r="AR249" s="1666"/>
      <c r="AS249" s="280"/>
      <c r="AT249" s="280"/>
      <c r="AU249" s="280"/>
      <c r="AV249" s="280"/>
      <c r="AW249" s="280"/>
      <c r="AX249" s="1666"/>
      <c r="AY249" s="1666"/>
      <c r="AZ249" s="1666"/>
      <c r="BA249" s="1666"/>
      <c r="BB249" s="1666"/>
      <c r="BC249" s="1730"/>
      <c r="BD249" s="934"/>
      <c r="BE249" s="934"/>
      <c r="BF249" s="1170" t="s">
        <v>1064</v>
      </c>
    </row>
    <row s="1619" customFormat="1" customHeight="1" ht="14.25">
      <c r="A250" s="1440"/>
      <c r="B250" s="924"/>
      <c r="C250" s="1440"/>
      <c r="D250" s="1440"/>
      <c r="E250" s="794">
        <v>15</v>
      </c>
      <c r="F250" s="919" cm="1" t="str">
        <f t="array" ref="F250:F250">F249</f>
        <v>2</v>
      </c>
      <c r="G250" s="962"/>
      <c r="H250" s="962"/>
      <c r="I250" s="962"/>
      <c r="J250" s="962"/>
      <c r="K250" s="962"/>
      <c r="L250" s="962"/>
      <c r="M250" s="962"/>
      <c r="N250" s="962"/>
      <c r="O250" s="962"/>
      <c r="P250" s="962"/>
      <c r="Q250" s="925"/>
      <c r="R250" s="925"/>
      <c r="S250" s="962"/>
      <c r="T250" s="816" cm="1" t="str">
        <f t="array" ref="T250:T250">T249</f>
        <v>true</v>
      </c>
      <c r="U250" s="1440"/>
      <c r="V250" s="1440"/>
      <c r="W250" s="1440"/>
      <c r="X250" s="1440"/>
      <c r="Y250" s="1440"/>
      <c r="Z250" s="1440"/>
      <c r="AA250" s="934"/>
      <c r="AB250" s="486" t="str">
        <f>AB240&amp;".5"</f>
        <v>2.5</v>
      </c>
      <c r="AC250" s="487" t="s">
        <v>1043</v>
      </c>
      <c r="AD250" s="486" t="s">
        <v>1019</v>
      </c>
      <c r="AE250" s="1666"/>
      <c r="AF250" s="1666"/>
      <c r="AG250" s="1666"/>
      <c r="AH250" s="1666"/>
      <c r="AI250" s="280"/>
      <c r="AJ250" s="280"/>
      <c r="AK250" s="280"/>
      <c r="AL250" s="280"/>
      <c r="AM250" s="280"/>
      <c r="AN250" s="1666"/>
      <c r="AO250" s="1666"/>
      <c r="AP250" s="1666"/>
      <c r="AQ250" s="1666"/>
      <c r="AR250" s="1666"/>
      <c r="AS250" s="280"/>
      <c r="AT250" s="280"/>
      <c r="AU250" s="280"/>
      <c r="AV250" s="280"/>
      <c r="AW250" s="280"/>
      <c r="AX250" s="1666"/>
      <c r="AY250" s="1666"/>
      <c r="AZ250" s="1666"/>
      <c r="BA250" s="1666"/>
      <c r="BB250" s="1666"/>
      <c r="BC250" s="1730"/>
      <c r="BD250" s="934"/>
      <c r="BE250" s="934"/>
      <c r="BF250" s="1170" t="s">
        <v>1065</v>
      </c>
    </row>
    <row s="1619" customFormat="1" customHeight="1" ht="14.25">
      <c r="A251" s="1440"/>
      <c r="B251" s="924"/>
      <c r="C251" s="1440"/>
      <c r="D251" s="1440"/>
      <c r="E251" s="794">
        <v>15</v>
      </c>
      <c r="F251" s="919" cm="1" t="str">
        <f t="array" ref="F251:F251">F250</f>
        <v>2</v>
      </c>
      <c r="G251" s="962"/>
      <c r="H251" s="962"/>
      <c r="I251" s="962"/>
      <c r="J251" s="962"/>
      <c r="K251" s="962"/>
      <c r="L251" s="962"/>
      <c r="M251" s="962"/>
      <c r="N251" s="962"/>
      <c r="O251" s="962"/>
      <c r="P251" s="962"/>
      <c r="Q251" s="925"/>
      <c r="R251" s="925"/>
      <c r="S251" s="962"/>
      <c r="T251" s="816" cm="1" t="str">
        <f t="array" ref="T251:T251">T250</f>
        <v>true</v>
      </c>
      <c r="U251" s="1440"/>
      <c r="V251" s="1440"/>
      <c r="W251" s="1440"/>
      <c r="X251" s="1440"/>
      <c r="Y251" s="1440"/>
      <c r="Z251" s="1440"/>
      <c r="AA251" s="934"/>
      <c r="AB251" s="486" t="str">
        <f>AB240&amp;".6"</f>
        <v>2.6</v>
      </c>
      <c r="AC251" s="487" t="s">
        <v>1046</v>
      </c>
      <c r="AD251" s="486" t="s">
        <v>1019</v>
      </c>
      <c r="AE251" s="1666"/>
      <c r="AF251" s="1666"/>
      <c r="AG251" s="1666"/>
      <c r="AH251" s="1666"/>
      <c r="AI251" s="280"/>
      <c r="AJ251" s="280"/>
      <c r="AK251" s="280"/>
      <c r="AL251" s="280"/>
      <c r="AM251" s="280"/>
      <c r="AN251" s="1666"/>
      <c r="AO251" s="1666"/>
      <c r="AP251" s="1666"/>
      <c r="AQ251" s="1666"/>
      <c r="AR251" s="1666"/>
      <c r="AS251" s="280"/>
      <c r="AT251" s="280"/>
      <c r="AU251" s="280"/>
      <c r="AV251" s="280"/>
      <c r="AW251" s="280"/>
      <c r="AX251" s="1666"/>
      <c r="AY251" s="1666"/>
      <c r="AZ251" s="1666"/>
      <c r="BA251" s="1666"/>
      <c r="BB251" s="1666"/>
      <c r="BC251" s="1730"/>
      <c r="BD251" s="934"/>
      <c r="BE251" s="934"/>
      <c r="BF251" s="1170" t="s">
        <v>1066</v>
      </c>
    </row>
    <row s="1619" customFormat="1" customHeight="1" ht="14.25">
      <c r="A252" s="1440"/>
      <c r="B252" s="924"/>
      <c r="C252" s="1440"/>
      <c r="D252" s="1440"/>
      <c r="E252" s="794">
        <v>15</v>
      </c>
      <c r="F252" s="919" cm="1" t="str">
        <f t="array" ref="F252:F252">F251</f>
        <v>2</v>
      </c>
      <c r="G252" s="962"/>
      <c r="H252" s="962"/>
      <c r="I252" s="962"/>
      <c r="J252" s="962"/>
      <c r="K252" s="962"/>
      <c r="L252" s="962"/>
      <c r="M252" s="962"/>
      <c r="N252" s="962"/>
      <c r="O252" s="962"/>
      <c r="P252" s="962"/>
      <c r="Q252" s="925"/>
      <c r="R252" s="925"/>
      <c r="S252" s="962"/>
      <c r="T252" s="816" cm="1" t="str">
        <f t="array" ref="T252:T252">T251</f>
        <v>true</v>
      </c>
      <c r="U252" s="1440"/>
      <c r="V252" s="1440"/>
      <c r="W252" s="1440"/>
      <c r="X252" s="1440"/>
      <c r="Y252" s="1440"/>
      <c r="Z252" s="1440"/>
      <c r="AA252" s="934"/>
      <c r="AB252" s="486" t="str">
        <f>AB240&amp;".7"</f>
        <v>2.7</v>
      </c>
      <c r="AC252" s="487" t="s">
        <v>1049</v>
      </c>
      <c r="AD252" s="486" t="s">
        <v>1019</v>
      </c>
      <c r="AE252" s="1666"/>
      <c r="AF252" s="1666"/>
      <c r="AG252" s="1666"/>
      <c r="AH252" s="1666"/>
      <c r="AI252" s="280"/>
      <c r="AJ252" s="280"/>
      <c r="AK252" s="280"/>
      <c r="AL252" s="280"/>
      <c r="AM252" s="280"/>
      <c r="AN252" s="1666"/>
      <c r="AO252" s="1666"/>
      <c r="AP252" s="1666"/>
      <c r="AQ252" s="1666"/>
      <c r="AR252" s="1666"/>
      <c r="AS252" s="280"/>
      <c r="AT252" s="280"/>
      <c r="AU252" s="280"/>
      <c r="AV252" s="280"/>
      <c r="AW252" s="280"/>
      <c r="AX252" s="1666"/>
      <c r="AY252" s="1666"/>
      <c r="AZ252" s="1666"/>
      <c r="BA252" s="1666"/>
      <c r="BB252" s="1666"/>
      <c r="BC252" s="1730"/>
      <c r="BD252" s="934"/>
      <c r="BE252" s="934"/>
      <c r="BF252" s="1170" t="s">
        <v>1067</v>
      </c>
    </row>
    <row s="1619" customFormat="1" customHeight="1" ht="14.25">
      <c r="A253" s="1440"/>
      <c r="B253" s="924"/>
      <c r="C253" s="1440"/>
      <c r="D253" s="1440"/>
      <c r="E253" s="794">
        <v>15</v>
      </c>
      <c r="F253" s="919" cm="1" t="str">
        <f t="array" ref="F253:F253">F252</f>
        <v>2</v>
      </c>
      <c r="G253" s="962"/>
      <c r="H253" s="962"/>
      <c r="I253" s="962"/>
      <c r="J253" s="962"/>
      <c r="K253" s="962"/>
      <c r="L253" s="962"/>
      <c r="M253" s="962"/>
      <c r="N253" s="962"/>
      <c r="O253" s="962"/>
      <c r="P253" s="962"/>
      <c r="Q253" s="925"/>
      <c r="R253" s="925"/>
      <c r="S253" s="962"/>
      <c r="T253" s="816" cm="1" t="str">
        <f t="array" ref="T253:T253">T252</f>
        <v>true</v>
      </c>
      <c r="U253" s="1440"/>
      <c r="V253" s="1440"/>
      <c r="W253" s="1440"/>
      <c r="X253" s="1440"/>
      <c r="Y253" s="1440"/>
      <c r="Z253" s="1440"/>
      <c r="AA253" s="934"/>
      <c r="AB253" s="486" t="str">
        <f>AB240&amp;".8"</f>
        <v>2.8</v>
      </c>
      <c r="AC253" s="487" t="s">
        <v>1052</v>
      </c>
      <c r="AD253" s="486" t="s">
        <v>1019</v>
      </c>
      <c r="AE253" s="1666"/>
      <c r="AF253" s="1666"/>
      <c r="AG253" s="1666"/>
      <c r="AH253" s="1666"/>
      <c r="AI253" s="280"/>
      <c r="AJ253" s="280"/>
      <c r="AK253" s="280"/>
      <c r="AL253" s="280"/>
      <c r="AM253" s="280"/>
      <c r="AN253" s="1666"/>
      <c r="AO253" s="1666"/>
      <c r="AP253" s="1666"/>
      <c r="AQ253" s="1666"/>
      <c r="AR253" s="1666"/>
      <c r="AS253" s="280"/>
      <c r="AT253" s="280"/>
      <c r="AU253" s="280"/>
      <c r="AV253" s="280"/>
      <c r="AW253" s="280"/>
      <c r="AX253" s="1666"/>
      <c r="AY253" s="1666"/>
      <c r="AZ253" s="1666"/>
      <c r="BA253" s="1666"/>
      <c r="BB253" s="1666"/>
      <c r="BC253" s="1730"/>
      <c r="BD253" s="934"/>
      <c r="BE253" s="934"/>
      <c r="BF253" s="1170" t="s">
        <v>1068</v>
      </c>
    </row>
    <row s="214" customFormat="1" customHeight="1" ht="14.25">
      <c r="A254" s="214"/>
      <c r="B254" s="214"/>
      <c r="C254" s="214"/>
      <c r="D254" s="214"/>
      <c r="E254" s="794">
        <v>15</v>
      </c>
      <c r="F254" s="919" cm="1" t="str">
        <f t="array" ref="F254:F254">F253</f>
        <v>2</v>
      </c>
      <c r="G254" s="214"/>
      <c r="H254" s="214"/>
      <c r="I254" s="214"/>
      <c r="J254" s="214"/>
      <c r="K254" s="214"/>
      <c r="L254" s="214"/>
      <c r="M254" s="214"/>
      <c r="N254" s="214"/>
      <c r="O254" s="214"/>
      <c r="P254" s="214"/>
      <c r="Q254" s="214"/>
      <c r="R254" s="214"/>
      <c r="S254" s="214"/>
      <c r="T254" s="816" cm="1" t="str">
        <f t="array" ref="T254:T254">T253</f>
        <v>true</v>
      </c>
      <c r="U254" s="214"/>
      <c r="V254" s="214"/>
      <c r="W254" s="214"/>
      <c r="X254" s="214"/>
      <c r="Y254" s="214"/>
      <c r="Z254" s="214"/>
      <c r="AA254" s="214"/>
      <c r="AB254" s="277">
        <v>3</v>
      </c>
      <c r="AC254" s="278" t="s">
        <v>1069</v>
      </c>
      <c r="AD254" s="153" t="s">
        <v>805</v>
      </c>
      <c r="AE254" s="1793">
        <f>SUM(AE255:AE258)+SUM(AE264:AE267)</f>
        <v>0</v>
      </c>
      <c r="AF254" s="1793">
        <f>SUM(AF255:AF258)+SUM(AF264:AF267)</f>
        <v>0</v>
      </c>
      <c r="AG254" s="1793">
        <f>SUM(AG255:AG258)+SUM(AG264:AG267)</f>
        <v>0</v>
      </c>
      <c r="AH254" s="1793">
        <f>SUM(AH255:AH258)+SUM(AH264:AH267)</f>
        <v>0</v>
      </c>
      <c r="AI254" s="292">
        <f>SUM(AI255:AI258)+SUM(AI264:AI267)</f>
        <v>0</v>
      </c>
      <c r="AJ254" s="292">
        <f>SUM(AJ255:AJ258)+SUM(AJ264:AJ267)</f>
        <v>0</v>
      </c>
      <c r="AK254" s="292">
        <f>SUM(AK255:AK258)+SUM(AK264:AK267)</f>
        <v>0</v>
      </c>
      <c r="AL254" s="292">
        <f>SUM(AL255:AL258)+SUM(AL264:AL267)</f>
        <v>0</v>
      </c>
      <c r="AM254" s="292">
        <f>SUM(AM255:AM258)+SUM(AM264:AM267)</f>
        <v>0</v>
      </c>
      <c r="AN254" s="1793">
        <f>SUM(AN255:AN258)+SUM(AN264:AN267)</f>
        <v>0</v>
      </c>
      <c r="AO254" s="1793">
        <f>SUM(AO255:AO258)+SUM(AO264:AO267)</f>
        <v>0</v>
      </c>
      <c r="AP254" s="1793">
        <f>SUM(AP255:AP258)+SUM(AP264:AP267)</f>
        <v>0</v>
      </c>
      <c r="AQ254" s="1793">
        <f>SUM(AQ255:AQ258)+SUM(AQ264:AQ267)</f>
        <v>0</v>
      </c>
      <c r="AR254" s="1793">
        <f>SUM(AR255:AR258)+SUM(AR264:AR267)</f>
        <v>0</v>
      </c>
      <c r="AS254" s="292">
        <f>SUM(AS255:AS258)+SUM(AS264:AS267)</f>
        <v>0</v>
      </c>
      <c r="AT254" s="292">
        <f>SUM(AT255:AT258)+SUM(AT264:AT267)</f>
        <v>0</v>
      </c>
      <c r="AU254" s="292">
        <f>SUM(AU255:AU258)+SUM(AU264:AU267)</f>
        <v>0</v>
      </c>
      <c r="AV254" s="292">
        <f>SUM(AV255:AV258)+SUM(AV264:AV267)</f>
        <v>0</v>
      </c>
      <c r="AW254" s="292">
        <f>SUM(AW255:AW258)+SUM(AW264:AW267)</f>
        <v>0</v>
      </c>
      <c r="AX254" s="1793">
        <f>SUM(AX255:AX258)+SUM(AX264:AX267)</f>
        <v>0</v>
      </c>
      <c r="AY254" s="1793">
        <f>SUM(AY255:AY258)+SUM(AY264:AY267)</f>
        <v>0</v>
      </c>
      <c r="AZ254" s="1793">
        <f>SUM(AZ255:AZ258)+SUM(AZ264:AZ267)</f>
        <v>0</v>
      </c>
      <c r="BA254" s="1793">
        <f>SUM(BA255:BA258)+SUM(BA264:BA267)</f>
        <v>0</v>
      </c>
      <c r="BB254" s="1793">
        <f>SUM(BB255:BB258)+SUM(BB264:BB267)</f>
        <v>0</v>
      </c>
      <c r="BC254" s="1730"/>
      <c r="BD254" s="214"/>
      <c r="BE254" s="214"/>
      <c r="BF254" s="1170" t="s">
        <v>1070</v>
      </c>
    </row>
    <row s="1619" customFormat="1" customHeight="1" ht="14.25">
      <c r="A255" s="1440"/>
      <c r="B255" s="924"/>
      <c r="C255" s="1440"/>
      <c r="D255" s="1440"/>
      <c r="E255" s="794">
        <v>15</v>
      </c>
      <c r="F255" s="919" cm="1" t="str">
        <f t="array" ref="F255:F255">F254</f>
        <v>2</v>
      </c>
      <c r="G255" s="962"/>
      <c r="H255" s="962"/>
      <c r="I255" s="962"/>
      <c r="J255" s="962"/>
      <c r="K255" s="962"/>
      <c r="L255" s="962"/>
      <c r="M255" s="962"/>
      <c r="N255" s="962"/>
      <c r="O255" s="962"/>
      <c r="P255" s="962"/>
      <c r="Q255" s="925"/>
      <c r="R255" s="925"/>
      <c r="S255" s="962"/>
      <c r="T255" s="816" cm="1" t="str">
        <f t="array" ref="T255:T255">T254</f>
        <v>true</v>
      </c>
      <c r="U255" s="1440"/>
      <c r="V255" s="1440"/>
      <c r="W255" s="1440"/>
      <c r="X255" s="1440"/>
      <c r="Y255" s="1440"/>
      <c r="Z255" s="1440"/>
      <c r="AA255" s="934"/>
      <c r="AB255" s="486" t="str">
        <f>AB254&amp;".1"</f>
        <v>3.1</v>
      </c>
      <c r="AC255" s="487" t="s">
        <v>1018</v>
      </c>
      <c r="AD255" s="486" t="s">
        <v>1019</v>
      </c>
      <c r="AE255" s="1666"/>
      <c r="AF255" s="1666"/>
      <c r="AG255" s="1666"/>
      <c r="AH255" s="1666"/>
      <c r="AI255" s="280"/>
      <c r="AJ255" s="280"/>
      <c r="AK255" s="280"/>
      <c r="AL255" s="280"/>
      <c r="AM255" s="280"/>
      <c r="AN255" s="1666"/>
      <c r="AO255" s="1666"/>
      <c r="AP255" s="1666"/>
      <c r="AQ255" s="1666"/>
      <c r="AR255" s="1666"/>
      <c r="AS255" s="280"/>
      <c r="AT255" s="280"/>
      <c r="AU255" s="280"/>
      <c r="AV255" s="280"/>
      <c r="AW255" s="280"/>
      <c r="AX255" s="1666"/>
      <c r="AY255" s="1666"/>
      <c r="AZ255" s="1666"/>
      <c r="BA255" s="1666"/>
      <c r="BB255" s="1666"/>
      <c r="BC255" s="1730"/>
      <c r="BD255" s="934"/>
      <c r="BE255" s="934"/>
      <c r="BF255" s="1170" t="s">
        <v>1071</v>
      </c>
    </row>
    <row s="1619" customFormat="1" customHeight="1" ht="14.25">
      <c r="A256" s="1440"/>
      <c r="B256" s="924"/>
      <c r="C256" s="1440"/>
      <c r="D256" s="1440"/>
      <c r="E256" s="794">
        <v>15</v>
      </c>
      <c r="F256" s="919" cm="1" t="str">
        <f t="array" ref="F256:F256">F255</f>
        <v>2</v>
      </c>
      <c r="G256" s="962"/>
      <c r="H256" s="962"/>
      <c r="I256" s="962"/>
      <c r="J256" s="962"/>
      <c r="K256" s="962"/>
      <c r="L256" s="962"/>
      <c r="M256" s="962"/>
      <c r="N256" s="962"/>
      <c r="O256" s="962"/>
      <c r="P256" s="962"/>
      <c r="Q256" s="925"/>
      <c r="R256" s="925"/>
      <c r="S256" s="962"/>
      <c r="T256" s="816" cm="1" t="str">
        <f t="array" ref="T256:T256">T255</f>
        <v>true</v>
      </c>
      <c r="U256" s="1440"/>
      <c r="V256" s="1440"/>
      <c r="W256" s="1440"/>
      <c r="X256" s="1440"/>
      <c r="Y256" s="1440"/>
      <c r="Z256" s="1440"/>
      <c r="AA256" s="934"/>
      <c r="AB256" s="486" t="str">
        <f>AB254&amp;".2"</f>
        <v>3.2</v>
      </c>
      <c r="AC256" s="487" t="s">
        <v>1021</v>
      </c>
      <c r="AD256" s="486" t="s">
        <v>1019</v>
      </c>
      <c r="AE256" s="1666"/>
      <c r="AF256" s="1666"/>
      <c r="AG256" s="1666"/>
      <c r="AH256" s="1666"/>
      <c r="AI256" s="280"/>
      <c r="AJ256" s="280"/>
      <c r="AK256" s="280"/>
      <c r="AL256" s="280"/>
      <c r="AM256" s="280"/>
      <c r="AN256" s="1666"/>
      <c r="AO256" s="1666"/>
      <c r="AP256" s="1666"/>
      <c r="AQ256" s="1666"/>
      <c r="AR256" s="1666"/>
      <c r="AS256" s="280"/>
      <c r="AT256" s="280"/>
      <c r="AU256" s="280"/>
      <c r="AV256" s="280"/>
      <c r="AW256" s="280"/>
      <c r="AX256" s="1666"/>
      <c r="AY256" s="1666"/>
      <c r="AZ256" s="1666"/>
      <c r="BA256" s="1666"/>
      <c r="BB256" s="1666"/>
      <c r="BC256" s="1730"/>
      <c r="BD256" s="934"/>
      <c r="BE256" s="934"/>
      <c r="BF256" s="1170" t="s">
        <v>1072</v>
      </c>
    </row>
    <row s="1619" customFormat="1" customHeight="1" ht="14.25">
      <c r="A257" s="1440"/>
      <c r="B257" s="924"/>
      <c r="C257" s="1440"/>
      <c r="D257" s="1440"/>
      <c r="E257" s="794">
        <v>15</v>
      </c>
      <c r="F257" s="919" cm="1" t="str">
        <f t="array" ref="F257:F257">F256</f>
        <v>2</v>
      </c>
      <c r="G257" s="962"/>
      <c r="H257" s="962"/>
      <c r="I257" s="962"/>
      <c r="J257" s="962"/>
      <c r="K257" s="962"/>
      <c r="L257" s="962"/>
      <c r="M257" s="962"/>
      <c r="N257" s="962"/>
      <c r="O257" s="962"/>
      <c r="P257" s="962"/>
      <c r="Q257" s="925"/>
      <c r="R257" s="925"/>
      <c r="S257" s="962"/>
      <c r="T257" s="816" cm="1" t="str">
        <f t="array" ref="T257:T257">T256</f>
        <v>true</v>
      </c>
      <c r="U257" s="1440"/>
      <c r="V257" s="1440"/>
      <c r="W257" s="1440"/>
      <c r="X257" s="1440"/>
      <c r="Y257" s="1440"/>
      <c r="Z257" s="1440"/>
      <c r="AA257" s="934"/>
      <c r="AB257" s="486" t="str">
        <f>AB254&amp;".3"</f>
        <v>3.3</v>
      </c>
      <c r="AC257" s="487" t="s">
        <v>1023</v>
      </c>
      <c r="AD257" s="486" t="s">
        <v>1019</v>
      </c>
      <c r="AE257" s="1666"/>
      <c r="AF257" s="1666"/>
      <c r="AG257" s="1666"/>
      <c r="AH257" s="1666"/>
      <c r="AI257" s="280"/>
      <c r="AJ257" s="280"/>
      <c r="AK257" s="280"/>
      <c r="AL257" s="280"/>
      <c r="AM257" s="280"/>
      <c r="AN257" s="1666"/>
      <c r="AO257" s="1666"/>
      <c r="AP257" s="1666"/>
      <c r="AQ257" s="1666"/>
      <c r="AR257" s="1666"/>
      <c r="AS257" s="280"/>
      <c r="AT257" s="280"/>
      <c r="AU257" s="280"/>
      <c r="AV257" s="280"/>
      <c r="AW257" s="280"/>
      <c r="AX257" s="1666"/>
      <c r="AY257" s="1666"/>
      <c r="AZ257" s="1666"/>
      <c r="BA257" s="1666"/>
      <c r="BB257" s="1666"/>
      <c r="BC257" s="1730"/>
      <c r="BD257" s="934"/>
      <c r="BE257" s="934"/>
      <c r="BF257" s="1170" t="s">
        <v>1073</v>
      </c>
    </row>
    <row s="1619" customFormat="1" customHeight="1" ht="14.25">
      <c r="A258" s="1440"/>
      <c r="B258" s="924"/>
      <c r="C258" s="1440"/>
      <c r="D258" s="1440"/>
      <c r="E258" s="794">
        <v>15</v>
      </c>
      <c r="F258" s="919" cm="1" t="str">
        <f t="array" ref="F258:F258">F257</f>
        <v>2</v>
      </c>
      <c r="G258" s="962"/>
      <c r="H258" s="962"/>
      <c r="I258" s="962"/>
      <c r="J258" s="962"/>
      <c r="K258" s="962"/>
      <c r="L258" s="962"/>
      <c r="M258" s="962"/>
      <c r="N258" s="962"/>
      <c r="O258" s="962"/>
      <c r="P258" s="962"/>
      <c r="Q258" s="925"/>
      <c r="R258" s="925"/>
      <c r="S258" s="962"/>
      <c r="T258" s="816" cm="1" t="str">
        <f t="array" ref="T258:T258">T257</f>
        <v>true</v>
      </c>
      <c r="U258" s="1440"/>
      <c r="V258" s="1440"/>
      <c r="W258" s="1440"/>
      <c r="X258" s="1440"/>
      <c r="Y258" s="1440"/>
      <c r="Z258" s="1440"/>
      <c r="AA258" s="934"/>
      <c r="AB258" s="486" t="str">
        <f>AB254&amp;".4"</f>
        <v>3.4</v>
      </c>
      <c r="AC258" s="487" t="s">
        <v>1025</v>
      </c>
      <c r="AD258" s="486" t="s">
        <v>1019</v>
      </c>
      <c r="AE258" s="1807">
        <f>SUM(AE259:AE263)</f>
        <v>0</v>
      </c>
      <c r="AF258" s="1807">
        <f>SUM(AF259:AF263)</f>
        <v>0</v>
      </c>
      <c r="AG258" s="1807">
        <f>SUM(AG259:AG263)</f>
        <v>0</v>
      </c>
      <c r="AH258" s="1807">
        <f>SUM(AH259:AH263)</f>
        <v>0</v>
      </c>
      <c r="AI258" s="481">
        <f>SUM(AI259:AI263)</f>
        <v>0</v>
      </c>
      <c r="AJ258" s="481">
        <f>SUM(AJ259:AJ263)</f>
        <v>0</v>
      </c>
      <c r="AK258" s="481">
        <f>SUM(AK259:AK263)</f>
        <v>0</v>
      </c>
      <c r="AL258" s="481">
        <f>SUM(AL259:AL263)</f>
        <v>0</v>
      </c>
      <c r="AM258" s="481">
        <f>SUM(AM259:AM263)</f>
        <v>0</v>
      </c>
      <c r="AN258" s="1807">
        <f>SUM(AN259:AN263)</f>
        <v>0</v>
      </c>
      <c r="AO258" s="1807">
        <f>SUM(AO259:AO263)</f>
        <v>0</v>
      </c>
      <c r="AP258" s="1807">
        <f>SUM(AP259:AP263)</f>
        <v>0</v>
      </c>
      <c r="AQ258" s="1807">
        <f>SUM(AQ259:AQ263)</f>
        <v>0</v>
      </c>
      <c r="AR258" s="1807">
        <f>SUM(AR259:AR263)</f>
        <v>0</v>
      </c>
      <c r="AS258" s="481">
        <f>SUM(AS259:AS263)</f>
        <v>0</v>
      </c>
      <c r="AT258" s="481">
        <f>SUM(AT259:AT263)</f>
        <v>0</v>
      </c>
      <c r="AU258" s="481">
        <f>SUM(AU259:AU263)</f>
        <v>0</v>
      </c>
      <c r="AV258" s="481">
        <f>SUM(AV259:AV263)</f>
        <v>0</v>
      </c>
      <c r="AW258" s="481">
        <f>SUM(AW259:AW263)</f>
        <v>0</v>
      </c>
      <c r="AX258" s="1807">
        <f>SUM(AX259:AX263)</f>
        <v>0</v>
      </c>
      <c r="AY258" s="1807">
        <f>SUM(AY259:AY263)</f>
        <v>0</v>
      </c>
      <c r="AZ258" s="1807">
        <f>SUM(AZ259:AZ263)</f>
        <v>0</v>
      </c>
      <c r="BA258" s="1807">
        <f>SUM(BA259:BA263)</f>
        <v>0</v>
      </c>
      <c r="BB258" s="1807">
        <f>SUM(BB259:BB263)</f>
        <v>0</v>
      </c>
      <c r="BC258" s="1730"/>
      <c r="BD258" s="934"/>
      <c r="BE258" s="934"/>
      <c r="BF258" s="1170" t="s">
        <v>1074</v>
      </c>
    </row>
    <row s="1619" customFormat="1" customHeight="1" ht="14.25">
      <c r="A259" s="1440"/>
      <c r="B259" s="924"/>
      <c r="C259" s="1440"/>
      <c r="D259" s="1440"/>
      <c r="E259" s="794">
        <v>15</v>
      </c>
      <c r="F259" s="919" cm="1" t="str">
        <f t="array" ref="F259:F259">F258</f>
        <v>2</v>
      </c>
      <c r="G259" s="962"/>
      <c r="H259" s="962"/>
      <c r="I259" s="962"/>
      <c r="J259" s="962"/>
      <c r="K259" s="962"/>
      <c r="L259" s="962"/>
      <c r="M259" s="962"/>
      <c r="N259" s="962"/>
      <c r="O259" s="962"/>
      <c r="P259" s="962"/>
      <c r="Q259" s="925"/>
      <c r="R259" s="925"/>
      <c r="S259" s="962"/>
      <c r="T259" s="816" cm="1" t="str">
        <f t="array" ref="T259:T259">T258</f>
        <v>true</v>
      </c>
      <c r="U259" s="1440"/>
      <c r="V259" s="1440"/>
      <c r="W259" s="1440"/>
      <c r="X259" s="1440"/>
      <c r="Y259" s="1440"/>
      <c r="Z259" s="1440"/>
      <c r="AA259" s="934"/>
      <c r="AB259" s="486" t="str">
        <f>AB258&amp;".1"</f>
        <v>3.4.1</v>
      </c>
      <c r="AC259" s="488" t="s">
        <v>1028</v>
      </c>
      <c r="AD259" s="486" t="s">
        <v>1019</v>
      </c>
      <c r="AE259" s="1666"/>
      <c r="AF259" s="1666"/>
      <c r="AG259" s="1666"/>
      <c r="AH259" s="1666"/>
      <c r="AI259" s="280"/>
      <c r="AJ259" s="280"/>
      <c r="AK259" s="280"/>
      <c r="AL259" s="280"/>
      <c r="AM259" s="280"/>
      <c r="AN259" s="1666"/>
      <c r="AO259" s="1666"/>
      <c r="AP259" s="1666"/>
      <c r="AQ259" s="1666"/>
      <c r="AR259" s="1666"/>
      <c r="AS259" s="280"/>
      <c r="AT259" s="280"/>
      <c r="AU259" s="280"/>
      <c r="AV259" s="280"/>
      <c r="AW259" s="280"/>
      <c r="AX259" s="1666"/>
      <c r="AY259" s="1666"/>
      <c r="AZ259" s="1666"/>
      <c r="BA259" s="1666"/>
      <c r="BB259" s="1666"/>
      <c r="BC259" s="1730"/>
      <c r="BD259" s="934"/>
      <c r="BE259" s="934"/>
      <c r="BF259" s="1170" t="s">
        <v>1075</v>
      </c>
    </row>
    <row s="1619" customFormat="1" customHeight="1" ht="14.25">
      <c r="A260" s="1440"/>
      <c r="B260" s="924"/>
      <c r="C260" s="1440"/>
      <c r="D260" s="1440"/>
      <c r="E260" s="794">
        <v>15</v>
      </c>
      <c r="F260" s="919" cm="1" t="str">
        <f t="array" ref="F260:F260">F259</f>
        <v>2</v>
      </c>
      <c r="G260" s="962"/>
      <c r="H260" s="962"/>
      <c r="I260" s="962"/>
      <c r="J260" s="962"/>
      <c r="K260" s="962"/>
      <c r="L260" s="962"/>
      <c r="M260" s="962"/>
      <c r="N260" s="962"/>
      <c r="O260" s="962"/>
      <c r="P260" s="962"/>
      <c r="Q260" s="925"/>
      <c r="R260" s="925"/>
      <c r="S260" s="962"/>
      <c r="T260" s="816" cm="1" t="str">
        <f t="array" ref="T260:T260">T259</f>
        <v>true</v>
      </c>
      <c r="U260" s="1440"/>
      <c r="V260" s="1440"/>
      <c r="W260" s="1440"/>
      <c r="X260" s="1440"/>
      <c r="Y260" s="1440"/>
      <c r="Z260" s="1440"/>
      <c r="AA260" s="934"/>
      <c r="AB260" s="486" t="str">
        <f>AB258&amp;".2"</f>
        <v>3.4.2</v>
      </c>
      <c r="AC260" s="488" t="s">
        <v>1031</v>
      </c>
      <c r="AD260" s="486" t="s">
        <v>1019</v>
      </c>
      <c r="AE260" s="1666"/>
      <c r="AF260" s="1666"/>
      <c r="AG260" s="1666"/>
      <c r="AH260" s="1666"/>
      <c r="AI260" s="280"/>
      <c r="AJ260" s="280"/>
      <c r="AK260" s="280"/>
      <c r="AL260" s="280"/>
      <c r="AM260" s="280"/>
      <c r="AN260" s="1666"/>
      <c r="AO260" s="1666"/>
      <c r="AP260" s="1666"/>
      <c r="AQ260" s="1666"/>
      <c r="AR260" s="1666"/>
      <c r="AS260" s="280"/>
      <c r="AT260" s="280"/>
      <c r="AU260" s="280"/>
      <c r="AV260" s="280"/>
      <c r="AW260" s="280"/>
      <c r="AX260" s="1666"/>
      <c r="AY260" s="1666"/>
      <c r="AZ260" s="1666"/>
      <c r="BA260" s="1666"/>
      <c r="BB260" s="1666"/>
      <c r="BC260" s="1730"/>
      <c r="BD260" s="934"/>
      <c r="BE260" s="934"/>
      <c r="BF260" s="1170" t="s">
        <v>1076</v>
      </c>
    </row>
    <row s="1619" customFormat="1" customHeight="1" ht="14.25">
      <c r="A261" s="1440"/>
      <c r="B261" s="924"/>
      <c r="C261" s="1440"/>
      <c r="D261" s="1440"/>
      <c r="E261" s="794">
        <v>15</v>
      </c>
      <c r="F261" s="919" cm="1" t="str">
        <f t="array" ref="F261:F261">F260</f>
        <v>2</v>
      </c>
      <c r="G261" s="962"/>
      <c r="H261" s="962"/>
      <c r="I261" s="962"/>
      <c r="J261" s="962"/>
      <c r="K261" s="962"/>
      <c r="L261" s="962"/>
      <c r="M261" s="962"/>
      <c r="N261" s="962"/>
      <c r="O261" s="962"/>
      <c r="P261" s="962"/>
      <c r="Q261" s="925"/>
      <c r="R261" s="925"/>
      <c r="S261" s="962"/>
      <c r="T261" s="816" cm="1" t="str">
        <f t="array" ref="T261:T261">T260</f>
        <v>true</v>
      </c>
      <c r="U261" s="1440"/>
      <c r="V261" s="1440"/>
      <c r="W261" s="1440"/>
      <c r="X261" s="1440"/>
      <c r="Y261" s="1440"/>
      <c r="Z261" s="1440"/>
      <c r="AA261" s="934"/>
      <c r="AB261" s="486" t="str">
        <f>AB258&amp;".3"</f>
        <v>3.4.3</v>
      </c>
      <c r="AC261" s="488" t="s">
        <v>1034</v>
      </c>
      <c r="AD261" s="486" t="s">
        <v>1019</v>
      </c>
      <c r="AE261" s="1666"/>
      <c r="AF261" s="1666"/>
      <c r="AG261" s="1666"/>
      <c r="AH261" s="1666"/>
      <c r="AI261" s="280"/>
      <c r="AJ261" s="280"/>
      <c r="AK261" s="280"/>
      <c r="AL261" s="280"/>
      <c r="AM261" s="280"/>
      <c r="AN261" s="1666"/>
      <c r="AO261" s="1666"/>
      <c r="AP261" s="1666"/>
      <c r="AQ261" s="1666"/>
      <c r="AR261" s="1666"/>
      <c r="AS261" s="280"/>
      <c r="AT261" s="280"/>
      <c r="AU261" s="280"/>
      <c r="AV261" s="280"/>
      <c r="AW261" s="280"/>
      <c r="AX261" s="1666"/>
      <c r="AY261" s="1666"/>
      <c r="AZ261" s="1666"/>
      <c r="BA261" s="1666"/>
      <c r="BB261" s="1666"/>
      <c r="BC261" s="1730"/>
      <c r="BD261" s="934"/>
      <c r="BE261" s="934"/>
      <c r="BF261" s="1170" t="s">
        <v>1077</v>
      </c>
    </row>
    <row s="1619" customFormat="1" customHeight="1" ht="14.25">
      <c r="A262" s="1440"/>
      <c r="B262" s="924"/>
      <c r="C262" s="1440"/>
      <c r="D262" s="1440"/>
      <c r="E262" s="794">
        <v>15</v>
      </c>
      <c r="F262" s="919" cm="1" t="str">
        <f t="array" ref="F262:F262">F261</f>
        <v>2</v>
      </c>
      <c r="G262" s="962"/>
      <c r="H262" s="962"/>
      <c r="I262" s="962"/>
      <c r="J262" s="962"/>
      <c r="K262" s="962"/>
      <c r="L262" s="962"/>
      <c r="M262" s="962"/>
      <c r="N262" s="962"/>
      <c r="O262" s="962"/>
      <c r="P262" s="962"/>
      <c r="Q262" s="925"/>
      <c r="R262" s="925"/>
      <c r="S262" s="962"/>
      <c r="T262" s="816" cm="1" t="str">
        <f t="array" ref="T262:T262">T261</f>
        <v>true</v>
      </c>
      <c r="U262" s="1440"/>
      <c r="V262" s="1440"/>
      <c r="W262" s="1440"/>
      <c r="X262" s="1440"/>
      <c r="Y262" s="1440"/>
      <c r="Z262" s="1440"/>
      <c r="AA262" s="934"/>
      <c r="AB262" s="486" t="str">
        <f>AB258&amp;".4"</f>
        <v>3.4.4</v>
      </c>
      <c r="AC262" s="488" t="s">
        <v>1037</v>
      </c>
      <c r="AD262" s="486" t="s">
        <v>1019</v>
      </c>
      <c r="AE262" s="1666"/>
      <c r="AF262" s="1666"/>
      <c r="AG262" s="1666"/>
      <c r="AH262" s="1666"/>
      <c r="AI262" s="280"/>
      <c r="AJ262" s="280"/>
      <c r="AK262" s="280"/>
      <c r="AL262" s="280"/>
      <c r="AM262" s="280"/>
      <c r="AN262" s="1666"/>
      <c r="AO262" s="1666"/>
      <c r="AP262" s="1666"/>
      <c r="AQ262" s="1666"/>
      <c r="AR262" s="1666"/>
      <c r="AS262" s="280"/>
      <c r="AT262" s="280"/>
      <c r="AU262" s="280"/>
      <c r="AV262" s="280"/>
      <c r="AW262" s="280"/>
      <c r="AX262" s="1666"/>
      <c r="AY262" s="1666"/>
      <c r="AZ262" s="1666"/>
      <c r="BA262" s="1666"/>
      <c r="BB262" s="1666"/>
      <c r="BC262" s="1730"/>
      <c r="BD262" s="934"/>
      <c r="BE262" s="934"/>
      <c r="BF262" s="1170" t="s">
        <v>1078</v>
      </c>
    </row>
    <row s="1619" customFormat="1" customHeight="1" ht="14.25">
      <c r="A263" s="1440"/>
      <c r="B263" s="924"/>
      <c r="C263" s="1440"/>
      <c r="D263" s="1440"/>
      <c r="E263" s="794">
        <v>15</v>
      </c>
      <c r="F263" s="919" cm="1" t="str">
        <f t="array" ref="F263:F263">F262</f>
        <v>2</v>
      </c>
      <c r="G263" s="962"/>
      <c r="H263" s="962"/>
      <c r="I263" s="962"/>
      <c r="J263" s="962"/>
      <c r="K263" s="962"/>
      <c r="L263" s="962"/>
      <c r="M263" s="962"/>
      <c r="N263" s="962"/>
      <c r="O263" s="962"/>
      <c r="P263" s="962"/>
      <c r="Q263" s="925"/>
      <c r="R263" s="925"/>
      <c r="S263" s="962"/>
      <c r="T263" s="816" cm="1" t="str">
        <f t="array" ref="T263:T263">T262</f>
        <v>true</v>
      </c>
      <c r="U263" s="1440"/>
      <c r="V263" s="1440"/>
      <c r="W263" s="1440"/>
      <c r="X263" s="1440"/>
      <c r="Y263" s="1440"/>
      <c r="Z263" s="1440"/>
      <c r="AA263" s="934"/>
      <c r="AB263" s="486" t="str">
        <f>AB258&amp;".5"</f>
        <v>3.4.5</v>
      </c>
      <c r="AC263" s="488" t="s">
        <v>1040</v>
      </c>
      <c r="AD263" s="486" t="s">
        <v>1019</v>
      </c>
      <c r="AE263" s="1666"/>
      <c r="AF263" s="1666"/>
      <c r="AG263" s="1666"/>
      <c r="AH263" s="1666"/>
      <c r="AI263" s="280"/>
      <c r="AJ263" s="280"/>
      <c r="AK263" s="280"/>
      <c r="AL263" s="280"/>
      <c r="AM263" s="280"/>
      <c r="AN263" s="1666"/>
      <c r="AO263" s="1666"/>
      <c r="AP263" s="1666"/>
      <c r="AQ263" s="1666"/>
      <c r="AR263" s="1666"/>
      <c r="AS263" s="280"/>
      <c r="AT263" s="280"/>
      <c r="AU263" s="280"/>
      <c r="AV263" s="280"/>
      <c r="AW263" s="280"/>
      <c r="AX263" s="1666"/>
      <c r="AY263" s="1666"/>
      <c r="AZ263" s="1666"/>
      <c r="BA263" s="1666"/>
      <c r="BB263" s="1666"/>
      <c r="BC263" s="1730"/>
      <c r="BD263" s="934"/>
      <c r="BE263" s="934"/>
      <c r="BF263" s="1170" t="s">
        <v>1079</v>
      </c>
    </row>
    <row s="1619" customFormat="1" customHeight="1" ht="14.25">
      <c r="A264" s="1440"/>
      <c r="B264" s="924"/>
      <c r="C264" s="1440"/>
      <c r="D264" s="1440"/>
      <c r="E264" s="794">
        <v>15</v>
      </c>
      <c r="F264" s="919" cm="1" t="str">
        <f t="array" ref="F264:F264">F263</f>
        <v>2</v>
      </c>
      <c r="G264" s="962"/>
      <c r="H264" s="962"/>
      <c r="I264" s="962"/>
      <c r="J264" s="962"/>
      <c r="K264" s="962"/>
      <c r="L264" s="962"/>
      <c r="M264" s="962"/>
      <c r="N264" s="962"/>
      <c r="O264" s="962"/>
      <c r="P264" s="962"/>
      <c r="Q264" s="925"/>
      <c r="R264" s="925"/>
      <c r="S264" s="962"/>
      <c r="T264" s="816" cm="1" t="str">
        <f t="array" ref="T264:T264">T263</f>
        <v>true</v>
      </c>
      <c r="U264" s="1440"/>
      <c r="V264" s="1440"/>
      <c r="W264" s="1440"/>
      <c r="X264" s="1440"/>
      <c r="Y264" s="1440"/>
      <c r="Z264" s="1440"/>
      <c r="AA264" s="934"/>
      <c r="AB264" s="486" t="str">
        <f>AB254&amp;".5"</f>
        <v>3.5</v>
      </c>
      <c r="AC264" s="487" t="s">
        <v>1043</v>
      </c>
      <c r="AD264" s="486" t="s">
        <v>1019</v>
      </c>
      <c r="AE264" s="1666"/>
      <c r="AF264" s="1666"/>
      <c r="AG264" s="1666"/>
      <c r="AH264" s="1666"/>
      <c r="AI264" s="280"/>
      <c r="AJ264" s="280"/>
      <c r="AK264" s="280"/>
      <c r="AL264" s="280"/>
      <c r="AM264" s="280"/>
      <c r="AN264" s="1666"/>
      <c r="AO264" s="1666"/>
      <c r="AP264" s="1666"/>
      <c r="AQ264" s="1666"/>
      <c r="AR264" s="1666"/>
      <c r="AS264" s="280"/>
      <c r="AT264" s="280"/>
      <c r="AU264" s="280"/>
      <c r="AV264" s="280"/>
      <c r="AW264" s="280"/>
      <c r="AX264" s="1666"/>
      <c r="AY264" s="1666"/>
      <c r="AZ264" s="1666"/>
      <c r="BA264" s="1666"/>
      <c r="BB264" s="1666"/>
      <c r="BC264" s="1730"/>
      <c r="BD264" s="934"/>
      <c r="BE264" s="934"/>
      <c r="BF264" s="1170" t="s">
        <v>1080</v>
      </c>
    </row>
    <row s="1619" customFormat="1" customHeight="1" ht="14.25">
      <c r="A265" s="1440"/>
      <c r="B265" s="924"/>
      <c r="C265" s="1440"/>
      <c r="D265" s="1440"/>
      <c r="E265" s="794">
        <v>15</v>
      </c>
      <c r="F265" s="919" cm="1" t="str">
        <f t="array" ref="F265:F265">F264</f>
        <v>2</v>
      </c>
      <c r="G265" s="962"/>
      <c r="H265" s="962"/>
      <c r="I265" s="962"/>
      <c r="J265" s="962"/>
      <c r="K265" s="962"/>
      <c r="L265" s="962"/>
      <c r="M265" s="962"/>
      <c r="N265" s="962"/>
      <c r="O265" s="962"/>
      <c r="P265" s="962"/>
      <c r="Q265" s="925"/>
      <c r="R265" s="925"/>
      <c r="S265" s="962"/>
      <c r="T265" s="816" cm="1" t="str">
        <f t="array" ref="T265:T265">T264</f>
        <v>true</v>
      </c>
      <c r="U265" s="1440"/>
      <c r="V265" s="1440"/>
      <c r="W265" s="1440"/>
      <c r="X265" s="1440"/>
      <c r="Y265" s="1440"/>
      <c r="Z265" s="1440"/>
      <c r="AA265" s="934"/>
      <c r="AB265" s="486" t="str">
        <f>AB254&amp;".6"</f>
        <v>3.6</v>
      </c>
      <c r="AC265" s="487" t="s">
        <v>1046</v>
      </c>
      <c r="AD265" s="486" t="s">
        <v>1019</v>
      </c>
      <c r="AE265" s="1666"/>
      <c r="AF265" s="1666"/>
      <c r="AG265" s="1666"/>
      <c r="AH265" s="1666"/>
      <c r="AI265" s="280"/>
      <c r="AJ265" s="280"/>
      <c r="AK265" s="280"/>
      <c r="AL265" s="280"/>
      <c r="AM265" s="280"/>
      <c r="AN265" s="1666"/>
      <c r="AO265" s="1666"/>
      <c r="AP265" s="1666"/>
      <c r="AQ265" s="1666"/>
      <c r="AR265" s="1666"/>
      <c r="AS265" s="280"/>
      <c r="AT265" s="280"/>
      <c r="AU265" s="280"/>
      <c r="AV265" s="280"/>
      <c r="AW265" s="280"/>
      <c r="AX265" s="1666"/>
      <c r="AY265" s="1666"/>
      <c r="AZ265" s="1666"/>
      <c r="BA265" s="1666"/>
      <c r="BB265" s="1666"/>
      <c r="BC265" s="1730"/>
      <c r="BD265" s="934"/>
      <c r="BE265" s="934"/>
      <c r="BF265" s="1170" t="s">
        <v>1081</v>
      </c>
    </row>
    <row s="1619" customFormat="1" customHeight="1" ht="14.25">
      <c r="A266" s="1440"/>
      <c r="B266" s="924"/>
      <c r="C266" s="1440"/>
      <c r="D266" s="1440"/>
      <c r="E266" s="794">
        <v>15</v>
      </c>
      <c r="F266" s="919" cm="1" t="str">
        <f t="array" ref="F266:F266">F265</f>
        <v>2</v>
      </c>
      <c r="G266" s="962"/>
      <c r="H266" s="962"/>
      <c r="I266" s="962"/>
      <c r="J266" s="962"/>
      <c r="K266" s="962"/>
      <c r="L266" s="962"/>
      <c r="M266" s="962"/>
      <c r="N266" s="962"/>
      <c r="O266" s="962"/>
      <c r="P266" s="962"/>
      <c r="Q266" s="925"/>
      <c r="R266" s="925"/>
      <c r="S266" s="962"/>
      <c r="T266" s="816" cm="1" t="str">
        <f t="array" ref="T266:T266">T265</f>
        <v>true</v>
      </c>
      <c r="U266" s="1440"/>
      <c r="V266" s="1440"/>
      <c r="W266" s="1440"/>
      <c r="X266" s="1440"/>
      <c r="Y266" s="1440"/>
      <c r="Z266" s="1440"/>
      <c r="AA266" s="934"/>
      <c r="AB266" s="486" t="str">
        <f>AB254&amp;".7"</f>
        <v>3.7</v>
      </c>
      <c r="AC266" s="487" t="s">
        <v>1049</v>
      </c>
      <c r="AD266" s="486" t="s">
        <v>1019</v>
      </c>
      <c r="AE266" s="1666"/>
      <c r="AF266" s="1666"/>
      <c r="AG266" s="1666"/>
      <c r="AH266" s="1666"/>
      <c r="AI266" s="280"/>
      <c r="AJ266" s="280"/>
      <c r="AK266" s="280"/>
      <c r="AL266" s="280"/>
      <c r="AM266" s="280"/>
      <c r="AN266" s="1666"/>
      <c r="AO266" s="1666"/>
      <c r="AP266" s="1666"/>
      <c r="AQ266" s="1666"/>
      <c r="AR266" s="1666"/>
      <c r="AS266" s="280"/>
      <c r="AT266" s="280"/>
      <c r="AU266" s="280"/>
      <c r="AV266" s="280"/>
      <c r="AW266" s="280"/>
      <c r="AX266" s="1666"/>
      <c r="AY266" s="1666"/>
      <c r="AZ266" s="1666"/>
      <c r="BA266" s="1666"/>
      <c r="BB266" s="1666"/>
      <c r="BC266" s="1730"/>
      <c r="BD266" s="934"/>
      <c r="BE266" s="934"/>
      <c r="BF266" s="1170" t="s">
        <v>1082</v>
      </c>
    </row>
    <row s="1619" customFormat="1" customHeight="1" ht="14.25">
      <c r="A267" s="1440"/>
      <c r="B267" s="924"/>
      <c r="C267" s="1440"/>
      <c r="D267" s="1440"/>
      <c r="E267" s="794">
        <v>15</v>
      </c>
      <c r="F267" s="919" cm="1" t="str">
        <f t="array" ref="F267:F267">F266</f>
        <v>2</v>
      </c>
      <c r="G267" s="962"/>
      <c r="H267" s="962"/>
      <c r="I267" s="962"/>
      <c r="J267" s="962"/>
      <c r="K267" s="962"/>
      <c r="L267" s="962"/>
      <c r="M267" s="962"/>
      <c r="N267" s="962"/>
      <c r="O267" s="962"/>
      <c r="P267" s="962"/>
      <c r="Q267" s="925"/>
      <c r="R267" s="925"/>
      <c r="S267" s="962"/>
      <c r="T267" s="816" cm="1" t="str">
        <f t="array" ref="T267:T267">T266</f>
        <v>true</v>
      </c>
      <c r="U267" s="1440"/>
      <c r="V267" s="1440"/>
      <c r="W267" s="1440"/>
      <c r="X267" s="1440"/>
      <c r="Y267" s="1440"/>
      <c r="Z267" s="1440"/>
      <c r="AA267" s="934"/>
      <c r="AB267" s="486" t="str">
        <f>AB254&amp;".8"</f>
        <v>3.8</v>
      </c>
      <c r="AC267" s="487" t="s">
        <v>1052</v>
      </c>
      <c r="AD267" s="486" t="s">
        <v>1019</v>
      </c>
      <c r="AE267" s="1666"/>
      <c r="AF267" s="1666"/>
      <c r="AG267" s="1666"/>
      <c r="AH267" s="1666"/>
      <c r="AI267" s="280"/>
      <c r="AJ267" s="280"/>
      <c r="AK267" s="280"/>
      <c r="AL267" s="280"/>
      <c r="AM267" s="280"/>
      <c r="AN267" s="1666"/>
      <c r="AO267" s="1666"/>
      <c r="AP267" s="1666"/>
      <c r="AQ267" s="1666"/>
      <c r="AR267" s="1666"/>
      <c r="AS267" s="280"/>
      <c r="AT267" s="280"/>
      <c r="AU267" s="280"/>
      <c r="AV267" s="280"/>
      <c r="AW267" s="280"/>
      <c r="AX267" s="1666"/>
      <c r="AY267" s="1666"/>
      <c r="AZ267" s="1666"/>
      <c r="BA267" s="1666"/>
      <c r="BB267" s="1666"/>
      <c r="BC267" s="1730"/>
      <c r="BD267" s="934"/>
      <c r="BE267" s="934"/>
      <c r="BF267" s="1170" t="s">
        <v>1083</v>
      </c>
    </row>
    <row s="214" customFormat="1" customHeight="1" ht="14.25">
      <c r="A268" s="214"/>
      <c r="B268" s="214"/>
      <c r="C268" s="214"/>
      <c r="D268" s="214"/>
      <c r="E268" s="794">
        <v>15</v>
      </c>
      <c r="F268" s="919" cm="1" t="str">
        <f t="array" ref="F268:F268">F267</f>
        <v>2</v>
      </c>
      <c r="G268" s="214"/>
      <c r="H268" s="214"/>
      <c r="I268" s="214"/>
      <c r="J268" s="214"/>
      <c r="K268" s="214"/>
      <c r="L268" s="214"/>
      <c r="M268" s="214"/>
      <c r="N268" s="214"/>
      <c r="O268" s="214"/>
      <c r="P268" s="214"/>
      <c r="Q268" s="214"/>
      <c r="R268" s="214"/>
      <c r="S268" s="214"/>
      <c r="T268" s="816" cm="1" t="str">
        <f t="array" ref="T268:T268">T267</f>
        <v>true</v>
      </c>
      <c r="U268" s="214"/>
      <c r="V268" s="214"/>
      <c r="W268" s="214"/>
      <c r="X268" s="214"/>
      <c r="Y268" s="214"/>
      <c r="Z268" s="214"/>
      <c r="AA268" s="214"/>
      <c r="AB268" s="277">
        <v>4</v>
      </c>
      <c r="AC268" s="278" t="s">
        <v>1084</v>
      </c>
      <c r="AD268" s="153" t="s">
        <v>805</v>
      </c>
      <c r="AE268" s="1793">
        <f>SUM(AE269:AE272)+SUM(AE278:AE281)</f>
        <v>0</v>
      </c>
      <c r="AF268" s="1793">
        <f>SUM(AF269:AF272)+SUM(AF278:AF281)</f>
        <v>0</v>
      </c>
      <c r="AG268" s="1793">
        <f>SUM(AG269:AG272)+SUM(AG278:AG281)</f>
        <v>0</v>
      </c>
      <c r="AH268" s="1793">
        <f>SUM(AH269:AH272)+SUM(AH278:AH281)</f>
        <v>0</v>
      </c>
      <c r="AI268" s="292">
        <f>SUM(AI269:AI272)+SUM(AI278:AI281)</f>
        <v>0</v>
      </c>
      <c r="AJ268" s="292">
        <f>SUM(AJ269:AJ272)+SUM(AJ278:AJ281)</f>
        <v>0</v>
      </c>
      <c r="AK268" s="292">
        <f>SUM(AK269:AK272)+SUM(AK278:AK281)</f>
        <v>0</v>
      </c>
      <c r="AL268" s="292">
        <f>SUM(AL269:AL272)+SUM(AL278:AL281)</f>
        <v>0</v>
      </c>
      <c r="AM268" s="292">
        <f>SUM(AM269:AM272)+SUM(AM278:AM281)</f>
        <v>0</v>
      </c>
      <c r="AN268" s="1793">
        <f>SUM(AN269:AN272)+SUM(AN278:AN281)</f>
        <v>0</v>
      </c>
      <c r="AO268" s="1793">
        <f>SUM(AO269:AO272)+SUM(AO278:AO281)</f>
        <v>0</v>
      </c>
      <c r="AP268" s="1793">
        <f>SUM(AP269:AP272)+SUM(AP278:AP281)</f>
        <v>0</v>
      </c>
      <c r="AQ268" s="1793">
        <f>SUM(AQ269:AQ272)+SUM(AQ278:AQ281)</f>
        <v>0</v>
      </c>
      <c r="AR268" s="1793">
        <f>SUM(AR269:AR272)+SUM(AR278:AR281)</f>
        <v>0</v>
      </c>
      <c r="AS268" s="292">
        <f>SUM(AS269:AS272)+SUM(AS278:AS281)</f>
        <v>0</v>
      </c>
      <c r="AT268" s="292">
        <f>SUM(AT269:AT272)+SUM(AT278:AT281)</f>
        <v>0</v>
      </c>
      <c r="AU268" s="292">
        <f>SUM(AU269:AU272)+SUM(AU278:AU281)</f>
        <v>0</v>
      </c>
      <c r="AV268" s="292">
        <f>SUM(AV269:AV272)+SUM(AV278:AV281)</f>
        <v>0</v>
      </c>
      <c r="AW268" s="292">
        <f>SUM(AW269:AW272)+SUM(AW278:AW281)</f>
        <v>0</v>
      </c>
      <c r="AX268" s="1793">
        <f>SUM(AX269:AX272)+SUM(AX278:AX281)</f>
        <v>0</v>
      </c>
      <c r="AY268" s="1793">
        <f>SUM(AY269:AY272)+SUM(AY278:AY281)</f>
        <v>0</v>
      </c>
      <c r="AZ268" s="1793">
        <f>SUM(AZ269:AZ272)+SUM(AZ278:AZ281)</f>
        <v>0</v>
      </c>
      <c r="BA268" s="1793">
        <f>SUM(BA269:BA272)+SUM(BA278:BA281)</f>
        <v>0</v>
      </c>
      <c r="BB268" s="1793">
        <f>SUM(BB269:BB272)+SUM(BB278:BB281)</f>
        <v>0</v>
      </c>
      <c r="BC268" s="1730"/>
      <c r="BD268" s="214"/>
      <c r="BE268" s="214"/>
      <c r="BF268" s="1170" t="s">
        <v>1085</v>
      </c>
    </row>
    <row s="1619" customFormat="1" customHeight="1" ht="14.25">
      <c r="A269" s="1440"/>
      <c r="B269" s="924"/>
      <c r="C269" s="1440"/>
      <c r="D269" s="1440"/>
      <c r="E269" s="794">
        <v>15</v>
      </c>
      <c r="F269" s="919" cm="1" t="str">
        <f t="array" ref="F269:F269">F268</f>
        <v>2</v>
      </c>
      <c r="G269" s="962"/>
      <c r="H269" s="962"/>
      <c r="I269" s="962"/>
      <c r="J269" s="962"/>
      <c r="K269" s="962"/>
      <c r="L269" s="962"/>
      <c r="M269" s="962"/>
      <c r="N269" s="962"/>
      <c r="O269" s="962"/>
      <c r="P269" s="962"/>
      <c r="Q269" s="925"/>
      <c r="R269" s="925"/>
      <c r="S269" s="962"/>
      <c r="T269" s="816" cm="1" t="str">
        <f t="array" ref="T269:T269">T268</f>
        <v>true</v>
      </c>
      <c r="U269" s="1440"/>
      <c r="V269" s="1440"/>
      <c r="W269" s="1440"/>
      <c r="X269" s="1440"/>
      <c r="Y269" s="1440"/>
      <c r="Z269" s="1440"/>
      <c r="AA269" s="934"/>
      <c r="AB269" s="486" t="str">
        <f>AB268&amp;".1"</f>
        <v>4.1</v>
      </c>
      <c r="AC269" s="487" t="s">
        <v>1018</v>
      </c>
      <c r="AD269" s="486" t="s">
        <v>1019</v>
      </c>
      <c r="AE269" s="1666"/>
      <c r="AF269" s="1666"/>
      <c r="AG269" s="1666"/>
      <c r="AH269" s="1666"/>
      <c r="AI269" s="280"/>
      <c r="AJ269" s="280"/>
      <c r="AK269" s="280"/>
      <c r="AL269" s="280"/>
      <c r="AM269" s="280"/>
      <c r="AN269" s="1666"/>
      <c r="AO269" s="1666"/>
      <c r="AP269" s="1666"/>
      <c r="AQ269" s="1666"/>
      <c r="AR269" s="1666"/>
      <c r="AS269" s="280"/>
      <c r="AT269" s="280"/>
      <c r="AU269" s="280"/>
      <c r="AV269" s="280"/>
      <c r="AW269" s="280"/>
      <c r="AX269" s="1666"/>
      <c r="AY269" s="1666"/>
      <c r="AZ269" s="1666"/>
      <c r="BA269" s="1666"/>
      <c r="BB269" s="1666"/>
      <c r="BC269" s="1730"/>
      <c r="BD269" s="934"/>
      <c r="BE269" s="934"/>
      <c r="BF269" s="1170" t="s">
        <v>1086</v>
      </c>
    </row>
    <row s="1619" customFormat="1" customHeight="1" ht="14.25">
      <c r="A270" s="1440"/>
      <c r="B270" s="924"/>
      <c r="C270" s="1440"/>
      <c r="D270" s="1440"/>
      <c r="E270" s="794">
        <v>15</v>
      </c>
      <c r="F270" s="919" cm="1" t="str">
        <f t="array" ref="F270:F270">F269</f>
        <v>2</v>
      </c>
      <c r="G270" s="962"/>
      <c r="H270" s="962"/>
      <c r="I270" s="962"/>
      <c r="J270" s="962"/>
      <c r="K270" s="962"/>
      <c r="L270" s="962"/>
      <c r="M270" s="962"/>
      <c r="N270" s="962"/>
      <c r="O270" s="962"/>
      <c r="P270" s="962"/>
      <c r="Q270" s="925"/>
      <c r="R270" s="925"/>
      <c r="S270" s="962"/>
      <c r="T270" s="816" cm="1" t="str">
        <f t="array" ref="T270:T270">T269</f>
        <v>true</v>
      </c>
      <c r="U270" s="1440"/>
      <c r="V270" s="1440"/>
      <c r="W270" s="1440"/>
      <c r="X270" s="1440"/>
      <c r="Y270" s="1440"/>
      <c r="Z270" s="1440"/>
      <c r="AA270" s="934"/>
      <c r="AB270" s="486" t="str">
        <f>AB268&amp;".2"</f>
        <v>4.2</v>
      </c>
      <c r="AC270" s="487" t="s">
        <v>1021</v>
      </c>
      <c r="AD270" s="486" t="s">
        <v>1019</v>
      </c>
      <c r="AE270" s="1666"/>
      <c r="AF270" s="1666"/>
      <c r="AG270" s="1666"/>
      <c r="AH270" s="1666"/>
      <c r="AI270" s="280"/>
      <c r="AJ270" s="280"/>
      <c r="AK270" s="280"/>
      <c r="AL270" s="280"/>
      <c r="AM270" s="280"/>
      <c r="AN270" s="1666"/>
      <c r="AO270" s="1666"/>
      <c r="AP270" s="1666"/>
      <c r="AQ270" s="1666"/>
      <c r="AR270" s="1666"/>
      <c r="AS270" s="280"/>
      <c r="AT270" s="280"/>
      <c r="AU270" s="280"/>
      <c r="AV270" s="280"/>
      <c r="AW270" s="280"/>
      <c r="AX270" s="1666"/>
      <c r="AY270" s="1666"/>
      <c r="AZ270" s="1666"/>
      <c r="BA270" s="1666"/>
      <c r="BB270" s="1666"/>
      <c r="BC270" s="1730"/>
      <c r="BD270" s="934"/>
      <c r="BE270" s="934"/>
      <c r="BF270" s="1170" t="s">
        <v>1087</v>
      </c>
    </row>
    <row s="1619" customFormat="1" customHeight="1" ht="14.25">
      <c r="A271" s="1440"/>
      <c r="B271" s="924"/>
      <c r="C271" s="1440"/>
      <c r="D271" s="1440"/>
      <c r="E271" s="794">
        <v>15</v>
      </c>
      <c r="F271" s="919" cm="1" t="str">
        <f t="array" ref="F271:F271">F270</f>
        <v>2</v>
      </c>
      <c r="G271" s="962"/>
      <c r="H271" s="962"/>
      <c r="I271" s="962"/>
      <c r="J271" s="962"/>
      <c r="K271" s="962"/>
      <c r="L271" s="962"/>
      <c r="M271" s="962"/>
      <c r="N271" s="962"/>
      <c r="O271" s="962"/>
      <c r="P271" s="962"/>
      <c r="Q271" s="925"/>
      <c r="R271" s="925"/>
      <c r="S271" s="962"/>
      <c r="T271" s="816" cm="1" t="str">
        <f t="array" ref="T271:T271">T270</f>
        <v>true</v>
      </c>
      <c r="U271" s="1440"/>
      <c r="V271" s="1440"/>
      <c r="W271" s="1440"/>
      <c r="X271" s="1440"/>
      <c r="Y271" s="1440"/>
      <c r="Z271" s="1440"/>
      <c r="AA271" s="934"/>
      <c r="AB271" s="486" t="str">
        <f>AB268&amp;".3"</f>
        <v>4.3</v>
      </c>
      <c r="AC271" s="487" t="s">
        <v>1023</v>
      </c>
      <c r="AD271" s="486" t="s">
        <v>1019</v>
      </c>
      <c r="AE271" s="1666"/>
      <c r="AF271" s="1666"/>
      <c r="AG271" s="1666"/>
      <c r="AH271" s="1666"/>
      <c r="AI271" s="280"/>
      <c r="AJ271" s="280"/>
      <c r="AK271" s="280"/>
      <c r="AL271" s="280"/>
      <c r="AM271" s="280"/>
      <c r="AN271" s="1666"/>
      <c r="AO271" s="1666"/>
      <c r="AP271" s="1666"/>
      <c r="AQ271" s="1666"/>
      <c r="AR271" s="1666"/>
      <c r="AS271" s="280"/>
      <c r="AT271" s="280"/>
      <c r="AU271" s="280"/>
      <c r="AV271" s="280"/>
      <c r="AW271" s="280"/>
      <c r="AX271" s="1666"/>
      <c r="AY271" s="1666"/>
      <c r="AZ271" s="1666"/>
      <c r="BA271" s="1666"/>
      <c r="BB271" s="1666"/>
      <c r="BC271" s="1730"/>
      <c r="BD271" s="934"/>
      <c r="BE271" s="934"/>
      <c r="BF271" s="1170" t="s">
        <v>1088</v>
      </c>
    </row>
    <row s="1619" customFormat="1" customHeight="1" ht="14.25">
      <c r="A272" s="1440"/>
      <c r="B272" s="924"/>
      <c r="C272" s="1440"/>
      <c r="D272" s="1440"/>
      <c r="E272" s="794">
        <v>15</v>
      </c>
      <c r="F272" s="919" cm="1" t="str">
        <f t="array" ref="F272:F272">F271</f>
        <v>2</v>
      </c>
      <c r="G272" s="962"/>
      <c r="H272" s="962"/>
      <c r="I272" s="962"/>
      <c r="J272" s="962"/>
      <c r="K272" s="962"/>
      <c r="L272" s="962"/>
      <c r="M272" s="962"/>
      <c r="N272" s="962"/>
      <c r="O272" s="962"/>
      <c r="P272" s="962"/>
      <c r="Q272" s="925"/>
      <c r="R272" s="925"/>
      <c r="S272" s="962"/>
      <c r="T272" s="816" cm="1" t="str">
        <f t="array" ref="T272:T272">T271</f>
        <v>true</v>
      </c>
      <c r="U272" s="1440"/>
      <c r="V272" s="1440"/>
      <c r="W272" s="1440"/>
      <c r="X272" s="1440"/>
      <c r="Y272" s="1440"/>
      <c r="Z272" s="1440"/>
      <c r="AA272" s="934"/>
      <c r="AB272" s="486" t="str">
        <f>AB268&amp;".4"</f>
        <v>4.4</v>
      </c>
      <c r="AC272" s="487" t="s">
        <v>1025</v>
      </c>
      <c r="AD272" s="486" t="s">
        <v>1019</v>
      </c>
      <c r="AE272" s="1807">
        <f>SUM(AE273:AE277)</f>
        <v>0</v>
      </c>
      <c r="AF272" s="1807">
        <f>SUM(AF273:AF277)</f>
        <v>0</v>
      </c>
      <c r="AG272" s="1807">
        <f>SUM(AG273:AG277)</f>
        <v>0</v>
      </c>
      <c r="AH272" s="1807">
        <f>SUM(AH273:AH277)</f>
        <v>0</v>
      </c>
      <c r="AI272" s="481">
        <f>SUM(AI273:AI277)</f>
        <v>0</v>
      </c>
      <c r="AJ272" s="481">
        <f>SUM(AJ273:AJ277)</f>
        <v>0</v>
      </c>
      <c r="AK272" s="481">
        <f>SUM(AK273:AK277)</f>
        <v>0</v>
      </c>
      <c r="AL272" s="481">
        <f>SUM(AL273:AL277)</f>
        <v>0</v>
      </c>
      <c r="AM272" s="481">
        <f>SUM(AM273:AM277)</f>
        <v>0</v>
      </c>
      <c r="AN272" s="1807">
        <f>SUM(AN273:AN277)</f>
        <v>0</v>
      </c>
      <c r="AO272" s="1807">
        <f>SUM(AO273:AO277)</f>
        <v>0</v>
      </c>
      <c r="AP272" s="1807">
        <f>SUM(AP273:AP277)</f>
        <v>0</v>
      </c>
      <c r="AQ272" s="1807">
        <f>SUM(AQ273:AQ277)</f>
        <v>0</v>
      </c>
      <c r="AR272" s="1807">
        <f>SUM(AR273:AR277)</f>
        <v>0</v>
      </c>
      <c r="AS272" s="481">
        <f>SUM(AS273:AS277)</f>
        <v>0</v>
      </c>
      <c r="AT272" s="481">
        <f>SUM(AT273:AT277)</f>
        <v>0</v>
      </c>
      <c r="AU272" s="481">
        <f>SUM(AU273:AU277)</f>
        <v>0</v>
      </c>
      <c r="AV272" s="481">
        <f>SUM(AV273:AV277)</f>
        <v>0</v>
      </c>
      <c r="AW272" s="481">
        <f>SUM(AW273:AW277)</f>
        <v>0</v>
      </c>
      <c r="AX272" s="1807">
        <f>SUM(AX273:AX277)</f>
        <v>0</v>
      </c>
      <c r="AY272" s="1807">
        <f>SUM(AY273:AY277)</f>
        <v>0</v>
      </c>
      <c r="AZ272" s="1807">
        <f>SUM(AZ273:AZ277)</f>
        <v>0</v>
      </c>
      <c r="BA272" s="1807">
        <f>SUM(BA273:BA277)</f>
        <v>0</v>
      </c>
      <c r="BB272" s="1807">
        <f>SUM(BB273:BB277)</f>
        <v>0</v>
      </c>
      <c r="BC272" s="1730"/>
      <c r="BD272" s="934"/>
      <c r="BE272" s="934"/>
      <c r="BF272" s="1170" t="s">
        <v>1089</v>
      </c>
    </row>
    <row s="1619" customFormat="1" customHeight="1" ht="14.25">
      <c r="A273" s="1440"/>
      <c r="B273" s="924"/>
      <c r="C273" s="1440"/>
      <c r="D273" s="1440"/>
      <c r="E273" s="794">
        <v>15</v>
      </c>
      <c r="F273" s="919" cm="1" t="str">
        <f t="array" ref="F273:F273">F272</f>
        <v>2</v>
      </c>
      <c r="G273" s="962"/>
      <c r="H273" s="962"/>
      <c r="I273" s="962"/>
      <c r="J273" s="962"/>
      <c r="K273" s="962"/>
      <c r="L273" s="962"/>
      <c r="M273" s="962"/>
      <c r="N273" s="962"/>
      <c r="O273" s="962"/>
      <c r="P273" s="962"/>
      <c r="Q273" s="925"/>
      <c r="R273" s="925"/>
      <c r="S273" s="962"/>
      <c r="T273" s="816" cm="1" t="str">
        <f t="array" ref="T273:T273">T272</f>
        <v>true</v>
      </c>
      <c r="U273" s="1440"/>
      <c r="V273" s="1440"/>
      <c r="W273" s="1440"/>
      <c r="X273" s="1440"/>
      <c r="Y273" s="1440"/>
      <c r="Z273" s="1440"/>
      <c r="AA273" s="934"/>
      <c r="AB273" s="486" t="str">
        <f>AB272&amp;".1"</f>
        <v>4.4.1</v>
      </c>
      <c r="AC273" s="488" t="s">
        <v>1028</v>
      </c>
      <c r="AD273" s="486" t="s">
        <v>1019</v>
      </c>
      <c r="AE273" s="1666"/>
      <c r="AF273" s="1666"/>
      <c r="AG273" s="1666"/>
      <c r="AH273" s="1666"/>
      <c r="AI273" s="280"/>
      <c r="AJ273" s="280"/>
      <c r="AK273" s="280"/>
      <c r="AL273" s="280"/>
      <c r="AM273" s="280"/>
      <c r="AN273" s="1666"/>
      <c r="AO273" s="1666"/>
      <c r="AP273" s="1666"/>
      <c r="AQ273" s="1666"/>
      <c r="AR273" s="1666"/>
      <c r="AS273" s="280"/>
      <c r="AT273" s="280"/>
      <c r="AU273" s="280"/>
      <c r="AV273" s="280"/>
      <c r="AW273" s="280"/>
      <c r="AX273" s="1666"/>
      <c r="AY273" s="1666"/>
      <c r="AZ273" s="1666"/>
      <c r="BA273" s="1666"/>
      <c r="BB273" s="1666"/>
      <c r="BC273" s="1730"/>
      <c r="BD273" s="934"/>
      <c r="BE273" s="934"/>
      <c r="BF273" s="1170" t="s">
        <v>1090</v>
      </c>
    </row>
    <row s="1619" customFormat="1" customHeight="1" ht="14.25">
      <c r="A274" s="1440"/>
      <c r="B274" s="924"/>
      <c r="C274" s="1440"/>
      <c r="D274" s="1440"/>
      <c r="E274" s="794">
        <v>15</v>
      </c>
      <c r="F274" s="919" cm="1" t="str">
        <f t="array" ref="F274:F274">F273</f>
        <v>2</v>
      </c>
      <c r="G274" s="962"/>
      <c r="H274" s="962"/>
      <c r="I274" s="962"/>
      <c r="J274" s="962"/>
      <c r="K274" s="962"/>
      <c r="L274" s="962"/>
      <c r="M274" s="962"/>
      <c r="N274" s="962"/>
      <c r="O274" s="962"/>
      <c r="P274" s="962"/>
      <c r="Q274" s="925"/>
      <c r="R274" s="925"/>
      <c r="S274" s="962"/>
      <c r="T274" s="816" cm="1" t="str">
        <f t="array" ref="T274:T274">T273</f>
        <v>true</v>
      </c>
      <c r="U274" s="1440"/>
      <c r="V274" s="1440"/>
      <c r="W274" s="1440"/>
      <c r="X274" s="1440"/>
      <c r="Y274" s="1440"/>
      <c r="Z274" s="1440"/>
      <c r="AA274" s="934"/>
      <c r="AB274" s="486" t="str">
        <f>AB272&amp;".2"</f>
        <v>4.4.2</v>
      </c>
      <c r="AC274" s="488" t="s">
        <v>1031</v>
      </c>
      <c r="AD274" s="486" t="s">
        <v>1019</v>
      </c>
      <c r="AE274" s="1666"/>
      <c r="AF274" s="1666"/>
      <c r="AG274" s="1666"/>
      <c r="AH274" s="1666"/>
      <c r="AI274" s="280"/>
      <c r="AJ274" s="280"/>
      <c r="AK274" s="280"/>
      <c r="AL274" s="280"/>
      <c r="AM274" s="280"/>
      <c r="AN274" s="1666"/>
      <c r="AO274" s="1666"/>
      <c r="AP274" s="1666"/>
      <c r="AQ274" s="1666"/>
      <c r="AR274" s="1666"/>
      <c r="AS274" s="280"/>
      <c r="AT274" s="280"/>
      <c r="AU274" s="280"/>
      <c r="AV274" s="280"/>
      <c r="AW274" s="280"/>
      <c r="AX274" s="1666"/>
      <c r="AY274" s="1666"/>
      <c r="AZ274" s="1666"/>
      <c r="BA274" s="1666"/>
      <c r="BB274" s="1666"/>
      <c r="BC274" s="1730"/>
      <c r="BD274" s="934"/>
      <c r="BE274" s="934"/>
      <c r="BF274" s="1170" t="s">
        <v>1091</v>
      </c>
    </row>
    <row s="1619" customFormat="1" customHeight="1" ht="14.25">
      <c r="A275" s="1440"/>
      <c r="B275" s="924"/>
      <c r="C275" s="1440"/>
      <c r="D275" s="1440"/>
      <c r="E275" s="794">
        <v>15</v>
      </c>
      <c r="F275" s="919" cm="1" t="str">
        <f t="array" ref="F275:F275">F274</f>
        <v>2</v>
      </c>
      <c r="G275" s="962"/>
      <c r="H275" s="962"/>
      <c r="I275" s="962"/>
      <c r="J275" s="962"/>
      <c r="K275" s="962"/>
      <c r="L275" s="962"/>
      <c r="M275" s="962"/>
      <c r="N275" s="962"/>
      <c r="O275" s="962"/>
      <c r="P275" s="962"/>
      <c r="Q275" s="925"/>
      <c r="R275" s="925"/>
      <c r="S275" s="962"/>
      <c r="T275" s="816" cm="1" t="str">
        <f t="array" ref="T275:T275">T274</f>
        <v>true</v>
      </c>
      <c r="U275" s="1440"/>
      <c r="V275" s="1440"/>
      <c r="W275" s="1440"/>
      <c r="X275" s="1440"/>
      <c r="Y275" s="1440"/>
      <c r="Z275" s="1440"/>
      <c r="AA275" s="934"/>
      <c r="AB275" s="486" t="str">
        <f>AB272&amp;".3"</f>
        <v>4.4.3</v>
      </c>
      <c r="AC275" s="488" t="s">
        <v>1034</v>
      </c>
      <c r="AD275" s="486" t="s">
        <v>1019</v>
      </c>
      <c r="AE275" s="1666"/>
      <c r="AF275" s="1666"/>
      <c r="AG275" s="1666"/>
      <c r="AH275" s="1666"/>
      <c r="AI275" s="280"/>
      <c r="AJ275" s="280"/>
      <c r="AK275" s="280"/>
      <c r="AL275" s="280"/>
      <c r="AM275" s="280"/>
      <c r="AN275" s="1666"/>
      <c r="AO275" s="1666"/>
      <c r="AP275" s="1666"/>
      <c r="AQ275" s="1666"/>
      <c r="AR275" s="1666"/>
      <c r="AS275" s="280"/>
      <c r="AT275" s="280"/>
      <c r="AU275" s="280"/>
      <c r="AV275" s="280"/>
      <c r="AW275" s="280"/>
      <c r="AX275" s="1666"/>
      <c r="AY275" s="1666"/>
      <c r="AZ275" s="1666"/>
      <c r="BA275" s="1666"/>
      <c r="BB275" s="1666"/>
      <c r="BC275" s="1730"/>
      <c r="BD275" s="934"/>
      <c r="BE275" s="934"/>
      <c r="BF275" s="1170" t="s">
        <v>1092</v>
      </c>
    </row>
    <row s="1619" customFormat="1" customHeight="1" ht="14.25">
      <c r="A276" s="1440"/>
      <c r="B276" s="924"/>
      <c r="C276" s="1440"/>
      <c r="D276" s="1440"/>
      <c r="E276" s="794">
        <v>15</v>
      </c>
      <c r="F276" s="919" cm="1" t="str">
        <f t="array" ref="F276:F276">F275</f>
        <v>2</v>
      </c>
      <c r="G276" s="962"/>
      <c r="H276" s="962"/>
      <c r="I276" s="962"/>
      <c r="J276" s="962"/>
      <c r="K276" s="962"/>
      <c r="L276" s="962"/>
      <c r="M276" s="962"/>
      <c r="N276" s="962"/>
      <c r="O276" s="962"/>
      <c r="P276" s="962"/>
      <c r="Q276" s="925"/>
      <c r="R276" s="925"/>
      <c r="S276" s="962"/>
      <c r="T276" s="816" cm="1" t="str">
        <f t="array" ref="T276:T276">T275</f>
        <v>true</v>
      </c>
      <c r="U276" s="1440"/>
      <c r="V276" s="1440"/>
      <c r="W276" s="1440"/>
      <c r="X276" s="1440"/>
      <c r="Y276" s="1440"/>
      <c r="Z276" s="1440"/>
      <c r="AA276" s="934"/>
      <c r="AB276" s="486" t="str">
        <f>AB272&amp;".4"</f>
        <v>4.4.4</v>
      </c>
      <c r="AC276" s="488" t="s">
        <v>1037</v>
      </c>
      <c r="AD276" s="486" t="s">
        <v>1019</v>
      </c>
      <c r="AE276" s="1666"/>
      <c r="AF276" s="1666"/>
      <c r="AG276" s="1666"/>
      <c r="AH276" s="1666"/>
      <c r="AI276" s="280"/>
      <c r="AJ276" s="280"/>
      <c r="AK276" s="280"/>
      <c r="AL276" s="280"/>
      <c r="AM276" s="280"/>
      <c r="AN276" s="1666"/>
      <c r="AO276" s="1666"/>
      <c r="AP276" s="1666"/>
      <c r="AQ276" s="1666"/>
      <c r="AR276" s="1666"/>
      <c r="AS276" s="280"/>
      <c r="AT276" s="280"/>
      <c r="AU276" s="280"/>
      <c r="AV276" s="280"/>
      <c r="AW276" s="280"/>
      <c r="AX276" s="1666"/>
      <c r="AY276" s="1666"/>
      <c r="AZ276" s="1666"/>
      <c r="BA276" s="1666"/>
      <c r="BB276" s="1666"/>
      <c r="BC276" s="1730"/>
      <c r="BD276" s="934"/>
      <c r="BE276" s="934"/>
      <c r="BF276" s="1170" t="s">
        <v>1093</v>
      </c>
    </row>
    <row s="1619" customFormat="1" customHeight="1" ht="14.25">
      <c r="A277" s="1440"/>
      <c r="B277" s="924"/>
      <c r="C277" s="1440"/>
      <c r="D277" s="1440"/>
      <c r="E277" s="794">
        <v>15</v>
      </c>
      <c r="F277" s="919" cm="1" t="str">
        <f t="array" ref="F277:F277">F276</f>
        <v>2</v>
      </c>
      <c r="G277" s="962"/>
      <c r="H277" s="962"/>
      <c r="I277" s="962"/>
      <c r="J277" s="962"/>
      <c r="K277" s="962"/>
      <c r="L277" s="962"/>
      <c r="M277" s="962"/>
      <c r="N277" s="962"/>
      <c r="O277" s="962"/>
      <c r="P277" s="962"/>
      <c r="Q277" s="925"/>
      <c r="R277" s="925"/>
      <c r="S277" s="962"/>
      <c r="T277" s="816" cm="1" t="str">
        <f t="array" ref="T277:T277">T276</f>
        <v>true</v>
      </c>
      <c r="U277" s="1440"/>
      <c r="V277" s="1440"/>
      <c r="W277" s="1440"/>
      <c r="X277" s="1440"/>
      <c r="Y277" s="1440"/>
      <c r="Z277" s="1440"/>
      <c r="AA277" s="934"/>
      <c r="AB277" s="486" t="str">
        <f>AB272&amp;".5"</f>
        <v>4.4.5</v>
      </c>
      <c r="AC277" s="488" t="s">
        <v>1040</v>
      </c>
      <c r="AD277" s="486" t="s">
        <v>1019</v>
      </c>
      <c r="AE277" s="1666"/>
      <c r="AF277" s="1666"/>
      <c r="AG277" s="1666"/>
      <c r="AH277" s="1666"/>
      <c r="AI277" s="280"/>
      <c r="AJ277" s="280"/>
      <c r="AK277" s="280"/>
      <c r="AL277" s="280"/>
      <c r="AM277" s="280"/>
      <c r="AN277" s="1666"/>
      <c r="AO277" s="1666"/>
      <c r="AP277" s="1666"/>
      <c r="AQ277" s="1666"/>
      <c r="AR277" s="1666"/>
      <c r="AS277" s="280"/>
      <c r="AT277" s="280"/>
      <c r="AU277" s="280"/>
      <c r="AV277" s="280"/>
      <c r="AW277" s="280"/>
      <c r="AX277" s="1666"/>
      <c r="AY277" s="1666"/>
      <c r="AZ277" s="1666"/>
      <c r="BA277" s="1666"/>
      <c r="BB277" s="1666"/>
      <c r="BC277" s="1730"/>
      <c r="BD277" s="934"/>
      <c r="BE277" s="934"/>
      <c r="BF277" s="1170" t="s">
        <v>1094</v>
      </c>
    </row>
    <row s="1619" customFormat="1" customHeight="1" ht="14.25">
      <c r="A278" s="1440"/>
      <c r="B278" s="924"/>
      <c r="C278" s="1440"/>
      <c r="D278" s="1440"/>
      <c r="E278" s="794">
        <v>15</v>
      </c>
      <c r="F278" s="919" cm="1" t="str">
        <f t="array" ref="F278:F278">F277</f>
        <v>2</v>
      </c>
      <c r="G278" s="962"/>
      <c r="H278" s="962"/>
      <c r="I278" s="962"/>
      <c r="J278" s="962"/>
      <c r="K278" s="962"/>
      <c r="L278" s="962"/>
      <c r="M278" s="962"/>
      <c r="N278" s="962"/>
      <c r="O278" s="962"/>
      <c r="P278" s="962"/>
      <c r="Q278" s="925"/>
      <c r="R278" s="925"/>
      <c r="S278" s="962"/>
      <c r="T278" s="816" cm="1" t="str">
        <f t="array" ref="T278:T278">T277</f>
        <v>true</v>
      </c>
      <c r="U278" s="1440"/>
      <c r="V278" s="1440"/>
      <c r="W278" s="1440"/>
      <c r="X278" s="1440"/>
      <c r="Y278" s="1440"/>
      <c r="Z278" s="1440"/>
      <c r="AA278" s="934"/>
      <c r="AB278" s="486" t="str">
        <f>AB268&amp;".5"</f>
        <v>4.5</v>
      </c>
      <c r="AC278" s="487" t="s">
        <v>1043</v>
      </c>
      <c r="AD278" s="486" t="s">
        <v>1019</v>
      </c>
      <c r="AE278" s="1666"/>
      <c r="AF278" s="1666"/>
      <c r="AG278" s="1666"/>
      <c r="AH278" s="1666"/>
      <c r="AI278" s="280"/>
      <c r="AJ278" s="280"/>
      <c r="AK278" s="280"/>
      <c r="AL278" s="280"/>
      <c r="AM278" s="280"/>
      <c r="AN278" s="1666"/>
      <c r="AO278" s="1666"/>
      <c r="AP278" s="1666"/>
      <c r="AQ278" s="1666"/>
      <c r="AR278" s="1666"/>
      <c r="AS278" s="280"/>
      <c r="AT278" s="280"/>
      <c r="AU278" s="280"/>
      <c r="AV278" s="280"/>
      <c r="AW278" s="280"/>
      <c r="AX278" s="1666"/>
      <c r="AY278" s="1666"/>
      <c r="AZ278" s="1666"/>
      <c r="BA278" s="1666"/>
      <c r="BB278" s="1666"/>
      <c r="BC278" s="1730"/>
      <c r="BD278" s="934"/>
      <c r="BE278" s="934"/>
      <c r="BF278" s="1170" t="s">
        <v>1095</v>
      </c>
    </row>
    <row s="1619" customFormat="1" customHeight="1" ht="14.25">
      <c r="A279" s="1440"/>
      <c r="B279" s="924"/>
      <c r="C279" s="1440"/>
      <c r="D279" s="1440"/>
      <c r="E279" s="794">
        <v>15</v>
      </c>
      <c r="F279" s="919" cm="1" t="str">
        <f t="array" ref="F279:F279">F278</f>
        <v>2</v>
      </c>
      <c r="G279" s="962"/>
      <c r="H279" s="962"/>
      <c r="I279" s="962"/>
      <c r="J279" s="962"/>
      <c r="K279" s="962"/>
      <c r="L279" s="962"/>
      <c r="M279" s="962"/>
      <c r="N279" s="962"/>
      <c r="O279" s="962"/>
      <c r="P279" s="962"/>
      <c r="Q279" s="925"/>
      <c r="R279" s="925"/>
      <c r="S279" s="962"/>
      <c r="T279" s="816" cm="1" t="str">
        <f t="array" ref="T279:T279">T278</f>
        <v>true</v>
      </c>
      <c r="U279" s="1440"/>
      <c r="V279" s="1440"/>
      <c r="W279" s="1440"/>
      <c r="X279" s="1440"/>
      <c r="Y279" s="1440"/>
      <c r="Z279" s="1440"/>
      <c r="AA279" s="934"/>
      <c r="AB279" s="486" t="str">
        <f>AB268&amp;".6"</f>
        <v>4.6</v>
      </c>
      <c r="AC279" s="487" t="s">
        <v>1046</v>
      </c>
      <c r="AD279" s="486" t="s">
        <v>1019</v>
      </c>
      <c r="AE279" s="1666"/>
      <c r="AF279" s="1666"/>
      <c r="AG279" s="1666"/>
      <c r="AH279" s="1666"/>
      <c r="AI279" s="280"/>
      <c r="AJ279" s="280"/>
      <c r="AK279" s="280"/>
      <c r="AL279" s="280"/>
      <c r="AM279" s="280"/>
      <c r="AN279" s="1666"/>
      <c r="AO279" s="1666"/>
      <c r="AP279" s="1666"/>
      <c r="AQ279" s="1666"/>
      <c r="AR279" s="1666"/>
      <c r="AS279" s="280"/>
      <c r="AT279" s="280"/>
      <c r="AU279" s="280"/>
      <c r="AV279" s="280"/>
      <c r="AW279" s="280"/>
      <c r="AX279" s="1666"/>
      <c r="AY279" s="1666"/>
      <c r="AZ279" s="1666"/>
      <c r="BA279" s="1666"/>
      <c r="BB279" s="1666"/>
      <c r="BC279" s="1730"/>
      <c r="BD279" s="934"/>
      <c r="BE279" s="934"/>
      <c r="BF279" s="1170" t="s">
        <v>1096</v>
      </c>
    </row>
    <row s="1619" customFormat="1" customHeight="1" ht="14.25">
      <c r="A280" s="1440"/>
      <c r="B280" s="924"/>
      <c r="C280" s="1440"/>
      <c r="D280" s="1440"/>
      <c r="E280" s="794">
        <v>15</v>
      </c>
      <c r="F280" s="919" cm="1" t="str">
        <f t="array" ref="F280:F280">F279</f>
        <v>2</v>
      </c>
      <c r="G280" s="962"/>
      <c r="H280" s="962"/>
      <c r="I280" s="962"/>
      <c r="J280" s="962"/>
      <c r="K280" s="962"/>
      <c r="L280" s="962"/>
      <c r="M280" s="962"/>
      <c r="N280" s="962"/>
      <c r="O280" s="962"/>
      <c r="P280" s="962"/>
      <c r="Q280" s="925"/>
      <c r="R280" s="925"/>
      <c r="S280" s="962"/>
      <c r="T280" s="816" cm="1" t="str">
        <f t="array" ref="T280:T280">T279</f>
        <v>true</v>
      </c>
      <c r="U280" s="1440"/>
      <c r="V280" s="1440"/>
      <c r="W280" s="1440"/>
      <c r="X280" s="1440"/>
      <c r="Y280" s="1440"/>
      <c r="Z280" s="1440"/>
      <c r="AA280" s="934"/>
      <c r="AB280" s="486" t="str">
        <f>AB268&amp;".7"</f>
        <v>4.7</v>
      </c>
      <c r="AC280" s="487" t="s">
        <v>1049</v>
      </c>
      <c r="AD280" s="486" t="s">
        <v>1019</v>
      </c>
      <c r="AE280" s="1666"/>
      <c r="AF280" s="1666"/>
      <c r="AG280" s="1666"/>
      <c r="AH280" s="1666"/>
      <c r="AI280" s="280"/>
      <c r="AJ280" s="280"/>
      <c r="AK280" s="280"/>
      <c r="AL280" s="280"/>
      <c r="AM280" s="280"/>
      <c r="AN280" s="1666"/>
      <c r="AO280" s="1666"/>
      <c r="AP280" s="1666"/>
      <c r="AQ280" s="1666"/>
      <c r="AR280" s="1666"/>
      <c r="AS280" s="280"/>
      <c r="AT280" s="280"/>
      <c r="AU280" s="280"/>
      <c r="AV280" s="280"/>
      <c r="AW280" s="280"/>
      <c r="AX280" s="1666"/>
      <c r="AY280" s="1666"/>
      <c r="AZ280" s="1666"/>
      <c r="BA280" s="1666"/>
      <c r="BB280" s="1666"/>
      <c r="BC280" s="1730"/>
      <c r="BD280" s="934"/>
      <c r="BE280" s="934"/>
      <c r="BF280" s="1170" t="s">
        <v>1097</v>
      </c>
    </row>
    <row s="1619" customFormat="1" customHeight="1" ht="14.25">
      <c r="A281" s="1440"/>
      <c r="B281" s="924"/>
      <c r="C281" s="1440"/>
      <c r="D281" s="1440"/>
      <c r="E281" s="794">
        <v>15</v>
      </c>
      <c r="F281" s="919" cm="1" t="str">
        <f t="array" ref="F281:F281">F280</f>
        <v>2</v>
      </c>
      <c r="G281" s="962"/>
      <c r="H281" s="962"/>
      <c r="I281" s="962"/>
      <c r="J281" s="962"/>
      <c r="K281" s="962"/>
      <c r="L281" s="962"/>
      <c r="M281" s="962"/>
      <c r="N281" s="962"/>
      <c r="O281" s="962"/>
      <c r="P281" s="962"/>
      <c r="Q281" s="925"/>
      <c r="R281" s="925"/>
      <c r="S281" s="962"/>
      <c r="T281" s="816" cm="1" t="str">
        <f t="array" ref="T281:T281">T280</f>
        <v>true</v>
      </c>
      <c r="U281" s="1440"/>
      <c r="V281" s="1440"/>
      <c r="W281" s="1440"/>
      <c r="X281" s="1440"/>
      <c r="Y281" s="1440"/>
      <c r="Z281" s="1440"/>
      <c r="AA281" s="934"/>
      <c r="AB281" s="486" t="str">
        <f>AB268&amp;".8"</f>
        <v>4.8</v>
      </c>
      <c r="AC281" s="487" t="s">
        <v>1052</v>
      </c>
      <c r="AD281" s="486" t="s">
        <v>1019</v>
      </c>
      <c r="AE281" s="1666"/>
      <c r="AF281" s="1666"/>
      <c r="AG281" s="1666"/>
      <c r="AH281" s="1666"/>
      <c r="AI281" s="280"/>
      <c r="AJ281" s="280"/>
      <c r="AK281" s="280"/>
      <c r="AL281" s="280"/>
      <c r="AM281" s="280"/>
      <c r="AN281" s="1666"/>
      <c r="AO281" s="1666"/>
      <c r="AP281" s="1666"/>
      <c r="AQ281" s="1666"/>
      <c r="AR281" s="1666"/>
      <c r="AS281" s="280"/>
      <c r="AT281" s="280"/>
      <c r="AU281" s="280"/>
      <c r="AV281" s="280"/>
      <c r="AW281" s="280"/>
      <c r="AX281" s="1666"/>
      <c r="AY281" s="1666"/>
      <c r="AZ281" s="1666"/>
      <c r="BA281" s="1666"/>
      <c r="BB281" s="1666"/>
      <c r="BC281" s="1730"/>
      <c r="BD281" s="934"/>
      <c r="BE281" s="934"/>
      <c r="BF281" s="1170" t="s">
        <v>1098</v>
      </c>
    </row>
    <row s="214" customFormat="1" customHeight="1" ht="21.75">
      <c r="A282" s="214"/>
      <c r="B282" s="214"/>
      <c r="C282" s="214"/>
      <c r="D282" s="214"/>
      <c r="E282" s="794">
        <v>22.8</v>
      </c>
      <c r="F282" s="919" cm="1" t="str">
        <f t="array" ref="F282:F282">F281</f>
        <v>2</v>
      </c>
      <c r="G282" s="214"/>
      <c r="H282" s="214"/>
      <c r="I282" s="214"/>
      <c r="J282" s="214"/>
      <c r="K282" s="214"/>
      <c r="L282" s="214"/>
      <c r="M282" s="214"/>
      <c r="N282" s="214"/>
      <c r="O282" s="214"/>
      <c r="P282" s="214"/>
      <c r="Q282" s="214"/>
      <c r="R282" s="214"/>
      <c r="S282" s="214"/>
      <c r="T282" s="816" cm="1" t="str">
        <f t="array" ref="T282:T282">T281</f>
        <v>true</v>
      </c>
      <c r="U282" s="214"/>
      <c r="V282" s="214"/>
      <c r="W282" s="214"/>
      <c r="X282" s="214"/>
      <c r="Y282" s="214"/>
      <c r="Z282" s="214"/>
      <c r="AA282" s="214"/>
      <c r="AB282" s="277">
        <v>5</v>
      </c>
      <c r="AC282" s="278" t="s">
        <v>1099</v>
      </c>
      <c r="AD282" s="153" t="s">
        <v>805</v>
      </c>
      <c r="AE282" s="1793">
        <f>SUM(AE283:AE286)+SUM(AE292:AE295)</f>
        <v>0</v>
      </c>
      <c r="AF282" s="1793">
        <f>SUM(AF283:AF286)+SUM(AF292:AF295)</f>
        <v>0</v>
      </c>
      <c r="AG282" s="1793">
        <f>SUM(AG283:AG286)+SUM(AG292:AG295)</f>
        <v>0</v>
      </c>
      <c r="AH282" s="1793">
        <f>SUM(AH283:AH286)+SUM(AH292:AH295)</f>
        <v>0</v>
      </c>
      <c r="AI282" s="292">
        <f>SUM(AI283:AI286)+SUM(AI292:AI295)</f>
        <v>0</v>
      </c>
      <c r="AJ282" s="292">
        <f>SUM(AJ283:AJ286)+SUM(AJ292:AJ295)</f>
        <v>0</v>
      </c>
      <c r="AK282" s="292">
        <f>SUM(AK283:AK286)+SUM(AK292:AK295)</f>
        <v>0</v>
      </c>
      <c r="AL282" s="292">
        <f>SUM(AL283:AL286)+SUM(AL292:AL295)</f>
        <v>0</v>
      </c>
      <c r="AM282" s="292">
        <f>SUM(AM283:AM286)+SUM(AM292:AM295)</f>
        <v>0</v>
      </c>
      <c r="AN282" s="1793">
        <f>SUM(AN283:AN286)+SUM(AN292:AN295)</f>
        <v>0</v>
      </c>
      <c r="AO282" s="1793">
        <f>SUM(AO283:AO286)+SUM(AO292:AO295)</f>
        <v>0</v>
      </c>
      <c r="AP282" s="1793">
        <f>SUM(AP283:AP286)+SUM(AP292:AP295)</f>
        <v>0</v>
      </c>
      <c r="AQ282" s="1793">
        <f>SUM(AQ283:AQ286)+SUM(AQ292:AQ295)</f>
        <v>0</v>
      </c>
      <c r="AR282" s="1793">
        <f>SUM(AR283:AR286)+SUM(AR292:AR295)</f>
        <v>0</v>
      </c>
      <c r="AS282" s="292">
        <f>SUM(AS283:AS286)+SUM(AS292:AS295)</f>
        <v>0</v>
      </c>
      <c r="AT282" s="292">
        <f>SUM(AT283:AT286)+SUM(AT292:AT295)</f>
        <v>0</v>
      </c>
      <c r="AU282" s="292">
        <f>SUM(AU283:AU286)+SUM(AU292:AU295)</f>
        <v>0</v>
      </c>
      <c r="AV282" s="292">
        <f>SUM(AV283:AV286)+SUM(AV292:AV295)</f>
        <v>0</v>
      </c>
      <c r="AW282" s="292">
        <f>SUM(AW283:AW286)+SUM(AW292:AW295)</f>
        <v>0</v>
      </c>
      <c r="AX282" s="1793">
        <f>SUM(AX283:AX286)+SUM(AX292:AX295)</f>
        <v>0</v>
      </c>
      <c r="AY282" s="1793">
        <f>SUM(AY283:AY286)+SUM(AY292:AY295)</f>
        <v>0</v>
      </c>
      <c r="AZ282" s="1793">
        <f>SUM(AZ283:AZ286)+SUM(AZ292:AZ295)</f>
        <v>0</v>
      </c>
      <c r="BA282" s="1793">
        <f>SUM(BA283:BA286)+SUM(BA292:BA295)</f>
        <v>0</v>
      </c>
      <c r="BB282" s="1793">
        <f>SUM(BB283:BB286)+SUM(BB292:BB295)</f>
        <v>0</v>
      </c>
      <c r="BC282" s="1730"/>
      <c r="BD282" s="214"/>
      <c r="BE282" s="214"/>
      <c r="BF282" s="1170" t="s">
        <v>1100</v>
      </c>
    </row>
    <row s="1619" customFormat="1" customHeight="1" ht="14.25">
      <c r="A283" s="1440"/>
      <c r="B283" s="924"/>
      <c r="C283" s="1440"/>
      <c r="D283" s="1440"/>
      <c r="E283" s="794">
        <v>15</v>
      </c>
      <c r="F283" s="919" cm="1" t="str">
        <f t="array" ref="F283:F283">F282</f>
        <v>2</v>
      </c>
      <c r="G283" s="962"/>
      <c r="H283" s="962"/>
      <c r="I283" s="962"/>
      <c r="J283" s="962"/>
      <c r="K283" s="962"/>
      <c r="L283" s="962"/>
      <c r="M283" s="962"/>
      <c r="N283" s="962"/>
      <c r="O283" s="962"/>
      <c r="P283" s="962"/>
      <c r="Q283" s="925"/>
      <c r="R283" s="925"/>
      <c r="S283" s="962"/>
      <c r="T283" s="816" cm="1" t="str">
        <f t="array" ref="T283:T283">T282</f>
        <v>true</v>
      </c>
      <c r="U283" s="1440"/>
      <c r="V283" s="1440"/>
      <c r="W283" s="1440"/>
      <c r="X283" s="1440"/>
      <c r="Y283" s="1440"/>
      <c r="Z283" s="1440"/>
      <c r="AA283" s="934"/>
      <c r="AB283" s="477" t="str">
        <f>AB282&amp;".1"</f>
        <v>5.1</v>
      </c>
      <c r="AC283" s="469" t="s">
        <v>1018</v>
      </c>
      <c r="AD283" s="477" t="s">
        <v>1019</v>
      </c>
      <c r="AE283" s="1807">
        <f>(AE227*2+AE241+AE255-AE269)/2</f>
        <v>0</v>
      </c>
      <c r="AF283" s="1807">
        <f>(AF227*2+AF241+AF255-AF269)/2</f>
        <v>0</v>
      </c>
      <c r="AG283" s="1807">
        <f>(AG227*2+AG241+AG255-AG269)/2</f>
        <v>0</v>
      </c>
      <c r="AH283" s="1807">
        <f>(AH227*2+AH241+AH255-AH269)/2</f>
        <v>0</v>
      </c>
      <c r="AI283" s="481">
        <f>(AI227*2+AI241+AI255-AI269)/2</f>
        <v>0</v>
      </c>
      <c r="AJ283" s="481">
        <f>(AJ227*2+AJ241+AJ255-AJ269)/2</f>
        <v>0</v>
      </c>
      <c r="AK283" s="481">
        <f>(AK227*2+AK241+AK255-AK269)/2</f>
        <v>0</v>
      </c>
      <c r="AL283" s="481">
        <f>(AL227*2+AL241+AL255-AL269)/2</f>
        <v>0</v>
      </c>
      <c r="AM283" s="481">
        <f>(AM227*2+AM241+AM255-AM269)/2</f>
        <v>0</v>
      </c>
      <c r="AN283" s="1807">
        <f>(AN227*2+AN241+AN255-AN269)/2</f>
        <v>0</v>
      </c>
      <c r="AO283" s="1807">
        <f>(AO227*2+AO241+AO255-AO269)/2</f>
        <v>0</v>
      </c>
      <c r="AP283" s="1807">
        <f>(AP227*2+AP241+AP255-AP269)/2</f>
        <v>0</v>
      </c>
      <c r="AQ283" s="1807">
        <f>(AQ227*2+AQ241+AQ255-AQ269)/2</f>
        <v>0</v>
      </c>
      <c r="AR283" s="1807">
        <f>(AR227*2+AR241+AR255-AR269)/2</f>
        <v>0</v>
      </c>
      <c r="AS283" s="481">
        <f>(AS227*2+AS241+AS255-AS269)/2</f>
        <v>0</v>
      </c>
      <c r="AT283" s="481">
        <f>(AT227*2+AT241+AT255-AT269)/2</f>
        <v>0</v>
      </c>
      <c r="AU283" s="481">
        <f>(AU227*2+AU241+AU255-AU269)/2</f>
        <v>0</v>
      </c>
      <c r="AV283" s="481">
        <f>(AV227*2+AV241+AV255-AV269)/2</f>
        <v>0</v>
      </c>
      <c r="AW283" s="481">
        <f>(AW227*2+AW241+AW255-AW269)/2</f>
        <v>0</v>
      </c>
      <c r="AX283" s="1807">
        <f>(AX227*2+AX241+AX255-AX269)/2</f>
        <v>0</v>
      </c>
      <c r="AY283" s="1807">
        <f>(AY227*2+AY241+AY255-AY269)/2</f>
        <v>0</v>
      </c>
      <c r="AZ283" s="1807">
        <f>(AZ227*2+AZ241+AZ255-AZ269)/2</f>
        <v>0</v>
      </c>
      <c r="BA283" s="1807">
        <f>(BA227*2+BA241+BA255-BA269)/2</f>
        <v>0</v>
      </c>
      <c r="BB283" s="1807">
        <f>(BB227*2+BB241+BB255-BB269)/2</f>
        <v>0</v>
      </c>
      <c r="BC283" s="1809"/>
      <c r="BD283" s="934"/>
      <c r="BE283" s="934"/>
      <c r="BF283" s="1170" t="s">
        <v>1101</v>
      </c>
    </row>
    <row s="1619" customFormat="1" customHeight="1" ht="14.25">
      <c r="A284" s="1440"/>
      <c r="B284" s="924"/>
      <c r="C284" s="1440"/>
      <c r="D284" s="1440"/>
      <c r="E284" s="794">
        <v>15</v>
      </c>
      <c r="F284" s="919" cm="1" t="str">
        <f t="array" ref="F284:F284">F283</f>
        <v>2</v>
      </c>
      <c r="G284" s="962"/>
      <c r="H284" s="962"/>
      <c r="I284" s="962"/>
      <c r="J284" s="962"/>
      <c r="K284" s="962"/>
      <c r="L284" s="962"/>
      <c r="M284" s="962"/>
      <c r="N284" s="962"/>
      <c r="O284" s="962"/>
      <c r="P284" s="962"/>
      <c r="Q284" s="925"/>
      <c r="R284" s="925"/>
      <c r="S284" s="962"/>
      <c r="T284" s="816" cm="1" t="str">
        <f t="array" ref="T284:T284">T283</f>
        <v>true</v>
      </c>
      <c r="U284" s="1440"/>
      <c r="V284" s="1440"/>
      <c r="W284" s="1440"/>
      <c r="X284" s="1440"/>
      <c r="Y284" s="1440"/>
      <c r="Z284" s="1440"/>
      <c r="AA284" s="934"/>
      <c r="AB284" s="477" t="str">
        <f>AB282&amp;".2"</f>
        <v>5.2</v>
      </c>
      <c r="AC284" s="469" t="s">
        <v>1021</v>
      </c>
      <c r="AD284" s="477" t="s">
        <v>1019</v>
      </c>
      <c r="AE284" s="1807">
        <f>(AE228*2+AE242+AE256-AE270)/2</f>
        <v>0</v>
      </c>
      <c r="AF284" s="1807">
        <f>(AF228*2+AF242+AF256-AF270)/2</f>
        <v>0</v>
      </c>
      <c r="AG284" s="1807">
        <f>(AG228*2+AG242+AG256-AG270)/2</f>
        <v>0</v>
      </c>
      <c r="AH284" s="1807">
        <f>(AH228*2+AH242+AH256-AH270)/2</f>
        <v>0</v>
      </c>
      <c r="AI284" s="481">
        <f>(AI228*2+AI242+AI256-AI270)/2</f>
        <v>0</v>
      </c>
      <c r="AJ284" s="481">
        <f>(AJ228*2+AJ242+AJ256-AJ270)/2</f>
        <v>0</v>
      </c>
      <c r="AK284" s="481">
        <f>(AK228*2+AK242+AK256-AK270)/2</f>
        <v>0</v>
      </c>
      <c r="AL284" s="481">
        <f>(AL228*2+AL242+AL256-AL270)/2</f>
        <v>0</v>
      </c>
      <c r="AM284" s="481">
        <f>(AM228*2+AM242+AM256-AM270)/2</f>
        <v>0</v>
      </c>
      <c r="AN284" s="1807">
        <f>(AN228*2+AN242+AN256-AN270)/2</f>
        <v>0</v>
      </c>
      <c r="AO284" s="1807">
        <f>(AO228*2+AO242+AO256-AO270)/2</f>
        <v>0</v>
      </c>
      <c r="AP284" s="1807">
        <f>(AP228*2+AP242+AP256-AP270)/2</f>
        <v>0</v>
      </c>
      <c r="AQ284" s="1807">
        <f>(AQ228*2+AQ242+AQ256-AQ270)/2</f>
        <v>0</v>
      </c>
      <c r="AR284" s="1807">
        <f>(AR228*2+AR242+AR256-AR270)/2</f>
        <v>0</v>
      </c>
      <c r="AS284" s="481">
        <f>(AS228*2+AS242+AS256-AS270)/2</f>
        <v>0</v>
      </c>
      <c r="AT284" s="481">
        <f>(AT228*2+AT242+AT256-AT270)/2</f>
        <v>0</v>
      </c>
      <c r="AU284" s="481">
        <f>(AU228*2+AU242+AU256-AU270)/2</f>
        <v>0</v>
      </c>
      <c r="AV284" s="481">
        <f>(AV228*2+AV242+AV256-AV270)/2</f>
        <v>0</v>
      </c>
      <c r="AW284" s="481">
        <f>(AW228*2+AW242+AW256-AW270)/2</f>
        <v>0</v>
      </c>
      <c r="AX284" s="1807">
        <f>(AX228*2+AX242+AX256-AX270)/2</f>
        <v>0</v>
      </c>
      <c r="AY284" s="1807">
        <f>(AY228*2+AY242+AY256-AY270)/2</f>
        <v>0</v>
      </c>
      <c r="AZ284" s="1807">
        <f>(AZ228*2+AZ242+AZ256-AZ270)/2</f>
        <v>0</v>
      </c>
      <c r="BA284" s="1807">
        <f>(BA228*2+BA242+BA256-BA270)/2</f>
        <v>0</v>
      </c>
      <c r="BB284" s="1807">
        <f>(BB228*2+BB242+BB256-BB270)/2</f>
        <v>0</v>
      </c>
      <c r="BC284" s="1809"/>
      <c r="BD284" s="934"/>
      <c r="BE284" s="934"/>
      <c r="BF284" s="1170" t="s">
        <v>1102</v>
      </c>
    </row>
    <row s="1619" customFormat="1" customHeight="1" ht="14.25">
      <c r="A285" s="1440"/>
      <c r="B285" s="924"/>
      <c r="C285" s="1440"/>
      <c r="D285" s="1440"/>
      <c r="E285" s="794">
        <v>15</v>
      </c>
      <c r="F285" s="919" cm="1" t="str">
        <f t="array" ref="F285:F285">F284</f>
        <v>2</v>
      </c>
      <c r="G285" s="962"/>
      <c r="H285" s="962"/>
      <c r="I285" s="962"/>
      <c r="J285" s="962"/>
      <c r="K285" s="962"/>
      <c r="L285" s="962"/>
      <c r="M285" s="962"/>
      <c r="N285" s="962"/>
      <c r="O285" s="962"/>
      <c r="P285" s="962"/>
      <c r="Q285" s="925"/>
      <c r="R285" s="925"/>
      <c r="S285" s="962"/>
      <c r="T285" s="816" cm="1" t="str">
        <f t="array" ref="T285:T285">T284</f>
        <v>true</v>
      </c>
      <c r="U285" s="1440"/>
      <c r="V285" s="1440"/>
      <c r="W285" s="1440"/>
      <c r="X285" s="1440"/>
      <c r="Y285" s="1440"/>
      <c r="Z285" s="1440"/>
      <c r="AA285" s="934"/>
      <c r="AB285" s="477" t="str">
        <f>AB282&amp;".3"</f>
        <v>5.3</v>
      </c>
      <c r="AC285" s="469" t="s">
        <v>1023</v>
      </c>
      <c r="AD285" s="477" t="s">
        <v>1019</v>
      </c>
      <c r="AE285" s="1807">
        <f>(AE229*2+AE243+AE257-AE271)/2</f>
        <v>0</v>
      </c>
      <c r="AF285" s="1807">
        <f>(AF229*2+AF243+AF257-AF271)/2</f>
        <v>0</v>
      </c>
      <c r="AG285" s="1807">
        <f>(AG229*2+AG243+AG257-AG271)/2</f>
        <v>0</v>
      </c>
      <c r="AH285" s="1807">
        <f>(AH229*2+AH243+AH257-AH271)/2</f>
        <v>0</v>
      </c>
      <c r="AI285" s="481">
        <f>(AI229*2+AI243+AI257-AI271)/2</f>
        <v>0</v>
      </c>
      <c r="AJ285" s="481">
        <f>(AJ229*2+AJ243+AJ257-AJ271)/2</f>
        <v>0</v>
      </c>
      <c r="AK285" s="481">
        <f>(AK229*2+AK243+AK257-AK271)/2</f>
        <v>0</v>
      </c>
      <c r="AL285" s="481">
        <f>(AL229*2+AL243+AL257-AL271)/2</f>
        <v>0</v>
      </c>
      <c r="AM285" s="481">
        <f>(AM229*2+AM243+AM257-AM271)/2</f>
        <v>0</v>
      </c>
      <c r="AN285" s="1807">
        <f>(AN229*2+AN243+AN257-AN271)/2</f>
        <v>0</v>
      </c>
      <c r="AO285" s="1807">
        <f>(AO229*2+AO243+AO257-AO271)/2</f>
        <v>0</v>
      </c>
      <c r="AP285" s="1807">
        <f>(AP229*2+AP243+AP257-AP271)/2</f>
        <v>0</v>
      </c>
      <c r="AQ285" s="1807">
        <f>(AQ229*2+AQ243+AQ257-AQ271)/2</f>
        <v>0</v>
      </c>
      <c r="AR285" s="1807">
        <f>(AR229*2+AR243+AR257-AR271)/2</f>
        <v>0</v>
      </c>
      <c r="AS285" s="481">
        <f>(AS229*2+AS243+AS257-AS271)/2</f>
        <v>0</v>
      </c>
      <c r="AT285" s="481">
        <f>(AT229*2+AT243+AT257-AT271)/2</f>
        <v>0</v>
      </c>
      <c r="AU285" s="481">
        <f>(AU229*2+AU243+AU257-AU271)/2</f>
        <v>0</v>
      </c>
      <c r="AV285" s="481">
        <f>(AV229*2+AV243+AV257-AV271)/2</f>
        <v>0</v>
      </c>
      <c r="AW285" s="481">
        <f>(AW229*2+AW243+AW257-AW271)/2</f>
        <v>0</v>
      </c>
      <c r="AX285" s="1807">
        <f>(AX229*2+AX243+AX257-AX271)/2</f>
        <v>0</v>
      </c>
      <c r="AY285" s="1807">
        <f>(AY229*2+AY243+AY257-AY271)/2</f>
        <v>0</v>
      </c>
      <c r="AZ285" s="1807">
        <f>(AZ229*2+AZ243+AZ257-AZ271)/2</f>
        <v>0</v>
      </c>
      <c r="BA285" s="1807">
        <f>(BA229*2+BA243+BA257-BA271)/2</f>
        <v>0</v>
      </c>
      <c r="BB285" s="1807">
        <f>(BB229*2+BB243+BB257-BB271)/2</f>
        <v>0</v>
      </c>
      <c r="BC285" s="1809"/>
      <c r="BD285" s="934"/>
      <c r="BE285" s="934"/>
      <c r="BF285" s="1170" t="s">
        <v>1103</v>
      </c>
    </row>
    <row s="1619" customFormat="1" customHeight="1" ht="14.25">
      <c r="A286" s="1440"/>
      <c r="B286" s="924"/>
      <c r="C286" s="1440"/>
      <c r="D286" s="1440"/>
      <c r="E286" s="794">
        <v>15</v>
      </c>
      <c r="F286" s="919" cm="1" t="str">
        <f t="array" ref="F286:F286">F285</f>
        <v>2</v>
      </c>
      <c r="G286" s="962"/>
      <c r="H286" s="962"/>
      <c r="I286" s="962"/>
      <c r="J286" s="962"/>
      <c r="K286" s="962"/>
      <c r="L286" s="962"/>
      <c r="M286" s="962"/>
      <c r="N286" s="962"/>
      <c r="O286" s="962"/>
      <c r="P286" s="962"/>
      <c r="Q286" s="925"/>
      <c r="R286" s="925"/>
      <c r="S286" s="962"/>
      <c r="T286" s="816" cm="1" t="str">
        <f t="array" ref="T286:T286">T285</f>
        <v>true</v>
      </c>
      <c r="U286" s="1440"/>
      <c r="V286" s="1440"/>
      <c r="W286" s="1440"/>
      <c r="X286" s="1440"/>
      <c r="Y286" s="1440"/>
      <c r="Z286" s="1440"/>
      <c r="AA286" s="934"/>
      <c r="AB286" s="477" t="str">
        <f>AB282&amp;".4"</f>
        <v>5.4</v>
      </c>
      <c r="AC286" s="469" t="s">
        <v>1025</v>
      </c>
      <c r="AD286" s="477" t="s">
        <v>1019</v>
      </c>
      <c r="AE286" s="1807">
        <f>SUM(AE287:AE291)</f>
        <v>0</v>
      </c>
      <c r="AF286" s="1807">
        <f>SUM(AF287:AF291)</f>
        <v>0</v>
      </c>
      <c r="AG286" s="1807">
        <f>SUM(AG287:AG291)</f>
        <v>0</v>
      </c>
      <c r="AH286" s="1807">
        <f>SUM(AH287:AH291)</f>
        <v>0</v>
      </c>
      <c r="AI286" s="481">
        <f>SUM(AI287:AI291)</f>
        <v>0</v>
      </c>
      <c r="AJ286" s="481">
        <f>SUM(AJ287:AJ291)</f>
        <v>0</v>
      </c>
      <c r="AK286" s="481">
        <f>SUM(AK287:AK291)</f>
        <v>0</v>
      </c>
      <c r="AL286" s="481">
        <f>SUM(AL287:AL291)</f>
        <v>0</v>
      </c>
      <c r="AM286" s="481">
        <f>SUM(AM287:AM291)</f>
        <v>0</v>
      </c>
      <c r="AN286" s="1807">
        <f>SUM(AN287:AN291)</f>
        <v>0</v>
      </c>
      <c r="AO286" s="1807">
        <f>SUM(AO287:AO291)</f>
        <v>0</v>
      </c>
      <c r="AP286" s="1807">
        <f>SUM(AP287:AP291)</f>
        <v>0</v>
      </c>
      <c r="AQ286" s="1807">
        <f>SUM(AQ287:AQ291)</f>
        <v>0</v>
      </c>
      <c r="AR286" s="1807">
        <f>SUM(AR287:AR291)</f>
        <v>0</v>
      </c>
      <c r="AS286" s="481">
        <f>SUM(AS287:AS291)</f>
        <v>0</v>
      </c>
      <c r="AT286" s="481">
        <f>SUM(AT287:AT291)</f>
        <v>0</v>
      </c>
      <c r="AU286" s="481">
        <f>SUM(AU287:AU291)</f>
        <v>0</v>
      </c>
      <c r="AV286" s="481">
        <f>SUM(AV287:AV291)</f>
        <v>0</v>
      </c>
      <c r="AW286" s="481">
        <f>SUM(AW287:AW291)</f>
        <v>0</v>
      </c>
      <c r="AX286" s="1807">
        <f>SUM(AX287:AX291)</f>
        <v>0</v>
      </c>
      <c r="AY286" s="1807">
        <f>SUM(AY287:AY291)</f>
        <v>0</v>
      </c>
      <c r="AZ286" s="1807">
        <f>SUM(AZ287:AZ291)</f>
        <v>0</v>
      </c>
      <c r="BA286" s="1807">
        <f>SUM(BA287:BA291)</f>
        <v>0</v>
      </c>
      <c r="BB286" s="1807">
        <f>SUM(BB287:BB291)</f>
        <v>0</v>
      </c>
      <c r="BC286" s="1809"/>
      <c r="BD286" s="934"/>
      <c r="BE286" s="934"/>
      <c r="BF286" s="1170" t="s">
        <v>1104</v>
      </c>
    </row>
    <row s="1619" customFormat="1" customHeight="1" ht="14.25">
      <c r="A287" s="1440"/>
      <c r="B287" s="924"/>
      <c r="C287" s="1440"/>
      <c r="D287" s="1440"/>
      <c r="E287" s="794">
        <v>15</v>
      </c>
      <c r="F287" s="919" cm="1" t="str">
        <f t="array" ref="F287:F287">F286</f>
        <v>2</v>
      </c>
      <c r="G287" s="962"/>
      <c r="H287" s="962"/>
      <c r="I287" s="962"/>
      <c r="J287" s="962"/>
      <c r="K287" s="962"/>
      <c r="L287" s="962"/>
      <c r="M287" s="962"/>
      <c r="N287" s="962"/>
      <c r="O287" s="962"/>
      <c r="P287" s="962"/>
      <c r="Q287" s="925"/>
      <c r="R287" s="925"/>
      <c r="S287" s="962"/>
      <c r="T287" s="816" cm="1" t="str">
        <f t="array" ref="T287:T287">T286</f>
        <v>true</v>
      </c>
      <c r="U287" s="1440"/>
      <c r="V287" s="1440"/>
      <c r="W287" s="1440"/>
      <c r="X287" s="1440"/>
      <c r="Y287" s="1440"/>
      <c r="Z287" s="1440"/>
      <c r="AA287" s="934"/>
      <c r="AB287" s="477" t="str">
        <f>AB286&amp;".1"</f>
        <v>5.4.1</v>
      </c>
      <c r="AC287" s="527" t="s">
        <v>1028</v>
      </c>
      <c r="AD287" s="477" t="s">
        <v>1019</v>
      </c>
      <c r="AE287" s="1807">
        <f>(AE231*2+AE245+AE259-AE273)/2</f>
        <v>0</v>
      </c>
      <c r="AF287" s="1807">
        <f>(AF231*2+AF245+AF259-AF273)/2</f>
        <v>0</v>
      </c>
      <c r="AG287" s="1807">
        <f>(AG231*2+AG245+AG259-AG273)/2</f>
        <v>0</v>
      </c>
      <c r="AH287" s="1807">
        <f>(AH231*2+AH245+AH259-AH273)/2</f>
        <v>0</v>
      </c>
      <c r="AI287" s="481">
        <f>(AI231*2+AI245+AI259-AI273)/2</f>
        <v>0</v>
      </c>
      <c r="AJ287" s="481">
        <f>(AJ231*2+AJ245+AJ259-AJ273)/2</f>
        <v>0</v>
      </c>
      <c r="AK287" s="481">
        <f>(AK231*2+AK245+AK259-AK273)/2</f>
        <v>0</v>
      </c>
      <c r="AL287" s="481">
        <f>(AL231*2+AL245+AL259-AL273)/2</f>
        <v>0</v>
      </c>
      <c r="AM287" s="481">
        <f>(AM231*2+AM245+AM259-AM273)/2</f>
        <v>0</v>
      </c>
      <c r="AN287" s="1807">
        <f>(AN231*2+AN245+AN259-AN273)/2</f>
        <v>0</v>
      </c>
      <c r="AO287" s="1807">
        <f>(AO231*2+AO245+AO259-AO273)/2</f>
        <v>0</v>
      </c>
      <c r="AP287" s="1807">
        <f>(AP231*2+AP245+AP259-AP273)/2</f>
        <v>0</v>
      </c>
      <c r="AQ287" s="1807">
        <f>(AQ231*2+AQ245+AQ259-AQ273)/2</f>
        <v>0</v>
      </c>
      <c r="AR287" s="1807">
        <f>(AR231*2+AR245+AR259-AR273)/2</f>
        <v>0</v>
      </c>
      <c r="AS287" s="481">
        <f>(AS231*2+AS245+AS259-AS273)/2</f>
        <v>0</v>
      </c>
      <c r="AT287" s="481">
        <f>(AT231*2+AT245+AT259-AT273)/2</f>
        <v>0</v>
      </c>
      <c r="AU287" s="481">
        <f>(AU231*2+AU245+AU259-AU273)/2</f>
        <v>0</v>
      </c>
      <c r="AV287" s="481">
        <f>(AV231*2+AV245+AV259-AV273)/2</f>
        <v>0</v>
      </c>
      <c r="AW287" s="481">
        <f>(AW231*2+AW245+AW259-AW273)/2</f>
        <v>0</v>
      </c>
      <c r="AX287" s="1807">
        <f>(AX231*2+AX245+AX259-AX273)/2</f>
        <v>0</v>
      </c>
      <c r="AY287" s="1807">
        <f>(AY231*2+AY245+AY259-AY273)/2</f>
        <v>0</v>
      </c>
      <c r="AZ287" s="1807">
        <f>(AZ231*2+AZ245+AZ259-AZ273)/2</f>
        <v>0</v>
      </c>
      <c r="BA287" s="1807">
        <f>(BA231*2+BA245+BA259-BA273)/2</f>
        <v>0</v>
      </c>
      <c r="BB287" s="1807">
        <f>(BB231*2+BB245+BB259-BB273)/2</f>
        <v>0</v>
      </c>
      <c r="BC287" s="1809"/>
      <c r="BD287" s="934"/>
      <c r="BE287" s="934"/>
      <c r="BF287" s="1170" t="s">
        <v>1105</v>
      </c>
    </row>
    <row s="1619" customFormat="1" customHeight="1" ht="14.25">
      <c r="A288" s="1440"/>
      <c r="B288" s="924"/>
      <c r="C288" s="1440"/>
      <c r="D288" s="1440"/>
      <c r="E288" s="794">
        <v>15</v>
      </c>
      <c r="F288" s="919" cm="1" t="str">
        <f t="array" ref="F288:F288">F287</f>
        <v>2</v>
      </c>
      <c r="G288" s="962"/>
      <c r="H288" s="962"/>
      <c r="I288" s="962"/>
      <c r="J288" s="962"/>
      <c r="K288" s="962"/>
      <c r="L288" s="962"/>
      <c r="M288" s="962"/>
      <c r="N288" s="962"/>
      <c r="O288" s="962"/>
      <c r="P288" s="962"/>
      <c r="Q288" s="925"/>
      <c r="R288" s="925"/>
      <c r="S288" s="962"/>
      <c r="T288" s="816" cm="1" t="str">
        <f t="array" ref="T288:T288">T287</f>
        <v>true</v>
      </c>
      <c r="U288" s="1440"/>
      <c r="V288" s="1440"/>
      <c r="W288" s="1440"/>
      <c r="X288" s="1440"/>
      <c r="Y288" s="1440"/>
      <c r="Z288" s="1440"/>
      <c r="AA288" s="934"/>
      <c r="AB288" s="477" t="str">
        <f>AB286&amp;".2"</f>
        <v>5.4.2</v>
      </c>
      <c r="AC288" s="527" t="s">
        <v>1031</v>
      </c>
      <c r="AD288" s="477" t="s">
        <v>1019</v>
      </c>
      <c r="AE288" s="1807">
        <f>(AE232*2+AE246+AE260-AE274)/2</f>
        <v>0</v>
      </c>
      <c r="AF288" s="1807">
        <f>(AF232*2+AF246+AF260-AF274)/2</f>
        <v>0</v>
      </c>
      <c r="AG288" s="1807">
        <f>(AG232*2+AG246+AG260-AG274)/2</f>
        <v>0</v>
      </c>
      <c r="AH288" s="1807">
        <f>(AH232*2+AH246+AH260-AH274)/2</f>
        <v>0</v>
      </c>
      <c r="AI288" s="481">
        <f>(AI232*2+AI246+AI260-AI274)/2</f>
        <v>0</v>
      </c>
      <c r="AJ288" s="481">
        <f>(AJ232*2+AJ246+AJ260-AJ274)/2</f>
        <v>0</v>
      </c>
      <c r="AK288" s="481">
        <f>(AK232*2+AK246+AK260-AK274)/2</f>
        <v>0</v>
      </c>
      <c r="AL288" s="481">
        <f>(AL232*2+AL246+AL260-AL274)/2</f>
        <v>0</v>
      </c>
      <c r="AM288" s="481">
        <f>(AM232*2+AM246+AM260-AM274)/2</f>
        <v>0</v>
      </c>
      <c r="AN288" s="1807">
        <f>(AN232*2+AN246+AN260-AN274)/2</f>
        <v>0</v>
      </c>
      <c r="AO288" s="1807">
        <f>(AO232*2+AO246+AO260-AO274)/2</f>
        <v>0</v>
      </c>
      <c r="AP288" s="1807">
        <f>(AP232*2+AP246+AP260-AP274)/2</f>
        <v>0</v>
      </c>
      <c r="AQ288" s="1807">
        <f>(AQ232*2+AQ246+AQ260-AQ274)/2</f>
        <v>0</v>
      </c>
      <c r="AR288" s="1807">
        <f>(AR232*2+AR246+AR260-AR274)/2</f>
        <v>0</v>
      </c>
      <c r="AS288" s="481">
        <f>(AS232*2+AS246+AS260-AS274)/2</f>
        <v>0</v>
      </c>
      <c r="AT288" s="481">
        <f>(AT232*2+AT246+AT260-AT274)/2</f>
        <v>0</v>
      </c>
      <c r="AU288" s="481">
        <f>(AU232*2+AU246+AU260-AU274)/2</f>
        <v>0</v>
      </c>
      <c r="AV288" s="481">
        <f>(AV232*2+AV246+AV260-AV274)/2</f>
        <v>0</v>
      </c>
      <c r="AW288" s="481">
        <f>(AW232*2+AW246+AW260-AW274)/2</f>
        <v>0</v>
      </c>
      <c r="AX288" s="1807">
        <f>(AX232*2+AX246+AX260-AX274)/2</f>
        <v>0</v>
      </c>
      <c r="AY288" s="1807">
        <f>(AY232*2+AY246+AY260-AY274)/2</f>
        <v>0</v>
      </c>
      <c r="AZ288" s="1807">
        <f>(AZ232*2+AZ246+AZ260-AZ274)/2</f>
        <v>0</v>
      </c>
      <c r="BA288" s="1807">
        <f>(BA232*2+BA246+BA260-BA274)/2</f>
        <v>0</v>
      </c>
      <c r="BB288" s="1807">
        <f>(BB232*2+BB246+BB260-BB274)/2</f>
        <v>0</v>
      </c>
      <c r="BC288" s="1809"/>
      <c r="BD288" s="934"/>
      <c r="BE288" s="934"/>
      <c r="BF288" s="1170" t="s">
        <v>1106</v>
      </c>
    </row>
    <row s="1619" customFormat="1" customHeight="1" ht="14.25">
      <c r="A289" s="1440"/>
      <c r="B289" s="924"/>
      <c r="C289" s="1440"/>
      <c r="D289" s="1440"/>
      <c r="E289" s="794">
        <v>15</v>
      </c>
      <c r="F289" s="919" cm="1" t="str">
        <f t="array" ref="F289:F289">F288</f>
        <v>2</v>
      </c>
      <c r="G289" s="962"/>
      <c r="H289" s="962"/>
      <c r="I289" s="962"/>
      <c r="J289" s="962"/>
      <c r="K289" s="962"/>
      <c r="L289" s="962"/>
      <c r="M289" s="962"/>
      <c r="N289" s="962"/>
      <c r="O289" s="962"/>
      <c r="P289" s="962"/>
      <c r="Q289" s="925"/>
      <c r="R289" s="925"/>
      <c r="S289" s="962"/>
      <c r="T289" s="816" cm="1" t="str">
        <f t="array" ref="T289:T289">T288</f>
        <v>true</v>
      </c>
      <c r="U289" s="1440"/>
      <c r="V289" s="1440"/>
      <c r="W289" s="1440"/>
      <c r="X289" s="1440"/>
      <c r="Y289" s="1440"/>
      <c r="Z289" s="1440"/>
      <c r="AA289" s="934"/>
      <c r="AB289" s="477" t="str">
        <f>AB286&amp;".3"</f>
        <v>5.4.3</v>
      </c>
      <c r="AC289" s="527" t="s">
        <v>1034</v>
      </c>
      <c r="AD289" s="477" t="s">
        <v>1019</v>
      </c>
      <c r="AE289" s="1807">
        <f>(AE233*2+AE247+AE261-AE275)/2</f>
        <v>0</v>
      </c>
      <c r="AF289" s="1807">
        <f>(AF233*2+AF247+AF261-AF275)/2</f>
        <v>0</v>
      </c>
      <c r="AG289" s="1807">
        <f>(AG233*2+AG247+AG261-AG275)/2</f>
        <v>0</v>
      </c>
      <c r="AH289" s="1807">
        <f>(AH233*2+AH247+AH261-AH275)/2</f>
        <v>0</v>
      </c>
      <c r="AI289" s="481">
        <f>(AI233*2+AI247+AI261-AI275)/2</f>
        <v>0</v>
      </c>
      <c r="AJ289" s="481">
        <f>(AJ233*2+AJ247+AJ261-AJ275)/2</f>
        <v>0</v>
      </c>
      <c r="AK289" s="481">
        <f>(AK233*2+AK247+AK261-AK275)/2</f>
        <v>0</v>
      </c>
      <c r="AL289" s="481">
        <f>(AL233*2+AL247+AL261-AL275)/2</f>
        <v>0</v>
      </c>
      <c r="AM289" s="481">
        <f>(AM233*2+AM247+AM261-AM275)/2</f>
        <v>0</v>
      </c>
      <c r="AN289" s="1807">
        <f>(AN233*2+AN247+AN261-AN275)/2</f>
        <v>0</v>
      </c>
      <c r="AO289" s="1807">
        <f>(AO233*2+AO247+AO261-AO275)/2</f>
        <v>0</v>
      </c>
      <c r="AP289" s="1807">
        <f>(AP233*2+AP247+AP261-AP275)/2</f>
        <v>0</v>
      </c>
      <c r="AQ289" s="1807">
        <f>(AQ233*2+AQ247+AQ261-AQ275)/2</f>
        <v>0</v>
      </c>
      <c r="AR289" s="1807">
        <f>(AR233*2+AR247+AR261-AR275)/2</f>
        <v>0</v>
      </c>
      <c r="AS289" s="481">
        <f>(AS233*2+AS247+AS261-AS275)/2</f>
        <v>0</v>
      </c>
      <c r="AT289" s="481">
        <f>(AT233*2+AT247+AT261-AT275)/2</f>
        <v>0</v>
      </c>
      <c r="AU289" s="481">
        <f>(AU233*2+AU247+AU261-AU275)/2</f>
        <v>0</v>
      </c>
      <c r="AV289" s="481">
        <f>(AV233*2+AV247+AV261-AV275)/2</f>
        <v>0</v>
      </c>
      <c r="AW289" s="481">
        <f>(AW233*2+AW247+AW261-AW275)/2</f>
        <v>0</v>
      </c>
      <c r="AX289" s="1807">
        <f>(AX233*2+AX247+AX261-AX275)/2</f>
        <v>0</v>
      </c>
      <c r="AY289" s="1807">
        <f>(AY233*2+AY247+AY261-AY275)/2</f>
        <v>0</v>
      </c>
      <c r="AZ289" s="1807">
        <f>(AZ233*2+AZ247+AZ261-AZ275)/2</f>
        <v>0</v>
      </c>
      <c r="BA289" s="1807">
        <f>(BA233*2+BA247+BA261-BA275)/2</f>
        <v>0</v>
      </c>
      <c r="BB289" s="1807">
        <f>(BB233*2+BB247+BB261-BB275)/2</f>
        <v>0</v>
      </c>
      <c r="BC289" s="1809"/>
      <c r="BD289" s="934"/>
      <c r="BE289" s="934"/>
      <c r="BF289" s="1170" t="s">
        <v>1107</v>
      </c>
    </row>
    <row s="1619" customFormat="1" customHeight="1" ht="14.25">
      <c r="A290" s="1440"/>
      <c r="B290" s="924"/>
      <c r="C290" s="1440"/>
      <c r="D290" s="1440"/>
      <c r="E290" s="794">
        <v>15</v>
      </c>
      <c r="F290" s="919" cm="1" t="str">
        <f t="array" ref="F290:F290">F289</f>
        <v>2</v>
      </c>
      <c r="G290" s="962"/>
      <c r="H290" s="962"/>
      <c r="I290" s="962"/>
      <c r="J290" s="962"/>
      <c r="K290" s="962"/>
      <c r="L290" s="962"/>
      <c r="M290" s="962"/>
      <c r="N290" s="962"/>
      <c r="O290" s="962"/>
      <c r="P290" s="962"/>
      <c r="Q290" s="925"/>
      <c r="R290" s="925"/>
      <c r="S290" s="962"/>
      <c r="T290" s="816" cm="1" t="str">
        <f t="array" ref="T290:T290">T289</f>
        <v>true</v>
      </c>
      <c r="U290" s="1440"/>
      <c r="V290" s="1440"/>
      <c r="W290" s="1440"/>
      <c r="X290" s="1440"/>
      <c r="Y290" s="1440"/>
      <c r="Z290" s="1440"/>
      <c r="AA290" s="934"/>
      <c r="AB290" s="477" t="str">
        <f>AB286&amp;".4"</f>
        <v>5.4.4</v>
      </c>
      <c r="AC290" s="527" t="s">
        <v>1037</v>
      </c>
      <c r="AD290" s="477" t="s">
        <v>1019</v>
      </c>
      <c r="AE290" s="1807">
        <f>(AE234*2+AE248+AE262-AE276)/2</f>
        <v>0</v>
      </c>
      <c r="AF290" s="1807">
        <f>(AF234*2+AF248+AF262-AF276)/2</f>
        <v>0</v>
      </c>
      <c r="AG290" s="1807">
        <f>(AG234*2+AG248+AG262-AG276)/2</f>
        <v>0</v>
      </c>
      <c r="AH290" s="1807">
        <f>(AH234*2+AH248+AH262-AH276)/2</f>
        <v>0</v>
      </c>
      <c r="AI290" s="481">
        <f>(AI234*2+AI248+AI262-AI276)/2</f>
        <v>0</v>
      </c>
      <c r="AJ290" s="481">
        <f>(AJ234*2+AJ248+AJ262-AJ276)/2</f>
        <v>0</v>
      </c>
      <c r="AK290" s="481">
        <f>(AK234*2+AK248+AK262-AK276)/2</f>
        <v>0</v>
      </c>
      <c r="AL290" s="481">
        <f>(AL234*2+AL248+AL262-AL276)/2</f>
        <v>0</v>
      </c>
      <c r="AM290" s="481">
        <f>(AM234*2+AM248+AM262-AM276)/2</f>
        <v>0</v>
      </c>
      <c r="AN290" s="1807">
        <f>(AN234*2+AN248+AN262-AN276)/2</f>
        <v>0</v>
      </c>
      <c r="AO290" s="1807">
        <f>(AO234*2+AO248+AO262-AO276)/2</f>
        <v>0</v>
      </c>
      <c r="AP290" s="1807">
        <f>(AP234*2+AP248+AP262-AP276)/2</f>
        <v>0</v>
      </c>
      <c r="AQ290" s="1807">
        <f>(AQ234*2+AQ248+AQ262-AQ276)/2</f>
        <v>0</v>
      </c>
      <c r="AR290" s="1807">
        <f>(AR234*2+AR248+AR262-AR276)/2</f>
        <v>0</v>
      </c>
      <c r="AS290" s="481">
        <f>(AS234*2+AS248+AS262-AS276)/2</f>
        <v>0</v>
      </c>
      <c r="AT290" s="481">
        <f>(AT234*2+AT248+AT262-AT276)/2</f>
        <v>0</v>
      </c>
      <c r="AU290" s="481">
        <f>(AU234*2+AU248+AU262-AU276)/2</f>
        <v>0</v>
      </c>
      <c r="AV290" s="481">
        <f>(AV234*2+AV248+AV262-AV276)/2</f>
        <v>0</v>
      </c>
      <c r="AW290" s="481">
        <f>(AW234*2+AW248+AW262-AW276)/2</f>
        <v>0</v>
      </c>
      <c r="AX290" s="1807">
        <f>(AX234*2+AX248+AX262-AX276)/2</f>
        <v>0</v>
      </c>
      <c r="AY290" s="1807">
        <f>(AY234*2+AY248+AY262-AY276)/2</f>
        <v>0</v>
      </c>
      <c r="AZ290" s="1807">
        <f>(AZ234*2+AZ248+AZ262-AZ276)/2</f>
        <v>0</v>
      </c>
      <c r="BA290" s="1807">
        <f>(BA234*2+BA248+BA262-BA276)/2</f>
        <v>0</v>
      </c>
      <c r="BB290" s="1807">
        <f>(BB234*2+BB248+BB262-BB276)/2</f>
        <v>0</v>
      </c>
      <c r="BC290" s="1809"/>
      <c r="BD290" s="934"/>
      <c r="BE290" s="934"/>
      <c r="BF290" s="1170" t="s">
        <v>1108</v>
      </c>
    </row>
    <row s="1619" customFormat="1" customHeight="1" ht="14.25">
      <c r="A291" s="1440"/>
      <c r="B291" s="924"/>
      <c r="C291" s="1440"/>
      <c r="D291" s="1440"/>
      <c r="E291" s="794">
        <v>15</v>
      </c>
      <c r="F291" s="919" cm="1" t="str">
        <f t="array" ref="F291:F291">F290</f>
        <v>2</v>
      </c>
      <c r="G291" s="962"/>
      <c r="H291" s="962"/>
      <c r="I291" s="962"/>
      <c r="J291" s="962"/>
      <c r="K291" s="962"/>
      <c r="L291" s="962"/>
      <c r="M291" s="962"/>
      <c r="N291" s="962"/>
      <c r="O291" s="962"/>
      <c r="P291" s="962"/>
      <c r="Q291" s="925"/>
      <c r="R291" s="925"/>
      <c r="S291" s="962"/>
      <c r="T291" s="816" cm="1" t="str">
        <f t="array" ref="T291:T291">T290</f>
        <v>true</v>
      </c>
      <c r="U291" s="1440"/>
      <c r="V291" s="1440"/>
      <c r="W291" s="1440"/>
      <c r="X291" s="1440"/>
      <c r="Y291" s="1440"/>
      <c r="Z291" s="1440"/>
      <c r="AA291" s="934"/>
      <c r="AB291" s="477" t="str">
        <f>AB286&amp;".5"</f>
        <v>5.4.5</v>
      </c>
      <c r="AC291" s="527" t="s">
        <v>1040</v>
      </c>
      <c r="AD291" s="477" t="s">
        <v>1019</v>
      </c>
      <c r="AE291" s="1807">
        <f>(AE235*2+AE249+AE263-AE277)/2</f>
        <v>0</v>
      </c>
      <c r="AF291" s="1807">
        <f>(AF235*2+AF249+AF263-AF277)/2</f>
        <v>0</v>
      </c>
      <c r="AG291" s="1807">
        <f>(AG235*2+AG249+AG263-AG277)/2</f>
        <v>0</v>
      </c>
      <c r="AH291" s="1807">
        <f>(AH235*2+AH249+AH263-AH277)/2</f>
        <v>0</v>
      </c>
      <c r="AI291" s="481">
        <f>(AI235*2+AI249+AI263-AI277)/2</f>
        <v>0</v>
      </c>
      <c r="AJ291" s="481">
        <f>(AJ235*2+AJ249+AJ263-AJ277)/2</f>
        <v>0</v>
      </c>
      <c r="AK291" s="481">
        <f>(AK235*2+AK249+AK263-AK277)/2</f>
        <v>0</v>
      </c>
      <c r="AL291" s="481">
        <f>(AL235*2+AL249+AL263-AL277)/2</f>
        <v>0</v>
      </c>
      <c r="AM291" s="481">
        <f>(AM235*2+AM249+AM263-AM277)/2</f>
        <v>0</v>
      </c>
      <c r="AN291" s="1807">
        <f>(AN235*2+AN249+AN263-AN277)/2</f>
        <v>0</v>
      </c>
      <c r="AO291" s="1807">
        <f>(AO235*2+AO249+AO263-AO277)/2</f>
        <v>0</v>
      </c>
      <c r="AP291" s="1807">
        <f>(AP235*2+AP249+AP263-AP277)/2</f>
        <v>0</v>
      </c>
      <c r="AQ291" s="1807">
        <f>(AQ235*2+AQ249+AQ263-AQ277)/2</f>
        <v>0</v>
      </c>
      <c r="AR291" s="1807">
        <f>(AR235*2+AR249+AR263-AR277)/2</f>
        <v>0</v>
      </c>
      <c r="AS291" s="481">
        <f>(AS235*2+AS249+AS263-AS277)/2</f>
        <v>0</v>
      </c>
      <c r="AT291" s="481">
        <f>(AT235*2+AT249+AT263-AT277)/2</f>
        <v>0</v>
      </c>
      <c r="AU291" s="481">
        <f>(AU235*2+AU249+AU263-AU277)/2</f>
        <v>0</v>
      </c>
      <c r="AV291" s="481">
        <f>(AV235*2+AV249+AV263-AV277)/2</f>
        <v>0</v>
      </c>
      <c r="AW291" s="481">
        <f>(AW235*2+AW249+AW263-AW277)/2</f>
        <v>0</v>
      </c>
      <c r="AX291" s="1807">
        <f>(AX235*2+AX249+AX263-AX277)/2</f>
        <v>0</v>
      </c>
      <c r="AY291" s="1807">
        <f>(AY235*2+AY249+AY263-AY277)/2</f>
        <v>0</v>
      </c>
      <c r="AZ291" s="1807">
        <f>(AZ235*2+AZ249+AZ263-AZ277)/2</f>
        <v>0</v>
      </c>
      <c r="BA291" s="1807">
        <f>(BA235*2+BA249+BA263-BA277)/2</f>
        <v>0</v>
      </c>
      <c r="BB291" s="1807">
        <f>(BB235*2+BB249+BB263-BB277)/2</f>
        <v>0</v>
      </c>
      <c r="BC291" s="1809"/>
      <c r="BD291" s="934"/>
      <c r="BE291" s="934"/>
      <c r="BF291" s="1170" t="s">
        <v>1109</v>
      </c>
    </row>
    <row s="1619" customFormat="1" customHeight="1" ht="14.25">
      <c r="A292" s="1440"/>
      <c r="B292" s="924"/>
      <c r="C292" s="1440"/>
      <c r="D292" s="1440"/>
      <c r="E292" s="794">
        <v>15</v>
      </c>
      <c r="F292" s="919" cm="1" t="str">
        <f t="array" ref="F292:F292">F291</f>
        <v>2</v>
      </c>
      <c r="G292" s="962"/>
      <c r="H292" s="962"/>
      <c r="I292" s="962"/>
      <c r="J292" s="962"/>
      <c r="K292" s="962"/>
      <c r="L292" s="962"/>
      <c r="M292" s="962"/>
      <c r="N292" s="962"/>
      <c r="O292" s="962"/>
      <c r="P292" s="962"/>
      <c r="Q292" s="925"/>
      <c r="R292" s="925"/>
      <c r="S292" s="962"/>
      <c r="T292" s="816" cm="1" t="str">
        <f t="array" ref="T292:T292">T291</f>
        <v>true</v>
      </c>
      <c r="U292" s="1440"/>
      <c r="V292" s="1440"/>
      <c r="W292" s="1440"/>
      <c r="X292" s="1440"/>
      <c r="Y292" s="1440"/>
      <c r="Z292" s="1440"/>
      <c r="AA292" s="934"/>
      <c r="AB292" s="477" t="str">
        <f>AB282&amp;".5"</f>
        <v>5.5</v>
      </c>
      <c r="AC292" s="469" t="s">
        <v>1043</v>
      </c>
      <c r="AD292" s="477" t="s">
        <v>1019</v>
      </c>
      <c r="AE292" s="1807">
        <f>(AE236*2+AE250+AE264-AE278)/2</f>
        <v>0</v>
      </c>
      <c r="AF292" s="1807">
        <f>(AF236*2+AF250+AF264-AF278)/2</f>
        <v>0</v>
      </c>
      <c r="AG292" s="1807">
        <f>(AG236*2+AG250+AG264-AG278)/2</f>
        <v>0</v>
      </c>
      <c r="AH292" s="1807">
        <f>(AH236*2+AH250+AH264-AH278)/2</f>
        <v>0</v>
      </c>
      <c r="AI292" s="481">
        <f>(AI236*2+AI250+AI264-AI278)/2</f>
        <v>0</v>
      </c>
      <c r="AJ292" s="481">
        <f>(AJ236*2+AJ250+AJ264-AJ278)/2</f>
        <v>0</v>
      </c>
      <c r="AK292" s="481">
        <f>(AK236*2+AK250+AK264-AK278)/2</f>
        <v>0</v>
      </c>
      <c r="AL292" s="481">
        <f>(AL236*2+AL250+AL264-AL278)/2</f>
        <v>0</v>
      </c>
      <c r="AM292" s="481">
        <f>(AM236*2+AM250+AM264-AM278)/2</f>
        <v>0</v>
      </c>
      <c r="AN292" s="1807">
        <f>(AN236*2+AN250+AN264-AN278)/2</f>
        <v>0</v>
      </c>
      <c r="AO292" s="1807">
        <f>(AO236*2+AO250+AO264-AO278)/2</f>
        <v>0</v>
      </c>
      <c r="AP292" s="1807">
        <f>(AP236*2+AP250+AP264-AP278)/2</f>
        <v>0</v>
      </c>
      <c r="AQ292" s="1807">
        <f>(AQ236*2+AQ250+AQ264-AQ278)/2</f>
        <v>0</v>
      </c>
      <c r="AR292" s="1807">
        <f>(AR236*2+AR250+AR264-AR278)/2</f>
        <v>0</v>
      </c>
      <c r="AS292" s="481">
        <f>(AS236*2+AS250+AS264-AS278)/2</f>
        <v>0</v>
      </c>
      <c r="AT292" s="481">
        <f>(AT236*2+AT250+AT264-AT278)/2</f>
        <v>0</v>
      </c>
      <c r="AU292" s="481">
        <f>(AU236*2+AU250+AU264-AU278)/2</f>
        <v>0</v>
      </c>
      <c r="AV292" s="481">
        <f>(AV236*2+AV250+AV264-AV278)/2</f>
        <v>0</v>
      </c>
      <c r="AW292" s="481">
        <f>(AW236*2+AW250+AW264-AW278)/2</f>
        <v>0</v>
      </c>
      <c r="AX292" s="1807">
        <f>(AX236*2+AX250+AX264-AX278)/2</f>
        <v>0</v>
      </c>
      <c r="AY292" s="1807">
        <f>(AY236*2+AY250+AY264-AY278)/2</f>
        <v>0</v>
      </c>
      <c r="AZ292" s="1807">
        <f>(AZ236*2+AZ250+AZ264-AZ278)/2</f>
        <v>0</v>
      </c>
      <c r="BA292" s="1807">
        <f>(BA236*2+BA250+BA264-BA278)/2</f>
        <v>0</v>
      </c>
      <c r="BB292" s="1807">
        <f>(BB236*2+BB250+BB264-BB278)/2</f>
        <v>0</v>
      </c>
      <c r="BC292" s="1809"/>
      <c r="BD292" s="934"/>
      <c r="BE292" s="934"/>
      <c r="BF292" s="1170" t="s">
        <v>1110</v>
      </c>
    </row>
    <row s="1619" customFormat="1" customHeight="1" ht="14.25">
      <c r="A293" s="1440"/>
      <c r="B293" s="924"/>
      <c r="C293" s="1440"/>
      <c r="D293" s="1440"/>
      <c r="E293" s="794">
        <v>15</v>
      </c>
      <c r="F293" s="919" cm="1" t="str">
        <f t="array" ref="F293:F293">F292</f>
        <v>2</v>
      </c>
      <c r="G293" s="962"/>
      <c r="H293" s="962"/>
      <c r="I293" s="962"/>
      <c r="J293" s="962"/>
      <c r="K293" s="962"/>
      <c r="L293" s="962"/>
      <c r="M293" s="962"/>
      <c r="N293" s="962"/>
      <c r="O293" s="962"/>
      <c r="P293" s="962"/>
      <c r="Q293" s="925"/>
      <c r="R293" s="925"/>
      <c r="S293" s="962"/>
      <c r="T293" s="816" cm="1" t="str">
        <f t="array" ref="T293:T293">T292</f>
        <v>true</v>
      </c>
      <c r="U293" s="1440"/>
      <c r="V293" s="1440"/>
      <c r="W293" s="1440"/>
      <c r="X293" s="1440"/>
      <c r="Y293" s="1440"/>
      <c r="Z293" s="1440"/>
      <c r="AA293" s="934"/>
      <c r="AB293" s="477" t="str">
        <f>AB282&amp;".6"</f>
        <v>5.6</v>
      </c>
      <c r="AC293" s="469" t="s">
        <v>1046</v>
      </c>
      <c r="AD293" s="477" t="s">
        <v>1019</v>
      </c>
      <c r="AE293" s="1807">
        <f>(AE237*2+AE251+AE265-AE279)/2</f>
        <v>0</v>
      </c>
      <c r="AF293" s="1807">
        <f>(AF237*2+AF251+AF265-AF279)/2</f>
        <v>0</v>
      </c>
      <c r="AG293" s="1807">
        <f>(AG237*2+AG251+AG265-AG279)/2</f>
        <v>0</v>
      </c>
      <c r="AH293" s="1807">
        <f>(AH237*2+AH251+AH265-AH279)/2</f>
        <v>0</v>
      </c>
      <c r="AI293" s="481">
        <f>(AI237*2+AI251+AI265-AI279)/2</f>
        <v>0</v>
      </c>
      <c r="AJ293" s="481">
        <f>(AJ237*2+AJ251+AJ265-AJ279)/2</f>
        <v>0</v>
      </c>
      <c r="AK293" s="481">
        <f>(AK237*2+AK251+AK265-AK279)/2</f>
        <v>0</v>
      </c>
      <c r="AL293" s="481">
        <f>(AL237*2+AL251+AL265-AL279)/2</f>
        <v>0</v>
      </c>
      <c r="AM293" s="481">
        <f>(AM237*2+AM251+AM265-AM279)/2</f>
        <v>0</v>
      </c>
      <c r="AN293" s="1807">
        <f>(AN237*2+AN251+AN265-AN279)/2</f>
        <v>0</v>
      </c>
      <c r="AO293" s="1807">
        <f>(AO237*2+AO251+AO265-AO279)/2</f>
        <v>0</v>
      </c>
      <c r="AP293" s="1807">
        <f>(AP237*2+AP251+AP265-AP279)/2</f>
        <v>0</v>
      </c>
      <c r="AQ293" s="1807">
        <f>(AQ237*2+AQ251+AQ265-AQ279)/2</f>
        <v>0</v>
      </c>
      <c r="AR293" s="1807">
        <f>(AR237*2+AR251+AR265-AR279)/2</f>
        <v>0</v>
      </c>
      <c r="AS293" s="481">
        <f>(AS237*2+AS251+AS265-AS279)/2</f>
        <v>0</v>
      </c>
      <c r="AT293" s="481">
        <f>(AT237*2+AT251+AT265-AT279)/2</f>
        <v>0</v>
      </c>
      <c r="AU293" s="481">
        <f>(AU237*2+AU251+AU265-AU279)/2</f>
        <v>0</v>
      </c>
      <c r="AV293" s="481">
        <f>(AV237*2+AV251+AV265-AV279)/2</f>
        <v>0</v>
      </c>
      <c r="AW293" s="481">
        <f>(AW237*2+AW251+AW265-AW279)/2</f>
        <v>0</v>
      </c>
      <c r="AX293" s="1807">
        <f>(AX237*2+AX251+AX265-AX279)/2</f>
        <v>0</v>
      </c>
      <c r="AY293" s="1807">
        <f>(AY237*2+AY251+AY265-AY279)/2</f>
        <v>0</v>
      </c>
      <c r="AZ293" s="1807">
        <f>(AZ237*2+AZ251+AZ265-AZ279)/2</f>
        <v>0</v>
      </c>
      <c r="BA293" s="1807">
        <f>(BA237*2+BA251+BA265-BA279)/2</f>
        <v>0</v>
      </c>
      <c r="BB293" s="1807">
        <f>(BB237*2+BB251+BB265-BB279)/2</f>
        <v>0</v>
      </c>
      <c r="BC293" s="1809"/>
      <c r="BD293" s="934"/>
      <c r="BE293" s="934"/>
      <c r="BF293" s="1170" t="s">
        <v>1111</v>
      </c>
    </row>
    <row s="1619" customFormat="1" customHeight="1" ht="14.25">
      <c r="A294" s="1440"/>
      <c r="B294" s="924"/>
      <c r="C294" s="1440"/>
      <c r="D294" s="1440"/>
      <c r="E294" s="794">
        <v>15</v>
      </c>
      <c r="F294" s="919" cm="1" t="str">
        <f t="array" ref="F294:F294">F293</f>
        <v>2</v>
      </c>
      <c r="G294" s="962"/>
      <c r="H294" s="962"/>
      <c r="I294" s="962"/>
      <c r="J294" s="962"/>
      <c r="K294" s="962"/>
      <c r="L294" s="962"/>
      <c r="M294" s="962"/>
      <c r="N294" s="962"/>
      <c r="O294" s="962"/>
      <c r="P294" s="962"/>
      <c r="Q294" s="925"/>
      <c r="R294" s="925"/>
      <c r="S294" s="962"/>
      <c r="T294" s="816" cm="1" t="str">
        <f t="array" ref="T294:T294">T293</f>
        <v>true</v>
      </c>
      <c r="U294" s="1440"/>
      <c r="V294" s="1440"/>
      <c r="W294" s="1440"/>
      <c r="X294" s="1440"/>
      <c r="Y294" s="1440"/>
      <c r="Z294" s="1440"/>
      <c r="AA294" s="934"/>
      <c r="AB294" s="477" t="str">
        <f>AB282&amp;".7"</f>
        <v>5.7</v>
      </c>
      <c r="AC294" s="469" t="s">
        <v>1049</v>
      </c>
      <c r="AD294" s="477" t="s">
        <v>1019</v>
      </c>
      <c r="AE294" s="1807">
        <f>(AE238*2+AE252+AE266-AE280)/2</f>
        <v>0</v>
      </c>
      <c r="AF294" s="1807">
        <f>(AF238*2+AF252+AF266-AF280)/2</f>
        <v>0</v>
      </c>
      <c r="AG294" s="1807">
        <f>(AG238*2+AG252+AG266-AG280)/2</f>
        <v>0</v>
      </c>
      <c r="AH294" s="1807">
        <f>(AH238*2+AH252+AH266-AH280)/2</f>
        <v>0</v>
      </c>
      <c r="AI294" s="481">
        <f>(AI238*2+AI252+AI266-AI280)/2</f>
        <v>0</v>
      </c>
      <c r="AJ294" s="481">
        <f>(AJ238*2+AJ252+AJ266-AJ280)/2</f>
        <v>0</v>
      </c>
      <c r="AK294" s="481">
        <f>(AK238*2+AK252+AK266-AK280)/2</f>
        <v>0</v>
      </c>
      <c r="AL294" s="481">
        <f>(AL238*2+AL252+AL266-AL280)/2</f>
        <v>0</v>
      </c>
      <c r="AM294" s="481">
        <f>(AM238*2+AM252+AM266-AM280)/2</f>
        <v>0</v>
      </c>
      <c r="AN294" s="1807">
        <f>(AN238*2+AN252+AN266-AN280)/2</f>
        <v>0</v>
      </c>
      <c r="AO294" s="1807">
        <f>(AO238*2+AO252+AO266-AO280)/2</f>
        <v>0</v>
      </c>
      <c r="AP294" s="1807">
        <f>(AP238*2+AP252+AP266-AP280)/2</f>
        <v>0</v>
      </c>
      <c r="AQ294" s="1807">
        <f>(AQ238*2+AQ252+AQ266-AQ280)/2</f>
        <v>0</v>
      </c>
      <c r="AR294" s="1807">
        <f>(AR238*2+AR252+AR266-AR280)/2</f>
        <v>0</v>
      </c>
      <c r="AS294" s="481">
        <f>(AS238*2+AS252+AS266-AS280)/2</f>
        <v>0</v>
      </c>
      <c r="AT294" s="481">
        <f>(AT238*2+AT252+AT266-AT280)/2</f>
        <v>0</v>
      </c>
      <c r="AU294" s="481">
        <f>(AU238*2+AU252+AU266-AU280)/2</f>
        <v>0</v>
      </c>
      <c r="AV294" s="481">
        <f>(AV238*2+AV252+AV266-AV280)/2</f>
        <v>0</v>
      </c>
      <c r="AW294" s="481">
        <f>(AW238*2+AW252+AW266-AW280)/2</f>
        <v>0</v>
      </c>
      <c r="AX294" s="1807">
        <f>(AX238*2+AX252+AX266-AX280)/2</f>
        <v>0</v>
      </c>
      <c r="AY294" s="1807">
        <f>(AY238*2+AY252+AY266-AY280)/2</f>
        <v>0</v>
      </c>
      <c r="AZ294" s="1807">
        <f>(AZ238*2+AZ252+AZ266-AZ280)/2</f>
        <v>0</v>
      </c>
      <c r="BA294" s="1807">
        <f>(BA238*2+BA252+BA266-BA280)/2</f>
        <v>0</v>
      </c>
      <c r="BB294" s="1807">
        <f>(BB238*2+BB252+BB266-BB280)/2</f>
        <v>0</v>
      </c>
      <c r="BC294" s="1809"/>
      <c r="BD294" s="934"/>
      <c r="BE294" s="934"/>
      <c r="BF294" s="1170" t="s">
        <v>1112</v>
      </c>
    </row>
    <row s="1619" customFormat="1" customHeight="1" ht="14.25">
      <c r="A295" s="1440"/>
      <c r="B295" s="924"/>
      <c r="C295" s="1440"/>
      <c r="D295" s="1440"/>
      <c r="E295" s="794">
        <v>15</v>
      </c>
      <c r="F295" s="919" cm="1" t="str">
        <f t="array" ref="F295:F295">F294</f>
        <v>2</v>
      </c>
      <c r="G295" s="962"/>
      <c r="H295" s="962"/>
      <c r="I295" s="962"/>
      <c r="J295" s="962"/>
      <c r="K295" s="962"/>
      <c r="L295" s="962"/>
      <c r="M295" s="962"/>
      <c r="N295" s="962"/>
      <c r="O295" s="962"/>
      <c r="P295" s="962"/>
      <c r="Q295" s="925"/>
      <c r="R295" s="925"/>
      <c r="S295" s="962"/>
      <c r="T295" s="816" cm="1" t="str">
        <f t="array" ref="T295:T295">T294</f>
        <v>true</v>
      </c>
      <c r="U295" s="1440"/>
      <c r="V295" s="1440"/>
      <c r="W295" s="1440"/>
      <c r="X295" s="1440"/>
      <c r="Y295" s="1440"/>
      <c r="Z295" s="1440"/>
      <c r="AA295" s="934"/>
      <c r="AB295" s="477" t="str">
        <f>AB282&amp;".8"</f>
        <v>5.8</v>
      </c>
      <c r="AC295" s="469" t="s">
        <v>1052</v>
      </c>
      <c r="AD295" s="477" t="s">
        <v>1019</v>
      </c>
      <c r="AE295" s="1807">
        <f>(AE239*2+AE253+AE267-AE281)/2</f>
        <v>0</v>
      </c>
      <c r="AF295" s="1807">
        <f>(AF239*2+AF253+AF267-AF281)/2</f>
        <v>0</v>
      </c>
      <c r="AG295" s="1807">
        <f>(AG239*2+AG253+AG267-AG281)/2</f>
        <v>0</v>
      </c>
      <c r="AH295" s="1807">
        <f>(AH239*2+AH253+AH267-AH281)/2</f>
        <v>0</v>
      </c>
      <c r="AI295" s="481">
        <f>(AI239*2+AI253+AI267-AI281)/2</f>
        <v>0</v>
      </c>
      <c r="AJ295" s="481">
        <f>(AJ239*2+AJ253+AJ267-AJ281)/2</f>
        <v>0</v>
      </c>
      <c r="AK295" s="481">
        <f>(AK239*2+AK253+AK267-AK281)/2</f>
        <v>0</v>
      </c>
      <c r="AL295" s="481">
        <f>(AL239*2+AL253+AL267-AL281)/2</f>
        <v>0</v>
      </c>
      <c r="AM295" s="481">
        <f>(AM239*2+AM253+AM267-AM281)/2</f>
        <v>0</v>
      </c>
      <c r="AN295" s="1807">
        <f>(AN239*2+AN253+AN267-AN281)/2</f>
        <v>0</v>
      </c>
      <c r="AO295" s="1807">
        <f>(AO239*2+AO253+AO267-AO281)/2</f>
        <v>0</v>
      </c>
      <c r="AP295" s="1807">
        <f>(AP239*2+AP253+AP267-AP281)/2</f>
        <v>0</v>
      </c>
      <c r="AQ295" s="1807">
        <f>(AQ239*2+AQ253+AQ267-AQ281)/2</f>
        <v>0</v>
      </c>
      <c r="AR295" s="1807">
        <f>(AR239*2+AR253+AR267-AR281)/2</f>
        <v>0</v>
      </c>
      <c r="AS295" s="481">
        <f>(AS239*2+AS253+AS267-AS281)/2</f>
        <v>0</v>
      </c>
      <c r="AT295" s="481">
        <f>(AT239*2+AT253+AT267-AT281)/2</f>
        <v>0</v>
      </c>
      <c r="AU295" s="481">
        <f>(AU239*2+AU253+AU267-AU281)/2</f>
        <v>0</v>
      </c>
      <c r="AV295" s="481">
        <f>(AV239*2+AV253+AV267-AV281)/2</f>
        <v>0</v>
      </c>
      <c r="AW295" s="481">
        <f>(AW239*2+AW253+AW267-AW281)/2</f>
        <v>0</v>
      </c>
      <c r="AX295" s="1807">
        <f>(AX239*2+AX253+AX267-AX281)/2</f>
        <v>0</v>
      </c>
      <c r="AY295" s="1807">
        <f>(AY239*2+AY253+AY267-AY281)/2</f>
        <v>0</v>
      </c>
      <c r="AZ295" s="1807">
        <f>(AZ239*2+AZ253+AZ267-AZ281)/2</f>
        <v>0</v>
      </c>
      <c r="BA295" s="1807">
        <f>(BA239*2+BA253+BA267-BA281)/2</f>
        <v>0</v>
      </c>
      <c r="BB295" s="1807">
        <f>(BB239*2+BB253+BB267-BB281)/2</f>
        <v>0</v>
      </c>
      <c r="BC295" s="1809"/>
      <c r="BD295" s="934"/>
      <c r="BE295" s="934"/>
      <c r="BF295" s="1170" t="s">
        <v>1113</v>
      </c>
    </row>
    <row s="214" customFormat="1" customHeight="1" ht="21.75">
      <c r="A296" s="214"/>
      <c r="B296" s="214"/>
      <c r="C296" s="214"/>
      <c r="D296" s="214"/>
      <c r="E296" s="794">
        <v>22.8</v>
      </c>
      <c r="F296" s="919" cm="1" t="str">
        <f t="array" ref="F296:F296">F295</f>
        <v>2</v>
      </c>
      <c r="G296" s="214"/>
      <c r="H296" s="214"/>
      <c r="I296" s="214"/>
      <c r="J296" s="214"/>
      <c r="K296" s="214"/>
      <c r="L296" s="214"/>
      <c r="M296" s="214"/>
      <c r="N296" s="214"/>
      <c r="O296" s="214"/>
      <c r="P296" s="214"/>
      <c r="Q296" s="214"/>
      <c r="R296" s="214"/>
      <c r="S296" s="214"/>
      <c r="T296" s="816" cm="1" t="str">
        <f t="array" ref="T296:T296">T295</f>
        <v>true</v>
      </c>
      <c r="U296" s="214"/>
      <c r="V296" s="214"/>
      <c r="W296" s="214"/>
      <c r="X296" s="214"/>
      <c r="Y296" s="214"/>
      <c r="Z296" s="214"/>
      <c r="AA296" s="214"/>
      <c r="AB296" s="277">
        <v>6</v>
      </c>
      <c r="AC296" s="278" t="s">
        <v>1114</v>
      </c>
      <c r="AD296" s="486" t="s">
        <v>490</v>
      </c>
      <c r="AE296" s="1793"/>
      <c r="AF296" s="1793"/>
      <c r="AG296" s="1793"/>
      <c r="AH296" s="1793"/>
      <c r="AI296" s="292"/>
      <c r="AJ296" s="292"/>
      <c r="AK296" s="292"/>
      <c r="AL296" s="292"/>
      <c r="AM296" s="292"/>
      <c r="AN296" s="1793"/>
      <c r="AO296" s="1793"/>
      <c r="AP296" s="1793"/>
      <c r="AQ296" s="1793"/>
      <c r="AR296" s="1793"/>
      <c r="AS296" s="292"/>
      <c r="AT296" s="292"/>
      <c r="AU296" s="292"/>
      <c r="AV296" s="292"/>
      <c r="AW296" s="292"/>
      <c r="AX296" s="1793"/>
      <c r="AY296" s="1793"/>
      <c r="AZ296" s="1793"/>
      <c r="BA296" s="1793"/>
      <c r="BB296" s="1793"/>
      <c r="BC296" s="1730"/>
      <c r="BD296" s="214"/>
      <c r="BE296" s="214"/>
      <c r="BF296" s="1170" t="s">
        <v>1115</v>
      </c>
    </row>
    <row s="1619" customFormat="1" customHeight="1" ht="14.25">
      <c r="A297" s="1440"/>
      <c r="B297" s="924"/>
      <c r="C297" s="1440"/>
      <c r="D297" s="1440"/>
      <c r="E297" s="794">
        <v>15</v>
      </c>
      <c r="F297" s="919" cm="1" t="str">
        <f t="array" ref="F297:F297">F296</f>
        <v>2</v>
      </c>
      <c r="G297" s="962"/>
      <c r="H297" s="962"/>
      <c r="I297" s="962"/>
      <c r="J297" s="962"/>
      <c r="K297" s="962"/>
      <c r="L297" s="962"/>
      <c r="M297" s="962"/>
      <c r="N297" s="962"/>
      <c r="O297" s="962"/>
      <c r="P297" s="962"/>
      <c r="Q297" s="925"/>
      <c r="R297" s="925"/>
      <c r="S297" s="962"/>
      <c r="T297" s="816" cm="1" t="str">
        <f t="array" ref="T297:T297">T296</f>
        <v>true</v>
      </c>
      <c r="U297" s="1440"/>
      <c r="V297" s="1440"/>
      <c r="W297" s="1440"/>
      <c r="X297" s="1440"/>
      <c r="Y297" s="1440"/>
      <c r="Z297" s="1440"/>
      <c r="AA297" s="934"/>
      <c r="AB297" s="486" t="str">
        <f>AB296&amp;".1"</f>
        <v>6.1</v>
      </c>
      <c r="AC297" s="487" t="s">
        <v>1018</v>
      </c>
      <c r="AD297" s="486" t="s">
        <v>490</v>
      </c>
      <c r="AE297" s="1666">
        <f>IF(AE283=0,0,AE311/AE283*100)</f>
        <v>0</v>
      </c>
      <c r="AF297" s="1666">
        <f>IF(AF283=0,0,AF311/AF283*100)</f>
        <v>0</v>
      </c>
      <c r="AG297" s="1666">
        <f>IF(AG283=0,0,AG311/AG283*100)</f>
        <v>0</v>
      </c>
      <c r="AH297" s="1666">
        <f>IF(AH283=0,0,AH311/AH283*100)</f>
        <v>0</v>
      </c>
      <c r="AI297" s="280">
        <f>IF(AI283=0,0,AI311/AI283*100)</f>
        <v>0</v>
      </c>
      <c r="AJ297" s="280">
        <f>IF(AJ283=0,0,AJ311/AJ283*100)</f>
        <v>0</v>
      </c>
      <c r="AK297" s="280">
        <f>IF(AK283=0,0,AK311/AK283*100)</f>
        <v>0</v>
      </c>
      <c r="AL297" s="280">
        <f>IF(AL283=0,0,AL311/AL283*100)</f>
        <v>0</v>
      </c>
      <c r="AM297" s="280">
        <f>IF(AM283=0,0,AM311/AM283*100)</f>
        <v>0</v>
      </c>
      <c r="AN297" s="1666">
        <f>IF(AN283=0,0,AN311/AN283*100)</f>
        <v>0</v>
      </c>
      <c r="AO297" s="1666">
        <f>IF(AO283=0,0,AO311/AO283*100)</f>
        <v>0</v>
      </c>
      <c r="AP297" s="1666">
        <f>IF(AP283=0,0,AP311/AP283*100)</f>
        <v>0</v>
      </c>
      <c r="AQ297" s="1666">
        <f>IF(AQ283=0,0,AQ311/AQ283*100)</f>
        <v>0</v>
      </c>
      <c r="AR297" s="1666">
        <f>IF(AR283=0,0,AR311/AR283*100)</f>
        <v>0</v>
      </c>
      <c r="AS297" s="280">
        <f>IF(AS283=0,0,AS311/AS283*100)</f>
        <v>0</v>
      </c>
      <c r="AT297" s="280">
        <f>IF(AT283=0,0,AT311/AT283*100)</f>
        <v>0</v>
      </c>
      <c r="AU297" s="280">
        <f>IF(AU283=0,0,AU311/AU283*100)</f>
        <v>0</v>
      </c>
      <c r="AV297" s="280">
        <f>IF(AV283=0,0,AV311/AV283*100)</f>
        <v>0</v>
      </c>
      <c r="AW297" s="280">
        <f>IF(AW283=0,0,AW311/AW283*100)</f>
        <v>0</v>
      </c>
      <c r="AX297" s="1666">
        <f>IF(AX283=0,0,AX311/AX283*100)</f>
        <v>0</v>
      </c>
      <c r="AY297" s="1666">
        <f>IF(AY283=0,0,AY311/AY283*100)</f>
        <v>0</v>
      </c>
      <c r="AZ297" s="1666">
        <f>IF(AZ283=0,0,AZ311/AZ283*100)</f>
        <v>0</v>
      </c>
      <c r="BA297" s="1666">
        <f>IF(BA283=0,0,BA311/BA283*100)</f>
        <v>0</v>
      </c>
      <c r="BB297" s="1666">
        <f>IF(BB283=0,0,BB311/BB283*100)</f>
        <v>0</v>
      </c>
      <c r="BC297" s="1730"/>
      <c r="BD297" s="934"/>
      <c r="BE297" s="934"/>
      <c r="BF297" s="1170" t="s">
        <v>1116</v>
      </c>
    </row>
    <row s="1619" customFormat="1" customHeight="1" ht="14.25">
      <c r="A298" s="1440"/>
      <c r="B298" s="924"/>
      <c r="C298" s="1440"/>
      <c r="D298" s="1440"/>
      <c r="E298" s="794">
        <v>15</v>
      </c>
      <c r="F298" s="919" cm="1" t="str">
        <f t="array" ref="F298:F298">F297</f>
        <v>2</v>
      </c>
      <c r="G298" s="962"/>
      <c r="H298" s="962"/>
      <c r="I298" s="962"/>
      <c r="J298" s="962"/>
      <c r="K298" s="962"/>
      <c r="L298" s="962"/>
      <c r="M298" s="962"/>
      <c r="N298" s="962"/>
      <c r="O298" s="962"/>
      <c r="P298" s="962"/>
      <c r="Q298" s="925"/>
      <c r="R298" s="925"/>
      <c r="S298" s="962"/>
      <c r="T298" s="816" cm="1" t="str">
        <f t="array" ref="T298:T298">T297</f>
        <v>true</v>
      </c>
      <c r="U298" s="1440"/>
      <c r="V298" s="1440"/>
      <c r="W298" s="1440"/>
      <c r="X298" s="1440"/>
      <c r="Y298" s="1440"/>
      <c r="Z298" s="1440"/>
      <c r="AA298" s="934"/>
      <c r="AB298" s="486" t="str">
        <f>AB296&amp;".2"</f>
        <v>6.2</v>
      </c>
      <c r="AC298" s="487" t="s">
        <v>1021</v>
      </c>
      <c r="AD298" s="486" t="s">
        <v>490</v>
      </c>
      <c r="AE298" s="1666">
        <f>IF(AE284=0,0,AE312/AE284*100)</f>
        <v>0</v>
      </c>
      <c r="AF298" s="1666">
        <f>IF(AF284=0,0,AF312/AF284*100)</f>
        <v>0</v>
      </c>
      <c r="AG298" s="1666">
        <f>IF(AG284=0,0,AG312/AG284*100)</f>
        <v>0</v>
      </c>
      <c r="AH298" s="1666">
        <f>IF(AH284=0,0,AH312/AH284*100)</f>
        <v>0</v>
      </c>
      <c r="AI298" s="280">
        <f>IF(AI284=0,0,AI312/AI284*100)</f>
        <v>0</v>
      </c>
      <c r="AJ298" s="280">
        <f>IF(AJ284=0,0,AJ312/AJ284*100)</f>
        <v>0</v>
      </c>
      <c r="AK298" s="280">
        <f>IF(AK284=0,0,AK312/AK284*100)</f>
        <v>0</v>
      </c>
      <c r="AL298" s="280">
        <f>IF(AL284=0,0,AL312/AL284*100)</f>
        <v>0</v>
      </c>
      <c r="AM298" s="280">
        <f>IF(AM284=0,0,AM312/AM284*100)</f>
        <v>0</v>
      </c>
      <c r="AN298" s="1666">
        <f>IF(AN284=0,0,AN312/AN284*100)</f>
        <v>0</v>
      </c>
      <c r="AO298" s="1666">
        <f>IF(AO284=0,0,AO312/AO284*100)</f>
        <v>0</v>
      </c>
      <c r="AP298" s="1666">
        <f>IF(AP284=0,0,AP312/AP284*100)</f>
        <v>0</v>
      </c>
      <c r="AQ298" s="1666">
        <f>IF(AQ284=0,0,AQ312/AQ284*100)</f>
        <v>0</v>
      </c>
      <c r="AR298" s="1666">
        <f>IF(AR284=0,0,AR312/AR284*100)</f>
        <v>0</v>
      </c>
      <c r="AS298" s="280">
        <f>IF(AS284=0,0,AS312/AS284*100)</f>
        <v>0</v>
      </c>
      <c r="AT298" s="280">
        <f>IF(AT284=0,0,AT312/AT284*100)</f>
        <v>0</v>
      </c>
      <c r="AU298" s="280">
        <f>IF(AU284=0,0,AU312/AU284*100)</f>
        <v>0</v>
      </c>
      <c r="AV298" s="280">
        <f>IF(AV284=0,0,AV312/AV284*100)</f>
        <v>0</v>
      </c>
      <c r="AW298" s="280">
        <f>IF(AW284=0,0,AW312/AW284*100)</f>
        <v>0</v>
      </c>
      <c r="AX298" s="1666">
        <f>IF(AX284=0,0,AX312/AX284*100)</f>
        <v>0</v>
      </c>
      <c r="AY298" s="1666">
        <f>IF(AY284=0,0,AY312/AY284*100)</f>
        <v>0</v>
      </c>
      <c r="AZ298" s="1666">
        <f>IF(AZ284=0,0,AZ312/AZ284*100)</f>
        <v>0</v>
      </c>
      <c r="BA298" s="1666">
        <f>IF(BA284=0,0,BA312/BA284*100)</f>
        <v>0</v>
      </c>
      <c r="BB298" s="1666">
        <f>IF(BB284=0,0,BB312/BB284*100)</f>
        <v>0</v>
      </c>
      <c r="BC298" s="1730"/>
      <c r="BD298" s="934"/>
      <c r="BE298" s="934"/>
      <c r="BF298" s="1170" t="s">
        <v>1117</v>
      </c>
    </row>
    <row s="1619" customFormat="1" customHeight="1" ht="14.25">
      <c r="A299" s="1440"/>
      <c r="B299" s="924"/>
      <c r="C299" s="1440"/>
      <c r="D299" s="1440"/>
      <c r="E299" s="794">
        <v>15</v>
      </c>
      <c r="F299" s="919" cm="1" t="str">
        <f t="array" ref="F299:F299">F298</f>
        <v>2</v>
      </c>
      <c r="G299" s="962"/>
      <c r="H299" s="962"/>
      <c r="I299" s="962"/>
      <c r="J299" s="962"/>
      <c r="K299" s="962"/>
      <c r="L299" s="962"/>
      <c r="M299" s="962"/>
      <c r="N299" s="962"/>
      <c r="O299" s="962"/>
      <c r="P299" s="962"/>
      <c r="Q299" s="925"/>
      <c r="R299" s="925"/>
      <c r="S299" s="962"/>
      <c r="T299" s="816" cm="1" t="str">
        <f t="array" ref="T299:T299">T298</f>
        <v>true</v>
      </c>
      <c r="U299" s="1440"/>
      <c r="V299" s="1440"/>
      <c r="W299" s="1440"/>
      <c r="X299" s="1440"/>
      <c r="Y299" s="1440"/>
      <c r="Z299" s="1440"/>
      <c r="AA299" s="934"/>
      <c r="AB299" s="486" t="str">
        <f>AB296&amp;".3"</f>
        <v>6.3</v>
      </c>
      <c r="AC299" s="487" t="s">
        <v>1023</v>
      </c>
      <c r="AD299" s="486" t="s">
        <v>490</v>
      </c>
      <c r="AE299" s="1666">
        <f>IF(AE285=0,0,AE313/AE285*100)</f>
        <v>0</v>
      </c>
      <c r="AF299" s="1666">
        <f>IF(AF285=0,0,AF313/AF285*100)</f>
        <v>0</v>
      </c>
      <c r="AG299" s="1666">
        <f>IF(AG285=0,0,AG313/AG285*100)</f>
        <v>0</v>
      </c>
      <c r="AH299" s="1666">
        <f>IF(AH285=0,0,AH313/AH285*100)</f>
        <v>0</v>
      </c>
      <c r="AI299" s="280">
        <f>IF(AI285=0,0,AI313/AI285*100)</f>
        <v>0</v>
      </c>
      <c r="AJ299" s="280">
        <f>IF(AJ285=0,0,AJ313/AJ285*100)</f>
        <v>0</v>
      </c>
      <c r="AK299" s="280">
        <f>IF(AK285=0,0,AK313/AK285*100)</f>
        <v>0</v>
      </c>
      <c r="AL299" s="280">
        <f>IF(AL285=0,0,AL313/AL285*100)</f>
        <v>0</v>
      </c>
      <c r="AM299" s="280">
        <f>IF(AM285=0,0,AM313/AM285*100)</f>
        <v>0</v>
      </c>
      <c r="AN299" s="1666">
        <f>IF(AN285=0,0,AN313/AN285*100)</f>
        <v>0</v>
      </c>
      <c r="AO299" s="1666">
        <f>IF(AO285=0,0,AO313/AO285*100)</f>
        <v>0</v>
      </c>
      <c r="AP299" s="1666">
        <f>IF(AP285=0,0,AP313/AP285*100)</f>
        <v>0</v>
      </c>
      <c r="AQ299" s="1666">
        <f>IF(AQ285=0,0,AQ313/AQ285*100)</f>
        <v>0</v>
      </c>
      <c r="AR299" s="1666">
        <f>IF(AR285=0,0,AR313/AR285*100)</f>
        <v>0</v>
      </c>
      <c r="AS299" s="280">
        <f>IF(AS285=0,0,AS313/AS285*100)</f>
        <v>0</v>
      </c>
      <c r="AT299" s="280">
        <f>IF(AT285=0,0,AT313/AT285*100)</f>
        <v>0</v>
      </c>
      <c r="AU299" s="280">
        <f>IF(AU285=0,0,AU313/AU285*100)</f>
        <v>0</v>
      </c>
      <c r="AV299" s="280">
        <f>IF(AV285=0,0,AV313/AV285*100)</f>
        <v>0</v>
      </c>
      <c r="AW299" s="280">
        <f>IF(AW285=0,0,AW313/AW285*100)</f>
        <v>0</v>
      </c>
      <c r="AX299" s="1666">
        <f>IF(AX285=0,0,AX313/AX285*100)</f>
        <v>0</v>
      </c>
      <c r="AY299" s="1666">
        <f>IF(AY285=0,0,AY313/AY285*100)</f>
        <v>0</v>
      </c>
      <c r="AZ299" s="1666">
        <f>IF(AZ285=0,0,AZ313/AZ285*100)</f>
        <v>0</v>
      </c>
      <c r="BA299" s="1666">
        <f>IF(BA285=0,0,BA313/BA285*100)</f>
        <v>0</v>
      </c>
      <c r="BB299" s="1666">
        <f>IF(BB285=0,0,BB313/BB285*100)</f>
        <v>0</v>
      </c>
      <c r="BC299" s="1730"/>
      <c r="BD299" s="934"/>
      <c r="BE299" s="934"/>
      <c r="BF299" s="1170" t="s">
        <v>1118</v>
      </c>
    </row>
    <row s="1619" customFormat="1" customHeight="1" ht="14.25">
      <c r="A300" s="1440"/>
      <c r="B300" s="924"/>
      <c r="C300" s="1440"/>
      <c r="D300" s="1440"/>
      <c r="E300" s="794">
        <v>15</v>
      </c>
      <c r="F300" s="919" cm="1" t="str">
        <f t="array" ref="F300:F300">F299</f>
        <v>2</v>
      </c>
      <c r="G300" s="962"/>
      <c r="H300" s="962"/>
      <c r="I300" s="962"/>
      <c r="J300" s="962"/>
      <c r="K300" s="962"/>
      <c r="L300" s="962"/>
      <c r="M300" s="962"/>
      <c r="N300" s="962"/>
      <c r="O300" s="962"/>
      <c r="P300" s="962"/>
      <c r="Q300" s="925"/>
      <c r="R300" s="925"/>
      <c r="S300" s="962"/>
      <c r="T300" s="816" cm="1" t="str">
        <f t="array" ref="T300:T300">T299</f>
        <v>true</v>
      </c>
      <c r="U300" s="1440"/>
      <c r="V300" s="1440"/>
      <c r="W300" s="1440"/>
      <c r="X300" s="1440"/>
      <c r="Y300" s="1440"/>
      <c r="Z300" s="1440"/>
      <c r="AA300" s="934"/>
      <c r="AB300" s="486" t="str">
        <f>AB296&amp;".4"</f>
        <v>6.4</v>
      </c>
      <c r="AC300" s="487" t="s">
        <v>1025</v>
      </c>
      <c r="AD300" s="486" t="s">
        <v>490</v>
      </c>
      <c r="AE300" s="1666">
        <f>IF(AE286=0,0,AE314/AE286*100)</f>
        <v>0</v>
      </c>
      <c r="AF300" s="1666">
        <f>IF(AF286=0,0,AF314/AF286*100)</f>
        <v>0</v>
      </c>
      <c r="AG300" s="1666">
        <f>IF(AG286=0,0,AG314/AG286*100)</f>
        <v>0</v>
      </c>
      <c r="AH300" s="1666">
        <f>IF(AH286=0,0,AH314/AH286*100)</f>
        <v>0</v>
      </c>
      <c r="AI300" s="280">
        <f>IF(AI286=0,0,AI314/AI286*100)</f>
        <v>0</v>
      </c>
      <c r="AJ300" s="280">
        <f>IF(AJ286=0,0,AJ314/AJ286*100)</f>
        <v>0</v>
      </c>
      <c r="AK300" s="280">
        <f>IF(AK286=0,0,AK314/AK286*100)</f>
        <v>0</v>
      </c>
      <c r="AL300" s="280">
        <f>IF(AL286=0,0,AL314/AL286*100)</f>
        <v>0</v>
      </c>
      <c r="AM300" s="280">
        <f>IF(AM286=0,0,AM314/AM286*100)</f>
        <v>0</v>
      </c>
      <c r="AN300" s="1666">
        <f>IF(AN286=0,0,AN314/AN286*100)</f>
        <v>0</v>
      </c>
      <c r="AO300" s="1666">
        <f>IF(AO286=0,0,AO314/AO286*100)</f>
        <v>0</v>
      </c>
      <c r="AP300" s="1666">
        <f>IF(AP286=0,0,AP314/AP286*100)</f>
        <v>0</v>
      </c>
      <c r="AQ300" s="1666">
        <f>IF(AQ286=0,0,AQ314/AQ286*100)</f>
        <v>0</v>
      </c>
      <c r="AR300" s="1666">
        <f>IF(AR286=0,0,AR314/AR286*100)</f>
        <v>0</v>
      </c>
      <c r="AS300" s="280">
        <f>IF(AS286=0,0,AS314/AS286*100)</f>
        <v>0</v>
      </c>
      <c r="AT300" s="280">
        <f>IF(AT286=0,0,AT314/AT286*100)</f>
        <v>0</v>
      </c>
      <c r="AU300" s="280">
        <f>IF(AU286=0,0,AU314/AU286*100)</f>
        <v>0</v>
      </c>
      <c r="AV300" s="280">
        <f>IF(AV286=0,0,AV314/AV286*100)</f>
        <v>0</v>
      </c>
      <c r="AW300" s="280">
        <f>IF(AW286=0,0,AW314/AW286*100)</f>
        <v>0</v>
      </c>
      <c r="AX300" s="1666">
        <f>IF(AX286=0,0,AX314/AX286*100)</f>
        <v>0</v>
      </c>
      <c r="AY300" s="1666">
        <f>IF(AY286=0,0,AY314/AY286*100)</f>
        <v>0</v>
      </c>
      <c r="AZ300" s="1666">
        <f>IF(AZ286=0,0,AZ314/AZ286*100)</f>
        <v>0</v>
      </c>
      <c r="BA300" s="1666">
        <f>IF(BA286=0,0,BA314/BA286*100)</f>
        <v>0</v>
      </c>
      <c r="BB300" s="1666">
        <f>IF(BB286=0,0,BB314/BB286*100)</f>
        <v>0</v>
      </c>
      <c r="BC300" s="1730"/>
      <c r="BD300" s="934"/>
      <c r="BE300" s="934"/>
      <c r="BF300" s="1170" t="s">
        <v>1119</v>
      </c>
    </row>
    <row s="1619" customFormat="1" customHeight="1" ht="14.25">
      <c r="A301" s="1440"/>
      <c r="B301" s="924"/>
      <c r="C301" s="1440"/>
      <c r="D301" s="1440"/>
      <c r="E301" s="794">
        <v>15</v>
      </c>
      <c r="F301" s="919" cm="1" t="str">
        <f t="array" ref="F301:F301">F300</f>
        <v>2</v>
      </c>
      <c r="G301" s="962"/>
      <c r="H301" s="962"/>
      <c r="I301" s="962"/>
      <c r="J301" s="962"/>
      <c r="K301" s="962"/>
      <c r="L301" s="962"/>
      <c r="M301" s="962"/>
      <c r="N301" s="962"/>
      <c r="O301" s="962"/>
      <c r="P301" s="962"/>
      <c r="Q301" s="925"/>
      <c r="R301" s="925"/>
      <c r="S301" s="962"/>
      <c r="T301" s="816" cm="1" t="str">
        <f t="array" ref="T301:T301">T300</f>
        <v>true</v>
      </c>
      <c r="U301" s="1440"/>
      <c r="V301" s="1440"/>
      <c r="W301" s="1440"/>
      <c r="X301" s="1440"/>
      <c r="Y301" s="1440"/>
      <c r="Z301" s="1440"/>
      <c r="AA301" s="934"/>
      <c r="AB301" s="486" t="str">
        <f>AB300&amp;".1"</f>
        <v>6.4.1</v>
      </c>
      <c r="AC301" s="488" t="s">
        <v>1028</v>
      </c>
      <c r="AD301" s="486" t="s">
        <v>490</v>
      </c>
      <c r="AE301" s="1666">
        <f>IF(AE287=0,0,AE315/AE287*100)</f>
        <v>0</v>
      </c>
      <c r="AF301" s="1666">
        <f>IF(AF287=0,0,AF315/AF287*100)</f>
        <v>0</v>
      </c>
      <c r="AG301" s="1666">
        <f>IF(AG287=0,0,AG315/AG287*100)</f>
        <v>0</v>
      </c>
      <c r="AH301" s="1666">
        <f>IF(AH287=0,0,AH315/AH287*100)</f>
        <v>0</v>
      </c>
      <c r="AI301" s="280">
        <f>IF(AI287=0,0,AI315/AI287*100)</f>
        <v>0</v>
      </c>
      <c r="AJ301" s="280">
        <f>IF(AJ287=0,0,AJ315/AJ287*100)</f>
        <v>0</v>
      </c>
      <c r="AK301" s="280">
        <f>IF(AK287=0,0,AK315/AK287*100)</f>
        <v>0</v>
      </c>
      <c r="AL301" s="280">
        <f>IF(AL287=0,0,AL315/AL287*100)</f>
        <v>0</v>
      </c>
      <c r="AM301" s="280">
        <f>IF(AM287=0,0,AM315/AM287*100)</f>
        <v>0</v>
      </c>
      <c r="AN301" s="1666">
        <f>IF(AN287=0,0,AN315/AN287*100)</f>
        <v>0</v>
      </c>
      <c r="AO301" s="1666">
        <f>IF(AO287=0,0,AO315/AO287*100)</f>
        <v>0</v>
      </c>
      <c r="AP301" s="1666">
        <f>IF(AP287=0,0,AP315/AP287*100)</f>
        <v>0</v>
      </c>
      <c r="AQ301" s="1666">
        <f>IF(AQ287=0,0,AQ315/AQ287*100)</f>
        <v>0</v>
      </c>
      <c r="AR301" s="1666">
        <f>IF(AR287=0,0,AR315/AR287*100)</f>
        <v>0</v>
      </c>
      <c r="AS301" s="280">
        <f>IF(AS287=0,0,AS315/AS287*100)</f>
        <v>0</v>
      </c>
      <c r="AT301" s="280">
        <f>IF(AT287=0,0,AT315/AT287*100)</f>
        <v>0</v>
      </c>
      <c r="AU301" s="280">
        <f>IF(AU287=0,0,AU315/AU287*100)</f>
        <v>0</v>
      </c>
      <c r="AV301" s="280">
        <f>IF(AV287=0,0,AV315/AV287*100)</f>
        <v>0</v>
      </c>
      <c r="AW301" s="280">
        <f>IF(AW287=0,0,AW315/AW287*100)</f>
        <v>0</v>
      </c>
      <c r="AX301" s="1666">
        <f>IF(AX287=0,0,AX315/AX287*100)</f>
        <v>0</v>
      </c>
      <c r="AY301" s="1666">
        <f>IF(AY287=0,0,AY315/AY287*100)</f>
        <v>0</v>
      </c>
      <c r="AZ301" s="1666">
        <f>IF(AZ287=0,0,AZ315/AZ287*100)</f>
        <v>0</v>
      </c>
      <c r="BA301" s="1666">
        <f>IF(BA287=0,0,BA315/BA287*100)</f>
        <v>0</v>
      </c>
      <c r="BB301" s="1666">
        <f>IF(BB287=0,0,BB315/BB287*100)</f>
        <v>0</v>
      </c>
      <c r="BC301" s="1730"/>
      <c r="BD301" s="934"/>
      <c r="BE301" s="934"/>
      <c r="BF301" s="1170" t="s">
        <v>1120</v>
      </c>
    </row>
    <row s="1619" customFormat="1" customHeight="1" ht="14.25">
      <c r="A302" s="1440"/>
      <c r="B302" s="924"/>
      <c r="C302" s="1440"/>
      <c r="D302" s="1440"/>
      <c r="E302" s="794">
        <v>15</v>
      </c>
      <c r="F302" s="919" cm="1" t="str">
        <f t="array" ref="F302:F302">F301</f>
        <v>2</v>
      </c>
      <c r="G302" s="962"/>
      <c r="H302" s="962"/>
      <c r="I302" s="962"/>
      <c r="J302" s="962"/>
      <c r="K302" s="962"/>
      <c r="L302" s="962"/>
      <c r="M302" s="962"/>
      <c r="N302" s="962"/>
      <c r="O302" s="962"/>
      <c r="P302" s="962"/>
      <c r="Q302" s="925"/>
      <c r="R302" s="925"/>
      <c r="S302" s="962"/>
      <c r="T302" s="816" cm="1" t="str">
        <f t="array" ref="T302:T302">T301</f>
        <v>true</v>
      </c>
      <c r="U302" s="1440"/>
      <c r="V302" s="1440"/>
      <c r="W302" s="1440"/>
      <c r="X302" s="1440"/>
      <c r="Y302" s="1440"/>
      <c r="Z302" s="1440"/>
      <c r="AA302" s="934"/>
      <c r="AB302" s="486" t="str">
        <f>AB300&amp;".2"</f>
        <v>6.4.2</v>
      </c>
      <c r="AC302" s="488" t="s">
        <v>1031</v>
      </c>
      <c r="AD302" s="486" t="s">
        <v>490</v>
      </c>
      <c r="AE302" s="1666">
        <f>IF(AE288=0,0,AE316/AE288*100)</f>
        <v>0</v>
      </c>
      <c r="AF302" s="1666">
        <f>IF(AF288=0,0,AF316/AF288*100)</f>
        <v>0</v>
      </c>
      <c r="AG302" s="1666">
        <f>IF(AG288=0,0,AG316/AG288*100)</f>
        <v>0</v>
      </c>
      <c r="AH302" s="1666">
        <f>IF(AH288=0,0,AH316/AH288*100)</f>
        <v>0</v>
      </c>
      <c r="AI302" s="280">
        <f>IF(AI288=0,0,AI316/AI288*100)</f>
        <v>0</v>
      </c>
      <c r="AJ302" s="280">
        <f>IF(AJ288=0,0,AJ316/AJ288*100)</f>
        <v>0</v>
      </c>
      <c r="AK302" s="280">
        <f>IF(AK288=0,0,AK316/AK288*100)</f>
        <v>0</v>
      </c>
      <c r="AL302" s="280">
        <f>IF(AL288=0,0,AL316/AL288*100)</f>
        <v>0</v>
      </c>
      <c r="AM302" s="280">
        <f>IF(AM288=0,0,AM316/AM288*100)</f>
        <v>0</v>
      </c>
      <c r="AN302" s="1666">
        <f>IF(AN288=0,0,AN316/AN288*100)</f>
        <v>0</v>
      </c>
      <c r="AO302" s="1666">
        <f>IF(AO288=0,0,AO316/AO288*100)</f>
        <v>0</v>
      </c>
      <c r="AP302" s="1666">
        <f>IF(AP288=0,0,AP316/AP288*100)</f>
        <v>0</v>
      </c>
      <c r="AQ302" s="1666">
        <f>IF(AQ288=0,0,AQ316/AQ288*100)</f>
        <v>0</v>
      </c>
      <c r="AR302" s="1666">
        <f>IF(AR288=0,0,AR316/AR288*100)</f>
        <v>0</v>
      </c>
      <c r="AS302" s="280">
        <f>IF(AS288=0,0,AS316/AS288*100)</f>
        <v>0</v>
      </c>
      <c r="AT302" s="280">
        <f>IF(AT288=0,0,AT316/AT288*100)</f>
        <v>0</v>
      </c>
      <c r="AU302" s="280">
        <f>IF(AU288=0,0,AU316/AU288*100)</f>
        <v>0</v>
      </c>
      <c r="AV302" s="280">
        <f>IF(AV288=0,0,AV316/AV288*100)</f>
        <v>0</v>
      </c>
      <c r="AW302" s="280">
        <f>IF(AW288=0,0,AW316/AW288*100)</f>
        <v>0</v>
      </c>
      <c r="AX302" s="1666">
        <f>IF(AX288=0,0,AX316/AX288*100)</f>
        <v>0</v>
      </c>
      <c r="AY302" s="1666">
        <f>IF(AY288=0,0,AY316/AY288*100)</f>
        <v>0</v>
      </c>
      <c r="AZ302" s="1666">
        <f>IF(AZ288=0,0,AZ316/AZ288*100)</f>
        <v>0</v>
      </c>
      <c r="BA302" s="1666">
        <f>IF(BA288=0,0,BA316/BA288*100)</f>
        <v>0</v>
      </c>
      <c r="BB302" s="1666">
        <f>IF(BB288=0,0,BB316/BB288*100)</f>
        <v>0</v>
      </c>
      <c r="BC302" s="1730"/>
      <c r="BD302" s="934"/>
      <c r="BE302" s="934"/>
      <c r="BF302" s="1170" t="s">
        <v>1121</v>
      </c>
    </row>
    <row s="1619" customFormat="1" customHeight="1" ht="14.25">
      <c r="A303" s="1440"/>
      <c r="B303" s="924"/>
      <c r="C303" s="1440"/>
      <c r="D303" s="1440"/>
      <c r="E303" s="794">
        <v>15</v>
      </c>
      <c r="F303" s="919" cm="1" t="str">
        <f t="array" ref="F303:F303">F302</f>
        <v>2</v>
      </c>
      <c r="G303" s="962"/>
      <c r="H303" s="962"/>
      <c r="I303" s="962"/>
      <c r="J303" s="962"/>
      <c r="K303" s="962"/>
      <c r="L303" s="962"/>
      <c r="M303" s="962"/>
      <c r="N303" s="962"/>
      <c r="O303" s="962"/>
      <c r="P303" s="962"/>
      <c r="Q303" s="925"/>
      <c r="R303" s="925"/>
      <c r="S303" s="962"/>
      <c r="T303" s="816" cm="1" t="str">
        <f t="array" ref="T303:T303">T302</f>
        <v>true</v>
      </c>
      <c r="U303" s="1440"/>
      <c r="V303" s="1440"/>
      <c r="W303" s="1440"/>
      <c r="X303" s="1440"/>
      <c r="Y303" s="1440"/>
      <c r="Z303" s="1440"/>
      <c r="AA303" s="934"/>
      <c r="AB303" s="486" t="str">
        <f>AB300&amp;".3"</f>
        <v>6.4.3</v>
      </c>
      <c r="AC303" s="488" t="s">
        <v>1034</v>
      </c>
      <c r="AD303" s="486" t="s">
        <v>490</v>
      </c>
      <c r="AE303" s="1666">
        <f>IF(AE289=0,0,AE317/AE289*100)</f>
        <v>0</v>
      </c>
      <c r="AF303" s="1666">
        <f>IF(AF289=0,0,AF317/AF289*100)</f>
        <v>0</v>
      </c>
      <c r="AG303" s="1666">
        <f>IF(AG289=0,0,AG317/AG289*100)</f>
        <v>0</v>
      </c>
      <c r="AH303" s="1666">
        <f>IF(AH289=0,0,AH317/AH289*100)</f>
        <v>0</v>
      </c>
      <c r="AI303" s="280">
        <f>IF(AI289=0,0,AI317/AI289*100)</f>
        <v>0</v>
      </c>
      <c r="AJ303" s="280">
        <f>IF(AJ289=0,0,AJ317/AJ289*100)</f>
        <v>0</v>
      </c>
      <c r="AK303" s="280">
        <f>IF(AK289=0,0,AK317/AK289*100)</f>
        <v>0</v>
      </c>
      <c r="AL303" s="280">
        <f>IF(AL289=0,0,AL317/AL289*100)</f>
        <v>0</v>
      </c>
      <c r="AM303" s="280">
        <f>IF(AM289=0,0,AM317/AM289*100)</f>
        <v>0</v>
      </c>
      <c r="AN303" s="1666">
        <f>IF(AN289=0,0,AN317/AN289*100)</f>
        <v>0</v>
      </c>
      <c r="AO303" s="1666">
        <f>IF(AO289=0,0,AO317/AO289*100)</f>
        <v>0</v>
      </c>
      <c r="AP303" s="1666">
        <f>IF(AP289=0,0,AP317/AP289*100)</f>
        <v>0</v>
      </c>
      <c r="AQ303" s="1666">
        <f>IF(AQ289=0,0,AQ317/AQ289*100)</f>
        <v>0</v>
      </c>
      <c r="AR303" s="1666">
        <f>IF(AR289=0,0,AR317/AR289*100)</f>
        <v>0</v>
      </c>
      <c r="AS303" s="280">
        <f>IF(AS289=0,0,AS317/AS289*100)</f>
        <v>0</v>
      </c>
      <c r="AT303" s="280">
        <f>IF(AT289=0,0,AT317/AT289*100)</f>
        <v>0</v>
      </c>
      <c r="AU303" s="280">
        <f>IF(AU289=0,0,AU317/AU289*100)</f>
        <v>0</v>
      </c>
      <c r="AV303" s="280">
        <f>IF(AV289=0,0,AV317/AV289*100)</f>
        <v>0</v>
      </c>
      <c r="AW303" s="280">
        <f>IF(AW289=0,0,AW317/AW289*100)</f>
        <v>0</v>
      </c>
      <c r="AX303" s="1666">
        <f>IF(AX289=0,0,AX317/AX289*100)</f>
        <v>0</v>
      </c>
      <c r="AY303" s="1666">
        <f>IF(AY289=0,0,AY317/AY289*100)</f>
        <v>0</v>
      </c>
      <c r="AZ303" s="1666">
        <f>IF(AZ289=0,0,AZ317/AZ289*100)</f>
        <v>0</v>
      </c>
      <c r="BA303" s="1666">
        <f>IF(BA289=0,0,BA317/BA289*100)</f>
        <v>0</v>
      </c>
      <c r="BB303" s="1666">
        <f>IF(BB289=0,0,BB317/BB289*100)</f>
        <v>0</v>
      </c>
      <c r="BC303" s="1730"/>
      <c r="BD303" s="934"/>
      <c r="BE303" s="934"/>
      <c r="BF303" s="1170" t="s">
        <v>1122</v>
      </c>
    </row>
    <row s="1619" customFormat="1" customHeight="1" ht="14.25">
      <c r="A304" s="1440"/>
      <c r="B304" s="924"/>
      <c r="C304" s="1440"/>
      <c r="D304" s="1440"/>
      <c r="E304" s="794">
        <v>15</v>
      </c>
      <c r="F304" s="919" cm="1" t="str">
        <f t="array" ref="F304:F304">F303</f>
        <v>2</v>
      </c>
      <c r="G304" s="962"/>
      <c r="H304" s="962"/>
      <c r="I304" s="962"/>
      <c r="J304" s="962"/>
      <c r="K304" s="962"/>
      <c r="L304" s="962"/>
      <c r="M304" s="962"/>
      <c r="N304" s="962"/>
      <c r="O304" s="962"/>
      <c r="P304" s="962"/>
      <c r="Q304" s="925"/>
      <c r="R304" s="925"/>
      <c r="S304" s="962"/>
      <c r="T304" s="816" cm="1" t="str">
        <f t="array" ref="T304:T304">T303</f>
        <v>true</v>
      </c>
      <c r="U304" s="1440"/>
      <c r="V304" s="1440"/>
      <c r="W304" s="1440"/>
      <c r="X304" s="1440"/>
      <c r="Y304" s="1440"/>
      <c r="Z304" s="1440"/>
      <c r="AA304" s="934"/>
      <c r="AB304" s="486" t="str">
        <f>AB300&amp;".4"</f>
        <v>6.4.4</v>
      </c>
      <c r="AC304" s="488" t="s">
        <v>1037</v>
      </c>
      <c r="AD304" s="486" t="s">
        <v>490</v>
      </c>
      <c r="AE304" s="1666">
        <f>IF(AE290=0,0,AE318/AE290*100)</f>
        <v>0</v>
      </c>
      <c r="AF304" s="1666">
        <f>IF(AF290=0,0,AF318/AF290*100)</f>
        <v>0</v>
      </c>
      <c r="AG304" s="1666">
        <f>IF(AG290=0,0,AG318/AG290*100)</f>
        <v>0</v>
      </c>
      <c r="AH304" s="1666">
        <f>IF(AH290=0,0,AH318/AH290*100)</f>
        <v>0</v>
      </c>
      <c r="AI304" s="280">
        <f>IF(AI290=0,0,AI318/AI290*100)</f>
        <v>0</v>
      </c>
      <c r="AJ304" s="280">
        <f>IF(AJ290=0,0,AJ318/AJ290*100)</f>
        <v>0</v>
      </c>
      <c r="AK304" s="280">
        <f>IF(AK290=0,0,AK318/AK290*100)</f>
        <v>0</v>
      </c>
      <c r="AL304" s="280">
        <f>IF(AL290=0,0,AL318/AL290*100)</f>
        <v>0</v>
      </c>
      <c r="AM304" s="280">
        <f>IF(AM290=0,0,AM318/AM290*100)</f>
        <v>0</v>
      </c>
      <c r="AN304" s="1666">
        <f>IF(AN290=0,0,AN318/AN290*100)</f>
        <v>0</v>
      </c>
      <c r="AO304" s="1666">
        <f>IF(AO290=0,0,AO318/AO290*100)</f>
        <v>0</v>
      </c>
      <c r="AP304" s="1666">
        <f>IF(AP290=0,0,AP318/AP290*100)</f>
        <v>0</v>
      </c>
      <c r="AQ304" s="1666">
        <f>IF(AQ290=0,0,AQ318/AQ290*100)</f>
        <v>0</v>
      </c>
      <c r="AR304" s="1666">
        <f>IF(AR290=0,0,AR318/AR290*100)</f>
        <v>0</v>
      </c>
      <c r="AS304" s="280">
        <f>IF(AS290=0,0,AS318/AS290*100)</f>
        <v>0</v>
      </c>
      <c r="AT304" s="280">
        <f>IF(AT290=0,0,AT318/AT290*100)</f>
        <v>0</v>
      </c>
      <c r="AU304" s="280">
        <f>IF(AU290=0,0,AU318/AU290*100)</f>
        <v>0</v>
      </c>
      <c r="AV304" s="280">
        <f>IF(AV290=0,0,AV318/AV290*100)</f>
        <v>0</v>
      </c>
      <c r="AW304" s="280">
        <f>IF(AW290=0,0,AW318/AW290*100)</f>
        <v>0</v>
      </c>
      <c r="AX304" s="1666">
        <f>IF(AX290=0,0,AX318/AX290*100)</f>
        <v>0</v>
      </c>
      <c r="AY304" s="1666">
        <f>IF(AY290=0,0,AY318/AY290*100)</f>
        <v>0</v>
      </c>
      <c r="AZ304" s="1666">
        <f>IF(AZ290=0,0,AZ318/AZ290*100)</f>
        <v>0</v>
      </c>
      <c r="BA304" s="1666">
        <f>IF(BA290=0,0,BA318/BA290*100)</f>
        <v>0</v>
      </c>
      <c r="BB304" s="1666">
        <f>IF(BB290=0,0,BB318/BB290*100)</f>
        <v>0</v>
      </c>
      <c r="BC304" s="1730"/>
      <c r="BD304" s="934"/>
      <c r="BE304" s="934"/>
      <c r="BF304" s="1170" t="s">
        <v>1123</v>
      </c>
    </row>
    <row s="1619" customFormat="1" customHeight="1" ht="14.25">
      <c r="A305" s="1440"/>
      <c r="B305" s="924"/>
      <c r="C305" s="1440"/>
      <c r="D305" s="1440"/>
      <c r="E305" s="794">
        <v>15</v>
      </c>
      <c r="F305" s="919" cm="1" t="str">
        <f t="array" ref="F305:F305">F304</f>
        <v>2</v>
      </c>
      <c r="G305" s="962"/>
      <c r="H305" s="962"/>
      <c r="I305" s="962"/>
      <c r="J305" s="962"/>
      <c r="K305" s="962"/>
      <c r="L305" s="962"/>
      <c r="M305" s="962"/>
      <c r="N305" s="962"/>
      <c r="O305" s="962"/>
      <c r="P305" s="962"/>
      <c r="Q305" s="925"/>
      <c r="R305" s="925"/>
      <c r="S305" s="962"/>
      <c r="T305" s="816" cm="1" t="str">
        <f t="array" ref="T305:T305">T304</f>
        <v>true</v>
      </c>
      <c r="U305" s="1440"/>
      <c r="V305" s="1440"/>
      <c r="W305" s="1440"/>
      <c r="X305" s="1440"/>
      <c r="Y305" s="1440"/>
      <c r="Z305" s="1440"/>
      <c r="AA305" s="934"/>
      <c r="AB305" s="486" t="str">
        <f>AB300&amp;".5"</f>
        <v>6.4.5</v>
      </c>
      <c r="AC305" s="488" t="s">
        <v>1040</v>
      </c>
      <c r="AD305" s="486" t="s">
        <v>490</v>
      </c>
      <c r="AE305" s="1666">
        <f>IF(AE291=0,0,AE319/AE291*100)</f>
        <v>0</v>
      </c>
      <c r="AF305" s="1666">
        <f>IF(AF291=0,0,AF319/AF291*100)</f>
        <v>0</v>
      </c>
      <c r="AG305" s="1666">
        <f>IF(AG291=0,0,AG319/AG291*100)</f>
        <v>0</v>
      </c>
      <c r="AH305" s="1666">
        <f>IF(AH291=0,0,AH319/AH291*100)</f>
        <v>0</v>
      </c>
      <c r="AI305" s="280">
        <f>IF(AI291=0,0,AI319/AI291*100)</f>
        <v>0</v>
      </c>
      <c r="AJ305" s="280">
        <f>IF(AJ291=0,0,AJ319/AJ291*100)</f>
        <v>0</v>
      </c>
      <c r="AK305" s="280">
        <f>IF(AK291=0,0,AK319/AK291*100)</f>
        <v>0</v>
      </c>
      <c r="AL305" s="280">
        <f>IF(AL291=0,0,AL319/AL291*100)</f>
        <v>0</v>
      </c>
      <c r="AM305" s="280">
        <f>IF(AM291=0,0,AM319/AM291*100)</f>
        <v>0</v>
      </c>
      <c r="AN305" s="1666">
        <f>IF(AN291=0,0,AN319/AN291*100)</f>
        <v>0</v>
      </c>
      <c r="AO305" s="1666">
        <f>IF(AO291=0,0,AO319/AO291*100)</f>
        <v>0</v>
      </c>
      <c r="AP305" s="1666">
        <f>IF(AP291=0,0,AP319/AP291*100)</f>
        <v>0</v>
      </c>
      <c r="AQ305" s="1666">
        <f>IF(AQ291=0,0,AQ319/AQ291*100)</f>
        <v>0</v>
      </c>
      <c r="AR305" s="1666">
        <f>IF(AR291=0,0,AR319/AR291*100)</f>
        <v>0</v>
      </c>
      <c r="AS305" s="280">
        <f>IF(AS291=0,0,AS319/AS291*100)</f>
        <v>0</v>
      </c>
      <c r="AT305" s="280">
        <f>IF(AT291=0,0,AT319/AT291*100)</f>
        <v>0</v>
      </c>
      <c r="AU305" s="280">
        <f>IF(AU291=0,0,AU319/AU291*100)</f>
        <v>0</v>
      </c>
      <c r="AV305" s="280">
        <f>IF(AV291=0,0,AV319/AV291*100)</f>
        <v>0</v>
      </c>
      <c r="AW305" s="280">
        <f>IF(AW291=0,0,AW319/AW291*100)</f>
        <v>0</v>
      </c>
      <c r="AX305" s="1666">
        <f>IF(AX291=0,0,AX319/AX291*100)</f>
        <v>0</v>
      </c>
      <c r="AY305" s="1666">
        <f>IF(AY291=0,0,AY319/AY291*100)</f>
        <v>0</v>
      </c>
      <c r="AZ305" s="1666">
        <f>IF(AZ291=0,0,AZ319/AZ291*100)</f>
        <v>0</v>
      </c>
      <c r="BA305" s="1666">
        <f>IF(BA291=0,0,BA319/BA291*100)</f>
        <v>0</v>
      </c>
      <c r="BB305" s="1666">
        <f>IF(BB291=0,0,BB319/BB291*100)</f>
        <v>0</v>
      </c>
      <c r="BC305" s="1730"/>
      <c r="BD305" s="934"/>
      <c r="BE305" s="934"/>
      <c r="BF305" s="1170" t="s">
        <v>1124</v>
      </c>
    </row>
    <row s="1619" customFormat="1" customHeight="1" ht="14.25">
      <c r="A306" s="1440"/>
      <c r="B306" s="924"/>
      <c r="C306" s="1440"/>
      <c r="D306" s="1440"/>
      <c r="E306" s="794">
        <v>15</v>
      </c>
      <c r="F306" s="919" cm="1" t="str">
        <f t="array" ref="F306:F306">F305</f>
        <v>2</v>
      </c>
      <c r="G306" s="962"/>
      <c r="H306" s="962"/>
      <c r="I306" s="962"/>
      <c r="J306" s="962"/>
      <c r="K306" s="962"/>
      <c r="L306" s="962"/>
      <c r="M306" s="962"/>
      <c r="N306" s="962"/>
      <c r="O306" s="962"/>
      <c r="P306" s="962"/>
      <c r="Q306" s="925"/>
      <c r="R306" s="925"/>
      <c r="S306" s="962"/>
      <c r="T306" s="816" cm="1" t="str">
        <f t="array" ref="T306:T306">T305</f>
        <v>true</v>
      </c>
      <c r="U306" s="1440"/>
      <c r="V306" s="1440"/>
      <c r="W306" s="1440"/>
      <c r="X306" s="1440"/>
      <c r="Y306" s="1440"/>
      <c r="Z306" s="1440"/>
      <c r="AA306" s="934"/>
      <c r="AB306" s="486" t="str">
        <f>AB296&amp;".5"</f>
        <v>6.5</v>
      </c>
      <c r="AC306" s="487" t="s">
        <v>1043</v>
      </c>
      <c r="AD306" s="486" t="s">
        <v>490</v>
      </c>
      <c r="AE306" s="1666">
        <f>IF(AE292=0,0,AE320/AE292*100)</f>
        <v>0</v>
      </c>
      <c r="AF306" s="1666">
        <f>IF(AF292=0,0,AF320/AF292*100)</f>
        <v>0</v>
      </c>
      <c r="AG306" s="1666">
        <f>IF(AG292=0,0,AG320/AG292*100)</f>
        <v>0</v>
      </c>
      <c r="AH306" s="1666">
        <f>IF(AH292=0,0,AH320/AH292*100)</f>
        <v>0</v>
      </c>
      <c r="AI306" s="280">
        <f>IF(AI292=0,0,AI320/AI292*100)</f>
        <v>0</v>
      </c>
      <c r="AJ306" s="280">
        <f>IF(AJ292=0,0,AJ320/AJ292*100)</f>
        <v>0</v>
      </c>
      <c r="AK306" s="280">
        <f>IF(AK292=0,0,AK320/AK292*100)</f>
        <v>0</v>
      </c>
      <c r="AL306" s="280">
        <f>IF(AL292=0,0,AL320/AL292*100)</f>
        <v>0</v>
      </c>
      <c r="AM306" s="280">
        <f>IF(AM292=0,0,AM320/AM292*100)</f>
        <v>0</v>
      </c>
      <c r="AN306" s="1666">
        <f>IF(AN292=0,0,AN320/AN292*100)</f>
        <v>0</v>
      </c>
      <c r="AO306" s="1666">
        <f>IF(AO292=0,0,AO320/AO292*100)</f>
        <v>0</v>
      </c>
      <c r="AP306" s="1666">
        <f>IF(AP292=0,0,AP320/AP292*100)</f>
        <v>0</v>
      </c>
      <c r="AQ306" s="1666">
        <f>IF(AQ292=0,0,AQ320/AQ292*100)</f>
        <v>0</v>
      </c>
      <c r="AR306" s="1666">
        <f>IF(AR292=0,0,AR320/AR292*100)</f>
        <v>0</v>
      </c>
      <c r="AS306" s="280">
        <f>IF(AS292=0,0,AS320/AS292*100)</f>
        <v>0</v>
      </c>
      <c r="AT306" s="280">
        <f>IF(AT292=0,0,AT320/AT292*100)</f>
        <v>0</v>
      </c>
      <c r="AU306" s="280">
        <f>IF(AU292=0,0,AU320/AU292*100)</f>
        <v>0</v>
      </c>
      <c r="AV306" s="280">
        <f>IF(AV292=0,0,AV320/AV292*100)</f>
        <v>0</v>
      </c>
      <c r="AW306" s="280">
        <f>IF(AW292=0,0,AW320/AW292*100)</f>
        <v>0</v>
      </c>
      <c r="AX306" s="1666">
        <f>IF(AX292=0,0,AX320/AX292*100)</f>
        <v>0</v>
      </c>
      <c r="AY306" s="1666">
        <f>IF(AY292=0,0,AY320/AY292*100)</f>
        <v>0</v>
      </c>
      <c r="AZ306" s="1666">
        <f>IF(AZ292=0,0,AZ320/AZ292*100)</f>
        <v>0</v>
      </c>
      <c r="BA306" s="1666">
        <f>IF(BA292=0,0,BA320/BA292*100)</f>
        <v>0</v>
      </c>
      <c r="BB306" s="1666">
        <f>IF(BB292=0,0,BB320/BB292*100)</f>
        <v>0</v>
      </c>
      <c r="BC306" s="1730"/>
      <c r="BD306" s="934"/>
      <c r="BE306" s="934"/>
      <c r="BF306" s="1170" t="s">
        <v>1125</v>
      </c>
    </row>
    <row s="1619" customFormat="1" customHeight="1" ht="14.25">
      <c r="A307" s="1440"/>
      <c r="B307" s="924"/>
      <c r="C307" s="1440"/>
      <c r="D307" s="1440"/>
      <c r="E307" s="794">
        <v>15</v>
      </c>
      <c r="F307" s="919" cm="1" t="str">
        <f t="array" ref="F307:F307">F306</f>
        <v>2</v>
      </c>
      <c r="G307" s="962"/>
      <c r="H307" s="962"/>
      <c r="I307" s="962"/>
      <c r="J307" s="962"/>
      <c r="K307" s="962"/>
      <c r="L307" s="962"/>
      <c r="M307" s="962"/>
      <c r="N307" s="962"/>
      <c r="O307" s="962"/>
      <c r="P307" s="962"/>
      <c r="Q307" s="925"/>
      <c r="R307" s="925"/>
      <c r="S307" s="962"/>
      <c r="T307" s="816" cm="1" t="str">
        <f t="array" ref="T307:T307">T306</f>
        <v>true</v>
      </c>
      <c r="U307" s="1440"/>
      <c r="V307" s="1440"/>
      <c r="W307" s="1440"/>
      <c r="X307" s="1440"/>
      <c r="Y307" s="1440"/>
      <c r="Z307" s="1440"/>
      <c r="AA307" s="934"/>
      <c r="AB307" s="486" t="str">
        <f>AB296&amp;".6"</f>
        <v>6.6</v>
      </c>
      <c r="AC307" s="487" t="s">
        <v>1046</v>
      </c>
      <c r="AD307" s="486" t="s">
        <v>490</v>
      </c>
      <c r="AE307" s="1666">
        <f>IF(AE293=0,0,AE321/AE293*100)</f>
        <v>0</v>
      </c>
      <c r="AF307" s="1666">
        <f>IF(AF293=0,0,AF321/AF293*100)</f>
        <v>0</v>
      </c>
      <c r="AG307" s="1666">
        <f>IF(AG293=0,0,AG321/AG293*100)</f>
        <v>0</v>
      </c>
      <c r="AH307" s="1666">
        <f>IF(AH293=0,0,AH321/AH293*100)</f>
        <v>0</v>
      </c>
      <c r="AI307" s="280">
        <f>IF(AI293=0,0,AI321/AI293*100)</f>
        <v>0</v>
      </c>
      <c r="AJ307" s="280">
        <f>IF(AJ293=0,0,AJ321/AJ293*100)</f>
        <v>0</v>
      </c>
      <c r="AK307" s="280">
        <f>IF(AK293=0,0,AK321/AK293*100)</f>
        <v>0</v>
      </c>
      <c r="AL307" s="280">
        <f>IF(AL293=0,0,AL321/AL293*100)</f>
        <v>0</v>
      </c>
      <c r="AM307" s="280">
        <f>IF(AM293=0,0,AM321/AM293*100)</f>
        <v>0</v>
      </c>
      <c r="AN307" s="1666">
        <f>IF(AN293=0,0,AN321/AN293*100)</f>
        <v>0</v>
      </c>
      <c r="AO307" s="1666">
        <f>IF(AO293=0,0,AO321/AO293*100)</f>
        <v>0</v>
      </c>
      <c r="AP307" s="1666">
        <f>IF(AP293=0,0,AP321/AP293*100)</f>
        <v>0</v>
      </c>
      <c r="AQ307" s="1666">
        <f>IF(AQ293=0,0,AQ321/AQ293*100)</f>
        <v>0</v>
      </c>
      <c r="AR307" s="1666">
        <f>IF(AR293=0,0,AR321/AR293*100)</f>
        <v>0</v>
      </c>
      <c r="AS307" s="280">
        <f>IF(AS293=0,0,AS321/AS293*100)</f>
        <v>0</v>
      </c>
      <c r="AT307" s="280">
        <f>IF(AT293=0,0,AT321/AT293*100)</f>
        <v>0</v>
      </c>
      <c r="AU307" s="280">
        <f>IF(AU293=0,0,AU321/AU293*100)</f>
        <v>0</v>
      </c>
      <c r="AV307" s="280">
        <f>IF(AV293=0,0,AV321/AV293*100)</f>
        <v>0</v>
      </c>
      <c r="AW307" s="280">
        <f>IF(AW293=0,0,AW321/AW293*100)</f>
        <v>0</v>
      </c>
      <c r="AX307" s="1666">
        <f>IF(AX293=0,0,AX321/AX293*100)</f>
        <v>0</v>
      </c>
      <c r="AY307" s="1666">
        <f>IF(AY293=0,0,AY321/AY293*100)</f>
        <v>0</v>
      </c>
      <c r="AZ307" s="1666">
        <f>IF(AZ293=0,0,AZ321/AZ293*100)</f>
        <v>0</v>
      </c>
      <c r="BA307" s="1666">
        <f>IF(BA293=0,0,BA321/BA293*100)</f>
        <v>0</v>
      </c>
      <c r="BB307" s="1666">
        <f>IF(BB293=0,0,BB321/BB293*100)</f>
        <v>0</v>
      </c>
      <c r="BC307" s="1730"/>
      <c r="BD307" s="934"/>
      <c r="BE307" s="934"/>
      <c r="BF307" s="1170" t="s">
        <v>1126</v>
      </c>
    </row>
    <row s="1619" customFormat="1" customHeight="1" ht="14.25">
      <c r="A308" s="1440"/>
      <c r="B308" s="924"/>
      <c r="C308" s="1440"/>
      <c r="D308" s="1440"/>
      <c r="E308" s="794">
        <v>15</v>
      </c>
      <c r="F308" s="919" cm="1" t="str">
        <f t="array" ref="F308:F308">F307</f>
        <v>2</v>
      </c>
      <c r="G308" s="962"/>
      <c r="H308" s="962"/>
      <c r="I308" s="962"/>
      <c r="J308" s="962"/>
      <c r="K308" s="962"/>
      <c r="L308" s="962"/>
      <c r="M308" s="962"/>
      <c r="N308" s="962"/>
      <c r="O308" s="962"/>
      <c r="P308" s="962"/>
      <c r="Q308" s="925"/>
      <c r="R308" s="925"/>
      <c r="S308" s="962"/>
      <c r="T308" s="816" cm="1" t="str">
        <f t="array" ref="T308:T308">T307</f>
        <v>true</v>
      </c>
      <c r="U308" s="1440"/>
      <c r="V308" s="1440"/>
      <c r="W308" s="1440"/>
      <c r="X308" s="1440"/>
      <c r="Y308" s="1440"/>
      <c r="Z308" s="1440"/>
      <c r="AA308" s="934"/>
      <c r="AB308" s="486" t="str">
        <f>AB296&amp;".7"</f>
        <v>6.7</v>
      </c>
      <c r="AC308" s="487" t="s">
        <v>1049</v>
      </c>
      <c r="AD308" s="486" t="s">
        <v>490</v>
      </c>
      <c r="AE308" s="1666">
        <f>IF(AE294=0,0,AE322/AE294*100)</f>
        <v>0</v>
      </c>
      <c r="AF308" s="1666">
        <f>IF(AF294=0,0,AF322/AF294*100)</f>
        <v>0</v>
      </c>
      <c r="AG308" s="1666">
        <f>IF(AG294=0,0,AG322/AG294*100)</f>
        <v>0</v>
      </c>
      <c r="AH308" s="1666">
        <f>IF(AH294=0,0,AH322/AH294*100)</f>
        <v>0</v>
      </c>
      <c r="AI308" s="280">
        <f>IF(AI294=0,0,AI322/AI294*100)</f>
        <v>0</v>
      </c>
      <c r="AJ308" s="280">
        <f>IF(AJ294=0,0,AJ322/AJ294*100)</f>
        <v>0</v>
      </c>
      <c r="AK308" s="280">
        <f>IF(AK294=0,0,AK322/AK294*100)</f>
        <v>0</v>
      </c>
      <c r="AL308" s="280">
        <f>IF(AL294=0,0,AL322/AL294*100)</f>
        <v>0</v>
      </c>
      <c r="AM308" s="280">
        <f>IF(AM294=0,0,AM322/AM294*100)</f>
        <v>0</v>
      </c>
      <c r="AN308" s="1666">
        <f>IF(AN294=0,0,AN322/AN294*100)</f>
        <v>0</v>
      </c>
      <c r="AO308" s="1666">
        <f>IF(AO294=0,0,AO322/AO294*100)</f>
        <v>0</v>
      </c>
      <c r="AP308" s="1666">
        <f>IF(AP294=0,0,AP322/AP294*100)</f>
        <v>0</v>
      </c>
      <c r="AQ308" s="1666">
        <f>IF(AQ294=0,0,AQ322/AQ294*100)</f>
        <v>0</v>
      </c>
      <c r="AR308" s="1666">
        <f>IF(AR294=0,0,AR322/AR294*100)</f>
        <v>0</v>
      </c>
      <c r="AS308" s="280">
        <f>IF(AS294=0,0,AS322/AS294*100)</f>
        <v>0</v>
      </c>
      <c r="AT308" s="280">
        <f>IF(AT294=0,0,AT322/AT294*100)</f>
        <v>0</v>
      </c>
      <c r="AU308" s="280">
        <f>IF(AU294=0,0,AU322/AU294*100)</f>
        <v>0</v>
      </c>
      <c r="AV308" s="280">
        <f>IF(AV294=0,0,AV322/AV294*100)</f>
        <v>0</v>
      </c>
      <c r="AW308" s="280">
        <f>IF(AW294=0,0,AW322/AW294*100)</f>
        <v>0</v>
      </c>
      <c r="AX308" s="1666">
        <f>IF(AX294=0,0,AX322/AX294*100)</f>
        <v>0</v>
      </c>
      <c r="AY308" s="1666">
        <f>IF(AY294=0,0,AY322/AY294*100)</f>
        <v>0</v>
      </c>
      <c r="AZ308" s="1666">
        <f>IF(AZ294=0,0,AZ322/AZ294*100)</f>
        <v>0</v>
      </c>
      <c r="BA308" s="1666">
        <f>IF(BA294=0,0,BA322/BA294*100)</f>
        <v>0</v>
      </c>
      <c r="BB308" s="1666">
        <f>IF(BB294=0,0,BB322/BB294*100)</f>
        <v>0</v>
      </c>
      <c r="BC308" s="1730"/>
      <c r="BD308" s="934"/>
      <c r="BE308" s="934"/>
      <c r="BF308" s="1170" t="s">
        <v>1127</v>
      </c>
    </row>
    <row s="1619" customFormat="1" customHeight="1" ht="14.25">
      <c r="A309" s="1440"/>
      <c r="B309" s="924"/>
      <c r="C309" s="1440"/>
      <c r="D309" s="1440"/>
      <c r="E309" s="794">
        <v>15</v>
      </c>
      <c r="F309" s="919" cm="1" t="str">
        <f t="array" ref="F309:F309">F308</f>
        <v>2</v>
      </c>
      <c r="G309" s="962"/>
      <c r="H309" s="962"/>
      <c r="I309" s="962"/>
      <c r="J309" s="962"/>
      <c r="K309" s="962"/>
      <c r="L309" s="962"/>
      <c r="M309" s="962"/>
      <c r="N309" s="962"/>
      <c r="O309" s="962"/>
      <c r="P309" s="962"/>
      <c r="Q309" s="925"/>
      <c r="R309" s="925"/>
      <c r="S309" s="962"/>
      <c r="T309" s="816" cm="1" t="str">
        <f t="array" ref="T309:T309">T308</f>
        <v>true</v>
      </c>
      <c r="U309" s="1440"/>
      <c r="V309" s="1440"/>
      <c r="W309" s="1440"/>
      <c r="X309" s="1440"/>
      <c r="Y309" s="1440"/>
      <c r="Z309" s="1440"/>
      <c r="AA309" s="934"/>
      <c r="AB309" s="486" t="str">
        <f>AB296&amp;".8"</f>
        <v>6.8</v>
      </c>
      <c r="AC309" s="487" t="s">
        <v>1052</v>
      </c>
      <c r="AD309" s="486" t="s">
        <v>490</v>
      </c>
      <c r="AE309" s="1666">
        <f>IF(AE295=0,0,AE323/AE295*100)</f>
        <v>0</v>
      </c>
      <c r="AF309" s="1666">
        <f>IF(AF295=0,0,AF323/AF295*100)</f>
        <v>0</v>
      </c>
      <c r="AG309" s="1666">
        <f>IF(AG295=0,0,AG323/AG295*100)</f>
        <v>0</v>
      </c>
      <c r="AH309" s="1666">
        <f>IF(AH295=0,0,AH323/AH295*100)</f>
        <v>0</v>
      </c>
      <c r="AI309" s="280">
        <f>IF(AI295=0,0,AI323/AI295*100)</f>
        <v>0</v>
      </c>
      <c r="AJ309" s="280">
        <f>IF(AJ295=0,0,AJ323/AJ295*100)</f>
        <v>0</v>
      </c>
      <c r="AK309" s="280">
        <f>IF(AK295=0,0,AK323/AK295*100)</f>
        <v>0</v>
      </c>
      <c r="AL309" s="280">
        <f>IF(AL295=0,0,AL323/AL295*100)</f>
        <v>0</v>
      </c>
      <c r="AM309" s="280">
        <f>IF(AM295=0,0,AM323/AM295*100)</f>
        <v>0</v>
      </c>
      <c r="AN309" s="1666">
        <f>IF(AN295=0,0,AN323/AN295*100)</f>
        <v>0</v>
      </c>
      <c r="AO309" s="1666">
        <f>IF(AO295=0,0,AO323/AO295*100)</f>
        <v>0</v>
      </c>
      <c r="AP309" s="1666">
        <f>IF(AP295=0,0,AP323/AP295*100)</f>
        <v>0</v>
      </c>
      <c r="AQ309" s="1666">
        <f>IF(AQ295=0,0,AQ323/AQ295*100)</f>
        <v>0</v>
      </c>
      <c r="AR309" s="1666">
        <f>IF(AR295=0,0,AR323/AR295*100)</f>
        <v>0</v>
      </c>
      <c r="AS309" s="280">
        <f>IF(AS295=0,0,AS323/AS295*100)</f>
        <v>0</v>
      </c>
      <c r="AT309" s="280">
        <f>IF(AT295=0,0,AT323/AT295*100)</f>
        <v>0</v>
      </c>
      <c r="AU309" s="280">
        <f>IF(AU295=0,0,AU323/AU295*100)</f>
        <v>0</v>
      </c>
      <c r="AV309" s="280">
        <f>IF(AV295=0,0,AV323/AV295*100)</f>
        <v>0</v>
      </c>
      <c r="AW309" s="280">
        <f>IF(AW295=0,0,AW323/AW295*100)</f>
        <v>0</v>
      </c>
      <c r="AX309" s="1666">
        <f>IF(AX295=0,0,AX323/AX295*100)</f>
        <v>0</v>
      </c>
      <c r="AY309" s="1666">
        <f>IF(AY295=0,0,AY323/AY295*100)</f>
        <v>0</v>
      </c>
      <c r="AZ309" s="1666">
        <f>IF(AZ295=0,0,AZ323/AZ295*100)</f>
        <v>0</v>
      </c>
      <c r="BA309" s="1666">
        <f>IF(BA295=0,0,BA323/BA295*100)</f>
        <v>0</v>
      </c>
      <c r="BB309" s="1666">
        <f>IF(BB295=0,0,BB323/BB295*100)</f>
        <v>0</v>
      </c>
      <c r="BC309" s="1730"/>
      <c r="BD309" s="934"/>
      <c r="BE309" s="934"/>
      <c r="BF309" s="1170" t="s">
        <v>1128</v>
      </c>
    </row>
    <row s="214" customFormat="1" customHeight="1" ht="14.25">
      <c r="A310" s="214"/>
      <c r="B310" s="214"/>
      <c r="C310" s="214"/>
      <c r="D310" s="214"/>
      <c r="E310" s="794">
        <v>15</v>
      </c>
      <c r="F310" s="919" cm="1" t="str">
        <f t="array" ref="F310:F310">F309</f>
        <v>2</v>
      </c>
      <c r="G310" s="736" t="s">
        <v>1129</v>
      </c>
      <c r="H310" s="214"/>
      <c r="I310" s="214"/>
      <c r="J310" s="214"/>
      <c r="K310" s="214"/>
      <c r="L310" s="214"/>
      <c r="M310" s="214"/>
      <c r="N310" s="214"/>
      <c r="O310" s="214"/>
      <c r="P310" s="214"/>
      <c r="Q310" s="214"/>
      <c r="R310" s="214"/>
      <c r="S310" s="214"/>
      <c r="T310" s="816" cm="1" t="str">
        <f t="array" ref="T310:T310">T309</f>
        <v>true</v>
      </c>
      <c r="U310" s="214"/>
      <c r="V310" s="214"/>
      <c r="W310" s="214"/>
      <c r="X310" s="214"/>
      <c r="Y310" s="214"/>
      <c r="Z310" s="214"/>
      <c r="AA310" s="214"/>
      <c r="AB310" s="277">
        <v>7</v>
      </c>
      <c r="AC310" s="278" t="s">
        <v>1130</v>
      </c>
      <c r="AD310" s="153" t="s">
        <v>805</v>
      </c>
      <c r="AE310" s="1793">
        <f>SUM(AE311:AE314)+SUM(AE320:AE323)</f>
        <v>0</v>
      </c>
      <c r="AF310" s="1793">
        <f>SUM(AF311:AF314)+SUM(AF320:AF323)</f>
        <v>0</v>
      </c>
      <c r="AG310" s="1793">
        <f>SUM(AG311:AG314)+SUM(AG320:AG323)</f>
        <v>0</v>
      </c>
      <c r="AH310" s="1793">
        <f>SUM(AH311:AH314)+SUM(AH320:AH323)</f>
        <v>0</v>
      </c>
      <c r="AI310" s="292">
        <f>SUM(AI311:AI314)+SUM(AI320:AI323)</f>
        <v>507</v>
      </c>
      <c r="AJ310" s="292">
        <f>SUM(AJ311:AJ314)+SUM(AJ320:AJ323)</f>
        <v>507</v>
      </c>
      <c r="AK310" s="292">
        <f>SUM(AK311:AK314)+SUM(AK320:AK323)</f>
        <v>507</v>
      </c>
      <c r="AL310" s="292">
        <f>SUM(AL311:AL314)+SUM(AL320:AL323)</f>
        <v>465</v>
      </c>
      <c r="AM310" s="292">
        <f>SUM(AM311:AM314)+SUM(AM320:AM323)</f>
        <v>465</v>
      </c>
      <c r="AN310" s="1793">
        <f>SUM(AN311:AN314)+SUM(AN320:AN323)</f>
        <v>0</v>
      </c>
      <c r="AO310" s="1793">
        <f>SUM(AO311:AO314)+SUM(AO320:AO323)</f>
        <v>0</v>
      </c>
      <c r="AP310" s="1793">
        <f>SUM(AP311:AP314)+SUM(AP320:AP323)</f>
        <v>0</v>
      </c>
      <c r="AQ310" s="1793">
        <f>SUM(AQ311:AQ314)+SUM(AQ320:AQ323)</f>
        <v>0</v>
      </c>
      <c r="AR310" s="1793">
        <f>SUM(AR311:AR314)+SUM(AR320:AR323)</f>
        <v>0</v>
      </c>
      <c r="AS310" s="292">
        <f>SUM(AS311:AS314)+SUM(AS320:AS323)</f>
        <v>322</v>
      </c>
      <c r="AT310" s="292">
        <f>SUM(AT311:AT314)+SUM(AT320:AT323)</f>
        <v>322</v>
      </c>
      <c r="AU310" s="292">
        <f>SUM(AU311:AU314)+SUM(AU320:AU323)</f>
        <v>4</v>
      </c>
      <c r="AV310" s="292">
        <f>SUM(AV311:AV314)+SUM(AV320:AV323)</f>
        <v>4</v>
      </c>
      <c r="AW310" s="292">
        <f>SUM(AW311:AW314)+SUM(AW320:AW323)</f>
        <v>4</v>
      </c>
      <c r="AX310" s="1793">
        <f>SUM(AX311:AX314)+SUM(AX320:AX323)</f>
        <v>0</v>
      </c>
      <c r="AY310" s="1793">
        <f>SUM(AY311:AY314)+SUM(AY320:AY323)</f>
        <v>0</v>
      </c>
      <c r="AZ310" s="1793">
        <f>SUM(AZ311:AZ314)+SUM(AZ320:AZ323)</f>
        <v>0</v>
      </c>
      <c r="BA310" s="1793">
        <f>SUM(BA311:BA314)+SUM(BA320:BA323)</f>
        <v>0</v>
      </c>
      <c r="BB310" s="1793">
        <f>SUM(BB311:BB314)+SUM(BB320:BB323)</f>
        <v>0</v>
      </c>
      <c r="BC310" s="1730"/>
      <c r="BD310" s="214"/>
      <c r="BE310" s="214"/>
      <c r="BF310" s="1170" t="s">
        <v>1131</v>
      </c>
    </row>
    <row s="1619" customFormat="1" customHeight="1" ht="14.25">
      <c r="A311" s="1440"/>
      <c r="B311" s="924"/>
      <c r="C311" s="1440"/>
      <c r="D311" s="1440"/>
      <c r="E311" s="794">
        <v>15</v>
      </c>
      <c r="F311" s="919" cm="1" t="str">
        <f t="array" ref="F311:F311">F310</f>
        <v>2</v>
      </c>
      <c r="G311" s="962"/>
      <c r="H311" s="962"/>
      <c r="I311" s="962"/>
      <c r="J311" s="962"/>
      <c r="K311" s="962"/>
      <c r="L311" s="962"/>
      <c r="M311" s="962"/>
      <c r="N311" s="962"/>
      <c r="O311" s="962"/>
      <c r="P311" s="962"/>
      <c r="Q311" s="925"/>
      <c r="R311" s="925"/>
      <c r="S311" s="962"/>
      <c r="T311" s="816" cm="1" t="str">
        <f t="array" ref="T311:T311">T310</f>
        <v>true</v>
      </c>
      <c r="U311" s="1440"/>
      <c r="V311" s="1440"/>
      <c r="W311" s="1440"/>
      <c r="X311" s="1440"/>
      <c r="Y311" s="1440"/>
      <c r="Z311" s="1440"/>
      <c r="AA311" s="934"/>
      <c r="AB311" s="486" t="str">
        <f>AB310&amp;".1"</f>
        <v>7.1</v>
      </c>
      <c r="AC311" s="487" t="s">
        <v>1018</v>
      </c>
      <c r="AD311" s="486" t="s">
        <v>1019</v>
      </c>
      <c r="AE311" s="1666"/>
      <c r="AF311" s="1666"/>
      <c r="AG311" s="1666"/>
      <c r="AH311" s="1666"/>
      <c r="AI311" s="280">
        <v>507</v>
      </c>
      <c r="AJ311" s="280">
        <v>507</v>
      </c>
      <c r="AK311" s="280">
        <v>507</v>
      </c>
      <c r="AL311" s="280">
        <v>465</v>
      </c>
      <c r="AM311" s="280">
        <v>465</v>
      </c>
      <c r="AN311" s="1666"/>
      <c r="AO311" s="1666"/>
      <c r="AP311" s="1666"/>
      <c r="AQ311" s="1666"/>
      <c r="AR311" s="1666"/>
      <c r="AS311" s="280">
        <v>322</v>
      </c>
      <c r="AT311" s="280">
        <v>322</v>
      </c>
      <c r="AU311" s="280">
        <v>4</v>
      </c>
      <c r="AV311" s="280">
        <v>4</v>
      </c>
      <c r="AW311" s="280">
        <v>4</v>
      </c>
      <c r="AX311" s="1666"/>
      <c r="AY311" s="1666"/>
      <c r="AZ311" s="1666"/>
      <c r="BA311" s="1666"/>
      <c r="BB311" s="1666"/>
      <c r="BC311" s="1730"/>
      <c r="BD311" s="934"/>
      <c r="BE311" s="934"/>
      <c r="BF311" s="1170" t="s">
        <v>1132</v>
      </c>
    </row>
    <row s="1619" customFormat="1" customHeight="1" ht="14.25">
      <c r="A312" s="1440"/>
      <c r="B312" s="924"/>
      <c r="C312" s="1440"/>
      <c r="D312" s="1440"/>
      <c r="E312" s="794">
        <v>15</v>
      </c>
      <c r="F312" s="919" cm="1" t="str">
        <f t="array" ref="F312:F312">F311</f>
        <v>2</v>
      </c>
      <c r="G312" s="962"/>
      <c r="H312" s="962"/>
      <c r="I312" s="962"/>
      <c r="J312" s="962"/>
      <c r="K312" s="962"/>
      <c r="L312" s="962"/>
      <c r="M312" s="962"/>
      <c r="N312" s="962"/>
      <c r="O312" s="962"/>
      <c r="P312" s="962"/>
      <c r="Q312" s="925"/>
      <c r="R312" s="925"/>
      <c r="S312" s="962"/>
      <c r="T312" s="816" cm="1" t="str">
        <f t="array" ref="T312:T312">T311</f>
        <v>true</v>
      </c>
      <c r="U312" s="1440"/>
      <c r="V312" s="1440"/>
      <c r="W312" s="1440"/>
      <c r="X312" s="1440"/>
      <c r="Y312" s="1440"/>
      <c r="Z312" s="1440"/>
      <c r="AA312" s="934"/>
      <c r="AB312" s="486" t="str">
        <f>AB310&amp;".2"</f>
        <v>7.2</v>
      </c>
      <c r="AC312" s="487" t="s">
        <v>1021</v>
      </c>
      <c r="AD312" s="486" t="s">
        <v>1019</v>
      </c>
      <c r="AE312" s="1666"/>
      <c r="AF312" s="1666"/>
      <c r="AG312" s="1666"/>
      <c r="AH312" s="1666"/>
      <c r="AI312" s="280"/>
      <c r="AJ312" s="280"/>
      <c r="AK312" s="280"/>
      <c r="AL312" s="280"/>
      <c r="AM312" s="280"/>
      <c r="AN312" s="1666"/>
      <c r="AO312" s="1666"/>
      <c r="AP312" s="1666"/>
      <c r="AQ312" s="1666"/>
      <c r="AR312" s="1666"/>
      <c r="AS312" s="280"/>
      <c r="AT312" s="280"/>
      <c r="AU312" s="280"/>
      <c r="AV312" s="280"/>
      <c r="AW312" s="280"/>
      <c r="AX312" s="1666"/>
      <c r="AY312" s="1666"/>
      <c r="AZ312" s="1666"/>
      <c r="BA312" s="1666"/>
      <c r="BB312" s="1666"/>
      <c r="BC312" s="1730"/>
      <c r="BD312" s="934"/>
      <c r="BE312" s="934"/>
      <c r="BF312" s="1170" t="s">
        <v>1133</v>
      </c>
    </row>
    <row s="1619" customFormat="1" customHeight="1" ht="14.25">
      <c r="A313" s="1440"/>
      <c r="B313" s="924"/>
      <c r="C313" s="1440"/>
      <c r="D313" s="1440"/>
      <c r="E313" s="794">
        <v>15</v>
      </c>
      <c r="F313" s="919" cm="1" t="str">
        <f t="array" ref="F313:F313">F312</f>
        <v>2</v>
      </c>
      <c r="G313" s="962"/>
      <c r="H313" s="962"/>
      <c r="I313" s="962"/>
      <c r="J313" s="962"/>
      <c r="K313" s="962"/>
      <c r="L313" s="962"/>
      <c r="M313" s="962"/>
      <c r="N313" s="962"/>
      <c r="O313" s="962"/>
      <c r="P313" s="962"/>
      <c r="Q313" s="925"/>
      <c r="R313" s="925"/>
      <c r="S313" s="962"/>
      <c r="T313" s="816" cm="1" t="str">
        <f t="array" ref="T313:T313">T312</f>
        <v>true</v>
      </c>
      <c r="U313" s="1440"/>
      <c r="V313" s="1440"/>
      <c r="W313" s="1440"/>
      <c r="X313" s="1440"/>
      <c r="Y313" s="1440"/>
      <c r="Z313" s="1440"/>
      <c r="AA313" s="934"/>
      <c r="AB313" s="486" t="str">
        <f>AB310&amp;".3"</f>
        <v>7.3</v>
      </c>
      <c r="AC313" s="487" t="s">
        <v>1023</v>
      </c>
      <c r="AD313" s="486" t="s">
        <v>1019</v>
      </c>
      <c r="AE313" s="1666"/>
      <c r="AF313" s="1666"/>
      <c r="AG313" s="1666"/>
      <c r="AH313" s="1666"/>
      <c r="AI313" s="280"/>
      <c r="AJ313" s="280"/>
      <c r="AK313" s="280"/>
      <c r="AL313" s="280"/>
      <c r="AM313" s="280"/>
      <c r="AN313" s="1666"/>
      <c r="AO313" s="1666"/>
      <c r="AP313" s="1666"/>
      <c r="AQ313" s="1666"/>
      <c r="AR313" s="1666"/>
      <c r="AS313" s="280"/>
      <c r="AT313" s="280"/>
      <c r="AU313" s="280"/>
      <c r="AV313" s="280"/>
      <c r="AW313" s="280"/>
      <c r="AX313" s="1666"/>
      <c r="AY313" s="1666"/>
      <c r="AZ313" s="1666"/>
      <c r="BA313" s="1666"/>
      <c r="BB313" s="1666"/>
      <c r="BC313" s="1730"/>
      <c r="BD313" s="934"/>
      <c r="BE313" s="934"/>
      <c r="BF313" s="1170" t="s">
        <v>1134</v>
      </c>
    </row>
    <row s="1619" customFormat="1" customHeight="1" ht="14.25">
      <c r="A314" s="1440"/>
      <c r="B314" s="924"/>
      <c r="C314" s="1440"/>
      <c r="D314" s="1440"/>
      <c r="E314" s="794">
        <v>15</v>
      </c>
      <c r="F314" s="919" cm="1" t="str">
        <f t="array" ref="F314:F314">F313</f>
        <v>2</v>
      </c>
      <c r="G314" s="962"/>
      <c r="H314" s="962"/>
      <c r="I314" s="962"/>
      <c r="J314" s="962"/>
      <c r="K314" s="962"/>
      <c r="L314" s="962"/>
      <c r="M314" s="962"/>
      <c r="N314" s="962"/>
      <c r="O314" s="962"/>
      <c r="P314" s="962"/>
      <c r="Q314" s="925"/>
      <c r="R314" s="925"/>
      <c r="S314" s="962"/>
      <c r="T314" s="816" cm="1" t="str">
        <f t="array" ref="T314:T314">T313</f>
        <v>true</v>
      </c>
      <c r="U314" s="1440"/>
      <c r="V314" s="1440"/>
      <c r="W314" s="1440"/>
      <c r="X314" s="1440"/>
      <c r="Y314" s="1440"/>
      <c r="Z314" s="1440"/>
      <c r="AA314" s="934"/>
      <c r="AB314" s="486" t="str">
        <f>AB310&amp;".4"</f>
        <v>7.4</v>
      </c>
      <c r="AC314" s="487" t="s">
        <v>1025</v>
      </c>
      <c r="AD314" s="486" t="s">
        <v>1019</v>
      </c>
      <c r="AE314" s="1807">
        <f>SUM(AE315:AE319)</f>
        <v>0</v>
      </c>
      <c r="AF314" s="1807">
        <f>SUM(AF315:AF319)</f>
        <v>0</v>
      </c>
      <c r="AG314" s="1807">
        <f>SUM(AG315:AG319)</f>
        <v>0</v>
      </c>
      <c r="AH314" s="1807">
        <f>SUM(AH315:AH319)</f>
        <v>0</v>
      </c>
      <c r="AI314" s="481">
        <f>SUM(AI315:AI319)</f>
        <v>0</v>
      </c>
      <c r="AJ314" s="481">
        <f>SUM(AJ315:AJ319)</f>
        <v>0</v>
      </c>
      <c r="AK314" s="481">
        <f>SUM(AK315:AK319)</f>
        <v>0</v>
      </c>
      <c r="AL314" s="481">
        <f>SUM(AL315:AL319)</f>
        <v>0</v>
      </c>
      <c r="AM314" s="481">
        <f>SUM(AM315:AM319)</f>
        <v>0</v>
      </c>
      <c r="AN314" s="1807">
        <f>SUM(AN315:AN319)</f>
        <v>0</v>
      </c>
      <c r="AO314" s="1807">
        <f>SUM(AO315:AO319)</f>
        <v>0</v>
      </c>
      <c r="AP314" s="1807">
        <f>SUM(AP315:AP319)</f>
        <v>0</v>
      </c>
      <c r="AQ314" s="1807">
        <f>SUM(AQ315:AQ319)</f>
        <v>0</v>
      </c>
      <c r="AR314" s="1807">
        <f>SUM(AR315:AR319)</f>
        <v>0</v>
      </c>
      <c r="AS314" s="481">
        <f>SUM(AS315:AS319)</f>
        <v>0</v>
      </c>
      <c r="AT314" s="481">
        <f>SUM(AT315:AT319)</f>
        <v>0</v>
      </c>
      <c r="AU314" s="481">
        <f>SUM(AU315:AU319)</f>
        <v>0</v>
      </c>
      <c r="AV314" s="481">
        <f>SUM(AV315:AV319)</f>
        <v>0</v>
      </c>
      <c r="AW314" s="481">
        <f>SUM(AW315:AW319)</f>
        <v>0</v>
      </c>
      <c r="AX314" s="1807">
        <f>SUM(AX315:AX319)</f>
        <v>0</v>
      </c>
      <c r="AY314" s="1807">
        <f>SUM(AY315:AY319)</f>
        <v>0</v>
      </c>
      <c r="AZ314" s="1807">
        <f>SUM(AZ315:AZ319)</f>
        <v>0</v>
      </c>
      <c r="BA314" s="1807">
        <f>SUM(BA315:BA319)</f>
        <v>0</v>
      </c>
      <c r="BB314" s="1807">
        <f>SUM(BB315:BB319)</f>
        <v>0</v>
      </c>
      <c r="BC314" s="1730"/>
      <c r="BD314" s="934"/>
      <c r="BE314" s="934"/>
      <c r="BF314" s="1170" t="s">
        <v>1135</v>
      </c>
    </row>
    <row s="1619" customFormat="1" customHeight="1" ht="14.25">
      <c r="A315" s="1440"/>
      <c r="B315" s="924"/>
      <c r="C315" s="1440"/>
      <c r="D315" s="1440"/>
      <c r="E315" s="794">
        <v>15</v>
      </c>
      <c r="F315" s="919" cm="1" t="str">
        <f t="array" ref="F315:F315">F314</f>
        <v>2</v>
      </c>
      <c r="G315" s="962"/>
      <c r="H315" s="962"/>
      <c r="I315" s="962"/>
      <c r="J315" s="962"/>
      <c r="K315" s="962"/>
      <c r="L315" s="962"/>
      <c r="M315" s="962"/>
      <c r="N315" s="962"/>
      <c r="O315" s="962"/>
      <c r="P315" s="962"/>
      <c r="Q315" s="925"/>
      <c r="R315" s="925"/>
      <c r="S315" s="962"/>
      <c r="T315" s="816" cm="1" t="str">
        <f t="array" ref="T315:T315">T314</f>
        <v>true</v>
      </c>
      <c r="U315" s="1440"/>
      <c r="V315" s="1440"/>
      <c r="W315" s="1440"/>
      <c r="X315" s="1440"/>
      <c r="Y315" s="1440"/>
      <c r="Z315" s="1440"/>
      <c r="AA315" s="934"/>
      <c r="AB315" s="486" t="str">
        <f>AB314&amp;".1"</f>
        <v>7.4.1</v>
      </c>
      <c r="AC315" s="488" t="s">
        <v>1028</v>
      </c>
      <c r="AD315" s="486" t="s">
        <v>1019</v>
      </c>
      <c r="AE315" s="1666"/>
      <c r="AF315" s="1666"/>
      <c r="AG315" s="1666"/>
      <c r="AH315" s="1666"/>
      <c r="AI315" s="280"/>
      <c r="AJ315" s="280"/>
      <c r="AK315" s="280"/>
      <c r="AL315" s="280"/>
      <c r="AM315" s="280"/>
      <c r="AN315" s="1666"/>
      <c r="AO315" s="1666"/>
      <c r="AP315" s="1666"/>
      <c r="AQ315" s="1666"/>
      <c r="AR315" s="1666"/>
      <c r="AS315" s="280"/>
      <c r="AT315" s="280"/>
      <c r="AU315" s="280"/>
      <c r="AV315" s="280"/>
      <c r="AW315" s="280"/>
      <c r="AX315" s="1666"/>
      <c r="AY315" s="1666"/>
      <c r="AZ315" s="1666"/>
      <c r="BA315" s="1666"/>
      <c r="BB315" s="1666"/>
      <c r="BC315" s="1730"/>
      <c r="BD315" s="934"/>
      <c r="BE315" s="934"/>
      <c r="BF315" s="1170" t="s">
        <v>1136</v>
      </c>
    </row>
    <row s="1619" customFormat="1" customHeight="1" ht="14.25">
      <c r="A316" s="1440"/>
      <c r="B316" s="924"/>
      <c r="C316" s="1440"/>
      <c r="D316" s="1440"/>
      <c r="E316" s="794">
        <v>15</v>
      </c>
      <c r="F316" s="919" cm="1" t="str">
        <f t="array" ref="F316:F316">F315</f>
        <v>2</v>
      </c>
      <c r="G316" s="962"/>
      <c r="H316" s="962"/>
      <c r="I316" s="962"/>
      <c r="J316" s="962"/>
      <c r="K316" s="962"/>
      <c r="L316" s="962"/>
      <c r="M316" s="962"/>
      <c r="N316" s="962"/>
      <c r="O316" s="962"/>
      <c r="P316" s="962"/>
      <c r="Q316" s="925"/>
      <c r="R316" s="925"/>
      <c r="S316" s="962"/>
      <c r="T316" s="816" cm="1" t="str">
        <f t="array" ref="T316:T316">T315</f>
        <v>true</v>
      </c>
      <c r="U316" s="1440"/>
      <c r="V316" s="1440"/>
      <c r="W316" s="1440"/>
      <c r="X316" s="1440"/>
      <c r="Y316" s="1440"/>
      <c r="Z316" s="1440"/>
      <c r="AA316" s="934"/>
      <c r="AB316" s="486" t="str">
        <f>AB314&amp;".2"</f>
        <v>7.4.2</v>
      </c>
      <c r="AC316" s="488" t="s">
        <v>1031</v>
      </c>
      <c r="AD316" s="486" t="s">
        <v>1019</v>
      </c>
      <c r="AE316" s="1666"/>
      <c r="AF316" s="1666"/>
      <c r="AG316" s="1666"/>
      <c r="AH316" s="1666"/>
      <c r="AI316" s="280"/>
      <c r="AJ316" s="280"/>
      <c r="AK316" s="280"/>
      <c r="AL316" s="280"/>
      <c r="AM316" s="280"/>
      <c r="AN316" s="1666"/>
      <c r="AO316" s="1666"/>
      <c r="AP316" s="1666"/>
      <c r="AQ316" s="1666"/>
      <c r="AR316" s="1666"/>
      <c r="AS316" s="280"/>
      <c r="AT316" s="280"/>
      <c r="AU316" s="280"/>
      <c r="AV316" s="280"/>
      <c r="AW316" s="280"/>
      <c r="AX316" s="1666"/>
      <c r="AY316" s="1666"/>
      <c r="AZ316" s="1666"/>
      <c r="BA316" s="1666"/>
      <c r="BB316" s="1666"/>
      <c r="BC316" s="1730"/>
      <c r="BD316" s="934"/>
      <c r="BE316" s="934"/>
      <c r="BF316" s="1170" t="s">
        <v>1137</v>
      </c>
    </row>
    <row s="1619" customFormat="1" customHeight="1" ht="14.25">
      <c r="A317" s="1440"/>
      <c r="B317" s="924"/>
      <c r="C317" s="1440"/>
      <c r="D317" s="1440"/>
      <c r="E317" s="794">
        <v>15</v>
      </c>
      <c r="F317" s="919" cm="1" t="str">
        <f t="array" ref="F317:F317">F316</f>
        <v>2</v>
      </c>
      <c r="G317" s="962"/>
      <c r="H317" s="962"/>
      <c r="I317" s="962"/>
      <c r="J317" s="962"/>
      <c r="K317" s="962"/>
      <c r="L317" s="962"/>
      <c r="M317" s="962"/>
      <c r="N317" s="962"/>
      <c r="O317" s="962"/>
      <c r="P317" s="962"/>
      <c r="Q317" s="925"/>
      <c r="R317" s="925"/>
      <c r="S317" s="962"/>
      <c r="T317" s="816" cm="1" t="str">
        <f t="array" ref="T317:T317">T316</f>
        <v>true</v>
      </c>
      <c r="U317" s="1440"/>
      <c r="V317" s="1440"/>
      <c r="W317" s="1440"/>
      <c r="X317" s="1440"/>
      <c r="Y317" s="1440"/>
      <c r="Z317" s="1440"/>
      <c r="AA317" s="934"/>
      <c r="AB317" s="486" t="str">
        <f>AB314&amp;".3"</f>
        <v>7.4.3</v>
      </c>
      <c r="AC317" s="488" t="s">
        <v>1034</v>
      </c>
      <c r="AD317" s="486" t="s">
        <v>1019</v>
      </c>
      <c r="AE317" s="1666"/>
      <c r="AF317" s="1666"/>
      <c r="AG317" s="1666"/>
      <c r="AH317" s="1666"/>
      <c r="AI317" s="280"/>
      <c r="AJ317" s="280"/>
      <c r="AK317" s="280"/>
      <c r="AL317" s="280"/>
      <c r="AM317" s="280"/>
      <c r="AN317" s="1666"/>
      <c r="AO317" s="1666"/>
      <c r="AP317" s="1666"/>
      <c r="AQ317" s="1666"/>
      <c r="AR317" s="1666"/>
      <c r="AS317" s="280"/>
      <c r="AT317" s="280"/>
      <c r="AU317" s="280"/>
      <c r="AV317" s="280"/>
      <c r="AW317" s="280"/>
      <c r="AX317" s="1666"/>
      <c r="AY317" s="1666"/>
      <c r="AZ317" s="1666"/>
      <c r="BA317" s="1666"/>
      <c r="BB317" s="1666"/>
      <c r="BC317" s="1730"/>
      <c r="BD317" s="934"/>
      <c r="BE317" s="934"/>
      <c r="BF317" s="1170" t="s">
        <v>1138</v>
      </c>
    </row>
    <row s="1619" customFormat="1" customHeight="1" ht="14.25">
      <c r="A318" s="1440"/>
      <c r="B318" s="924"/>
      <c r="C318" s="1440"/>
      <c r="D318" s="1440"/>
      <c r="E318" s="794">
        <v>15</v>
      </c>
      <c r="F318" s="919" cm="1" t="str">
        <f t="array" ref="F318:F318">F317</f>
        <v>2</v>
      </c>
      <c r="G318" s="962"/>
      <c r="H318" s="962"/>
      <c r="I318" s="962"/>
      <c r="J318" s="962"/>
      <c r="K318" s="962"/>
      <c r="L318" s="962"/>
      <c r="M318" s="962"/>
      <c r="N318" s="962"/>
      <c r="O318" s="962"/>
      <c r="P318" s="962"/>
      <c r="Q318" s="925"/>
      <c r="R318" s="925"/>
      <c r="S318" s="962"/>
      <c r="T318" s="816" cm="1" t="str">
        <f t="array" ref="T318:T318">T317</f>
        <v>true</v>
      </c>
      <c r="U318" s="1440"/>
      <c r="V318" s="1440"/>
      <c r="W318" s="1440"/>
      <c r="X318" s="1440"/>
      <c r="Y318" s="1440"/>
      <c r="Z318" s="1440"/>
      <c r="AA318" s="934"/>
      <c r="AB318" s="486" t="str">
        <f>AB314&amp;".4"</f>
        <v>7.4.4</v>
      </c>
      <c r="AC318" s="488" t="s">
        <v>1037</v>
      </c>
      <c r="AD318" s="486" t="s">
        <v>1019</v>
      </c>
      <c r="AE318" s="1666"/>
      <c r="AF318" s="1666"/>
      <c r="AG318" s="1666"/>
      <c r="AH318" s="1666"/>
      <c r="AI318" s="280"/>
      <c r="AJ318" s="280"/>
      <c r="AK318" s="280"/>
      <c r="AL318" s="280"/>
      <c r="AM318" s="280"/>
      <c r="AN318" s="1666"/>
      <c r="AO318" s="1666"/>
      <c r="AP318" s="1666"/>
      <c r="AQ318" s="1666"/>
      <c r="AR318" s="1666"/>
      <c r="AS318" s="280"/>
      <c r="AT318" s="280"/>
      <c r="AU318" s="280"/>
      <c r="AV318" s="280"/>
      <c r="AW318" s="280"/>
      <c r="AX318" s="1666"/>
      <c r="AY318" s="1666"/>
      <c r="AZ318" s="1666"/>
      <c r="BA318" s="1666"/>
      <c r="BB318" s="1666"/>
      <c r="BC318" s="1730"/>
      <c r="BD318" s="934"/>
      <c r="BE318" s="934"/>
      <c r="BF318" s="1170" t="s">
        <v>1139</v>
      </c>
    </row>
    <row s="1619" customFormat="1" customHeight="1" ht="14.25">
      <c r="A319" s="1440"/>
      <c r="B319" s="924"/>
      <c r="C319" s="1440"/>
      <c r="D319" s="1440"/>
      <c r="E319" s="794">
        <v>15</v>
      </c>
      <c r="F319" s="919" cm="1" t="str">
        <f t="array" ref="F319:F319">F318</f>
        <v>2</v>
      </c>
      <c r="G319" s="962"/>
      <c r="H319" s="962"/>
      <c r="I319" s="962"/>
      <c r="J319" s="962"/>
      <c r="K319" s="962"/>
      <c r="L319" s="962"/>
      <c r="M319" s="962"/>
      <c r="N319" s="962"/>
      <c r="O319" s="962"/>
      <c r="P319" s="962"/>
      <c r="Q319" s="925"/>
      <c r="R319" s="925"/>
      <c r="S319" s="962"/>
      <c r="T319" s="816" cm="1" t="str">
        <f t="array" ref="T319:T319">T318</f>
        <v>true</v>
      </c>
      <c r="U319" s="1440"/>
      <c r="V319" s="1440"/>
      <c r="W319" s="1440"/>
      <c r="X319" s="1440"/>
      <c r="Y319" s="1440"/>
      <c r="Z319" s="1440"/>
      <c r="AA319" s="934"/>
      <c r="AB319" s="486" t="str">
        <f>AB314&amp;".5"</f>
        <v>7.4.5</v>
      </c>
      <c r="AC319" s="488" t="s">
        <v>1040</v>
      </c>
      <c r="AD319" s="486" t="s">
        <v>1019</v>
      </c>
      <c r="AE319" s="1666"/>
      <c r="AF319" s="1666"/>
      <c r="AG319" s="1666"/>
      <c r="AH319" s="1666"/>
      <c r="AI319" s="280"/>
      <c r="AJ319" s="280"/>
      <c r="AK319" s="280"/>
      <c r="AL319" s="280"/>
      <c r="AM319" s="280"/>
      <c r="AN319" s="1666"/>
      <c r="AO319" s="1666"/>
      <c r="AP319" s="1666"/>
      <c r="AQ319" s="1666"/>
      <c r="AR319" s="1666"/>
      <c r="AS319" s="280"/>
      <c r="AT319" s="280"/>
      <c r="AU319" s="280"/>
      <c r="AV319" s="280"/>
      <c r="AW319" s="280"/>
      <c r="AX319" s="1666"/>
      <c r="AY319" s="1666"/>
      <c r="AZ319" s="1666"/>
      <c r="BA319" s="1666"/>
      <c r="BB319" s="1666"/>
      <c r="BC319" s="1730"/>
      <c r="BD319" s="934"/>
      <c r="BE319" s="934"/>
      <c r="BF319" s="1170" t="s">
        <v>1140</v>
      </c>
    </row>
    <row s="1619" customFormat="1" customHeight="1" ht="14.25">
      <c r="A320" s="1440"/>
      <c r="B320" s="924"/>
      <c r="C320" s="1440"/>
      <c r="D320" s="1440"/>
      <c r="E320" s="794">
        <v>15</v>
      </c>
      <c r="F320" s="919" cm="1" t="str">
        <f t="array" ref="F320:F320">F319</f>
        <v>2</v>
      </c>
      <c r="G320" s="962"/>
      <c r="H320" s="962"/>
      <c r="I320" s="962"/>
      <c r="J320" s="962"/>
      <c r="K320" s="962"/>
      <c r="L320" s="962"/>
      <c r="M320" s="962"/>
      <c r="N320" s="962"/>
      <c r="O320" s="962"/>
      <c r="P320" s="962"/>
      <c r="Q320" s="925"/>
      <c r="R320" s="925"/>
      <c r="S320" s="962"/>
      <c r="T320" s="816" cm="1" t="str">
        <f t="array" ref="T320:T320">T319</f>
        <v>true</v>
      </c>
      <c r="U320" s="1440"/>
      <c r="V320" s="1440"/>
      <c r="W320" s="1440"/>
      <c r="X320" s="1440"/>
      <c r="Y320" s="1440"/>
      <c r="Z320" s="1440"/>
      <c r="AA320" s="934"/>
      <c r="AB320" s="486" t="str">
        <f>AB310&amp;".5"</f>
        <v>7.5</v>
      </c>
      <c r="AC320" s="487" t="s">
        <v>1043</v>
      </c>
      <c r="AD320" s="486" t="s">
        <v>1019</v>
      </c>
      <c r="AE320" s="1666"/>
      <c r="AF320" s="1666"/>
      <c r="AG320" s="1666"/>
      <c r="AH320" s="1666"/>
      <c r="AI320" s="280"/>
      <c r="AJ320" s="280"/>
      <c r="AK320" s="280"/>
      <c r="AL320" s="280"/>
      <c r="AM320" s="280"/>
      <c r="AN320" s="1666"/>
      <c r="AO320" s="1666"/>
      <c r="AP320" s="1666"/>
      <c r="AQ320" s="1666"/>
      <c r="AR320" s="1666"/>
      <c r="AS320" s="280"/>
      <c r="AT320" s="280"/>
      <c r="AU320" s="280"/>
      <c r="AV320" s="280"/>
      <c r="AW320" s="280"/>
      <c r="AX320" s="1666"/>
      <c r="AY320" s="1666"/>
      <c r="AZ320" s="1666"/>
      <c r="BA320" s="1666"/>
      <c r="BB320" s="1666"/>
      <c r="BC320" s="1730"/>
      <c r="BD320" s="934"/>
      <c r="BE320" s="934"/>
      <c r="BF320" s="1170" t="s">
        <v>1141</v>
      </c>
    </row>
    <row s="1619" customFormat="1" customHeight="1" ht="14.25">
      <c r="A321" s="1440"/>
      <c r="B321" s="924"/>
      <c r="C321" s="1440"/>
      <c r="D321" s="1440"/>
      <c r="E321" s="794">
        <v>15</v>
      </c>
      <c r="F321" s="919" cm="1" t="str">
        <f t="array" ref="F321:F321">F320</f>
        <v>2</v>
      </c>
      <c r="G321" s="962"/>
      <c r="H321" s="962"/>
      <c r="I321" s="962"/>
      <c r="J321" s="962"/>
      <c r="K321" s="962"/>
      <c r="L321" s="962"/>
      <c r="M321" s="962"/>
      <c r="N321" s="962"/>
      <c r="O321" s="962"/>
      <c r="P321" s="962"/>
      <c r="Q321" s="925"/>
      <c r="R321" s="925"/>
      <c r="S321" s="962"/>
      <c r="T321" s="816" cm="1" t="str">
        <f t="array" ref="T321:T321">T320</f>
        <v>true</v>
      </c>
      <c r="U321" s="1440"/>
      <c r="V321" s="1440"/>
      <c r="W321" s="1440"/>
      <c r="X321" s="1440"/>
      <c r="Y321" s="1440"/>
      <c r="Z321" s="1440"/>
      <c r="AA321" s="934"/>
      <c r="AB321" s="486" t="str">
        <f>AB310&amp;".6"</f>
        <v>7.6</v>
      </c>
      <c r="AC321" s="487" t="s">
        <v>1046</v>
      </c>
      <c r="AD321" s="486" t="s">
        <v>1019</v>
      </c>
      <c r="AE321" s="1666"/>
      <c r="AF321" s="1666"/>
      <c r="AG321" s="1666"/>
      <c r="AH321" s="1666"/>
      <c r="AI321" s="280"/>
      <c r="AJ321" s="280"/>
      <c r="AK321" s="280"/>
      <c r="AL321" s="280"/>
      <c r="AM321" s="280"/>
      <c r="AN321" s="1666"/>
      <c r="AO321" s="1666"/>
      <c r="AP321" s="1666"/>
      <c r="AQ321" s="1666"/>
      <c r="AR321" s="1666"/>
      <c r="AS321" s="280"/>
      <c r="AT321" s="280"/>
      <c r="AU321" s="280"/>
      <c r="AV321" s="280"/>
      <c r="AW321" s="280"/>
      <c r="AX321" s="1666"/>
      <c r="AY321" s="1666"/>
      <c r="AZ321" s="1666"/>
      <c r="BA321" s="1666"/>
      <c r="BB321" s="1666"/>
      <c r="BC321" s="1730"/>
      <c r="BD321" s="934"/>
      <c r="BE321" s="934"/>
      <c r="BF321" s="1170" t="s">
        <v>1142</v>
      </c>
    </row>
    <row s="1619" customFormat="1" customHeight="1" ht="14.25">
      <c r="A322" s="1440"/>
      <c r="B322" s="924"/>
      <c r="C322" s="1440"/>
      <c r="D322" s="1440"/>
      <c r="E322" s="794">
        <v>15</v>
      </c>
      <c r="F322" s="919" cm="1" t="str">
        <f t="array" ref="F322:F322">F321</f>
        <v>2</v>
      </c>
      <c r="G322" s="962"/>
      <c r="H322" s="962"/>
      <c r="I322" s="962"/>
      <c r="J322" s="962"/>
      <c r="K322" s="962"/>
      <c r="L322" s="962"/>
      <c r="M322" s="962"/>
      <c r="N322" s="962"/>
      <c r="O322" s="962"/>
      <c r="P322" s="962"/>
      <c r="Q322" s="925"/>
      <c r="R322" s="925"/>
      <c r="S322" s="962"/>
      <c r="T322" s="816" cm="1" t="str">
        <f t="array" ref="T322:T322">T321</f>
        <v>true</v>
      </c>
      <c r="U322" s="1440"/>
      <c r="V322" s="1440"/>
      <c r="W322" s="1440"/>
      <c r="X322" s="1440"/>
      <c r="Y322" s="1440"/>
      <c r="Z322" s="1440"/>
      <c r="AA322" s="934"/>
      <c r="AB322" s="486" t="str">
        <f>AB310&amp;".7"</f>
        <v>7.7</v>
      </c>
      <c r="AC322" s="487" t="s">
        <v>1049</v>
      </c>
      <c r="AD322" s="486" t="s">
        <v>1019</v>
      </c>
      <c r="AE322" s="1666"/>
      <c r="AF322" s="1666"/>
      <c r="AG322" s="1666"/>
      <c r="AH322" s="1666"/>
      <c r="AI322" s="280"/>
      <c r="AJ322" s="280"/>
      <c r="AK322" s="280"/>
      <c r="AL322" s="280"/>
      <c r="AM322" s="280"/>
      <c r="AN322" s="1666"/>
      <c r="AO322" s="1666"/>
      <c r="AP322" s="1666"/>
      <c r="AQ322" s="1666"/>
      <c r="AR322" s="1666"/>
      <c r="AS322" s="280"/>
      <c r="AT322" s="280"/>
      <c r="AU322" s="280"/>
      <c r="AV322" s="280"/>
      <c r="AW322" s="280"/>
      <c r="AX322" s="1666"/>
      <c r="AY322" s="1666"/>
      <c r="AZ322" s="1666"/>
      <c r="BA322" s="1666"/>
      <c r="BB322" s="1666"/>
      <c r="BC322" s="1730"/>
      <c r="BD322" s="934"/>
      <c r="BE322" s="934"/>
      <c r="BF322" s="1170" t="s">
        <v>1143</v>
      </c>
    </row>
    <row s="1619" customFormat="1" customHeight="1" ht="14.25">
      <c r="A323" s="1440"/>
      <c r="B323" s="924"/>
      <c r="C323" s="1440"/>
      <c r="D323" s="1440"/>
      <c r="E323" s="794">
        <v>15</v>
      </c>
      <c r="F323" s="919" cm="1" t="str">
        <f t="array" ref="F323:F323">F322</f>
        <v>2</v>
      </c>
      <c r="G323" s="962"/>
      <c r="H323" s="962"/>
      <c r="I323" s="962"/>
      <c r="J323" s="962"/>
      <c r="K323" s="962"/>
      <c r="L323" s="962"/>
      <c r="M323" s="962"/>
      <c r="N323" s="962"/>
      <c r="O323" s="962"/>
      <c r="P323" s="962"/>
      <c r="Q323" s="925"/>
      <c r="R323" s="925"/>
      <c r="S323" s="962"/>
      <c r="T323" s="816" cm="1" t="str">
        <f t="array" ref="T323:T323">T322</f>
        <v>true</v>
      </c>
      <c r="U323" s="1440"/>
      <c r="V323" s="1440"/>
      <c r="W323" s="1440"/>
      <c r="X323" s="1440"/>
      <c r="Y323" s="1440"/>
      <c r="Z323" s="1440"/>
      <c r="AA323" s="934"/>
      <c r="AB323" s="486" t="str">
        <f>AB310&amp;".8"</f>
        <v>7.8</v>
      </c>
      <c r="AC323" s="487" t="s">
        <v>1052</v>
      </c>
      <c r="AD323" s="486" t="s">
        <v>1019</v>
      </c>
      <c r="AE323" s="1666"/>
      <c r="AF323" s="1666"/>
      <c r="AG323" s="1666"/>
      <c r="AH323" s="1666"/>
      <c r="AI323" s="280"/>
      <c r="AJ323" s="280"/>
      <c r="AK323" s="280"/>
      <c r="AL323" s="280"/>
      <c r="AM323" s="280"/>
      <c r="AN323" s="1666"/>
      <c r="AO323" s="1666"/>
      <c r="AP323" s="1666"/>
      <c r="AQ323" s="1666"/>
      <c r="AR323" s="1666"/>
      <c r="AS323" s="280"/>
      <c r="AT323" s="280"/>
      <c r="AU323" s="280"/>
      <c r="AV323" s="280"/>
      <c r="AW323" s="280"/>
      <c r="AX323" s="1666"/>
      <c r="AY323" s="1666"/>
      <c r="AZ323" s="1666"/>
      <c r="BA323" s="1666"/>
      <c r="BB323" s="1666"/>
      <c r="BC323" s="1730"/>
      <c r="BD323" s="934"/>
      <c r="BE323" s="934"/>
      <c r="BF323" s="1170" t="s">
        <v>1144</v>
      </c>
    </row>
    <row customHeight="1" ht="11.115">
      <c r="E324" s="794">
        <v>11.4</v>
      </c>
      <c r="U324" s="176" t="s">
        <v>235</v>
      </c>
      <c r="V324" s="168" t="s">
        <v>1145</v>
      </c>
      <c r="AD324" s="184"/>
      <c r="AE324" s="184"/>
      <c r="AF324" s="184"/>
      <c r="AG324" s="184"/>
      <c r="AH324" s="184"/>
      <c r="AI324" s="184"/>
      <c r="AJ324" s="184"/>
      <c r="AK324" s="184"/>
      <c r="AL324" s="184"/>
      <c r="AM324" s="184"/>
      <c r="AN324" s="184"/>
      <c r="AO324" s="184"/>
      <c r="AP324" s="184"/>
      <c r="AQ324" s="184"/>
      <c r="AR324" s="184"/>
      <c r="AS324" s="184"/>
      <c r="AT324" s="184"/>
      <c r="AU324" s="184"/>
      <c r="AV324" s="184"/>
      <c r="AW324" s="184"/>
      <c r="AX324" s="184"/>
      <c r="AY324" s="184"/>
      <c r="AZ324" s="184"/>
      <c r="BA324" s="184"/>
      <c r="BB324" s="184"/>
    </row>
    <row customHeight="1" ht="11.25" hidden="1">
      <c r="E325" s="794">
        <v>0</v>
      </c>
      <c r="AB325" s="176"/>
      <c r="AC325" s="215"/>
      <c r="AD325" s="176"/>
      <c r="AE325" s="216"/>
      <c r="AF325" s="216"/>
      <c r="AG325" s="216"/>
      <c r="AH325" s="216"/>
      <c r="AI325" s="216"/>
      <c r="AJ325" s="216"/>
      <c r="AK325" s="216"/>
      <c r="AL325" s="216"/>
      <c r="AM325" s="216"/>
      <c r="AN325" s="216"/>
      <c r="AO325" s="216"/>
      <c r="AP325" s="216"/>
      <c r="AQ325" s="216"/>
      <c r="AR325" s="216"/>
      <c r="AS325" s="199"/>
      <c r="AT325" s="199"/>
      <c r="AU325" s="199"/>
      <c r="AV325" s="199"/>
      <c r="AW325" s="199"/>
      <c r="AX325" s="199"/>
      <c r="AY325" s="199"/>
      <c r="AZ325" s="199"/>
      <c r="BA325" s="199"/>
      <c r="BB325" s="199"/>
    </row>
    <row s="497" customFormat="1" customHeight="1" ht="14.625">
      <c r="A326" s="172"/>
      <c r="B326" s="785"/>
      <c r="C326" s="172"/>
      <c r="D326" s="172"/>
      <c r="E326" s="794">
        <v>15</v>
      </c>
      <c r="F326" s="172"/>
      <c r="Q326" s="736"/>
      <c r="R326" s="736"/>
      <c r="T326" s="172"/>
      <c r="U326" s="172"/>
      <c r="V326" s="172"/>
      <c r="W326" s="172"/>
      <c r="X326" s="172"/>
      <c r="Y326" s="172"/>
      <c r="Z326" s="172"/>
      <c r="AB326" s="1527" t="s">
        <v>700</v>
      </c>
      <c r="AC326" s="1527"/>
      <c r="AD326" s="1527"/>
      <c r="AE326" s="1527"/>
      <c r="AF326" s="1527"/>
      <c r="AG326" s="1527"/>
      <c r="AH326" s="1527"/>
      <c r="AI326" s="1528"/>
      <c r="AJ326" s="1528"/>
      <c r="AK326" s="1528"/>
      <c r="AL326" s="1528"/>
      <c r="AM326" s="1528"/>
      <c r="AN326" s="1528"/>
      <c r="AO326" s="1528"/>
      <c r="AP326" s="1528"/>
      <c r="AQ326" s="1528"/>
      <c r="AR326" s="1528"/>
      <c r="AS326" s="1528"/>
      <c r="AT326" s="1528"/>
      <c r="AU326" s="1528"/>
      <c r="AV326" s="1528"/>
      <c r="AW326" s="1528"/>
      <c r="AX326" s="1528"/>
      <c r="AY326" s="1528"/>
      <c r="AZ326" s="1528"/>
      <c r="BA326" s="1528"/>
      <c r="BB326" s="1528"/>
      <c r="BC326" s="1528"/>
      <c r="BF326" s="1181"/>
    </row>
    <row s="497" customFormat="1" customHeight="1" ht="14.625">
      <c r="A327" s="172"/>
      <c r="B327" s="785"/>
      <c r="C327" s="172"/>
      <c r="D327" s="172"/>
      <c r="E327" s="794">
        <v>15</v>
      </c>
      <c r="F327" s="172"/>
      <c r="Q327" s="736"/>
      <c r="R327" s="736"/>
      <c r="T327" s="172"/>
      <c r="U327" s="172"/>
      <c r="V327" s="172"/>
      <c r="W327" s="172"/>
      <c r="X327" s="172"/>
      <c r="Y327" s="172"/>
      <c r="Z327" s="172"/>
      <c r="AA327" s="918"/>
      <c r="AB327" s="1529"/>
      <c r="AC327" s="1529"/>
      <c r="AD327" s="1529"/>
      <c r="AE327" s="1529"/>
      <c r="AF327" s="1529"/>
      <c r="AG327" s="1529"/>
      <c r="AH327" s="1529"/>
      <c r="AI327" s="1530"/>
      <c r="AJ327" s="1530"/>
      <c r="AK327" s="1530"/>
      <c r="AL327" s="1530"/>
      <c r="AM327" s="1530"/>
      <c r="AN327" s="1796"/>
      <c r="AO327" s="1796"/>
      <c r="AP327" s="1796"/>
      <c r="AQ327" s="1796"/>
      <c r="AR327" s="1796"/>
      <c r="AS327" s="1530"/>
      <c r="AT327" s="1530"/>
      <c r="AU327" s="1530"/>
      <c r="AV327" s="1530"/>
      <c r="AW327" s="1530"/>
      <c r="AX327" s="1796"/>
      <c r="AY327" s="1796"/>
      <c r="AZ327" s="1796"/>
      <c r="BA327" s="1796"/>
      <c r="BB327" s="1796"/>
      <c r="BC327" s="1530"/>
      <c r="BF327" s="1181"/>
    </row>
    <row s="497" customFormat="1" customHeight="1" ht="14.625" hidden="1">
      <c r="A328" s="172"/>
      <c r="B328" s="785"/>
      <c r="C328" s="172"/>
      <c r="D328" s="172"/>
      <c r="E328" s="794">
        <v>15</v>
      </c>
      <c r="F328" s="172"/>
      <c r="G328" s="497"/>
      <c r="H328" s="497"/>
      <c r="I328" s="497"/>
      <c r="J328" s="497"/>
      <c r="K328" s="497"/>
      <c r="L328" s="497"/>
      <c r="M328" s="497"/>
      <c r="N328" s="497"/>
      <c r="O328" s="497"/>
      <c r="P328" s="497"/>
      <c r="Q328" s="736"/>
      <c r="R328" s="736"/>
      <c r="S328" s="497"/>
      <c r="T328" s="805">
        <f>ROW(W328)&gt;ROW(W$328)</f>
        <v>0</v>
      </c>
      <c r="U328" s="172"/>
      <c r="V328" s="176"/>
      <c r="W328" s="172" t="s">
        <v>233</v>
      </c>
      <c r="X328" s="172"/>
      <c r="Y328" s="172"/>
      <c r="Z328" s="172"/>
      <c r="AA328" s="914" t="s">
        <v>217</v>
      </c>
      <c r="AB328" s="1797"/>
      <c r="AC328" s="1797"/>
      <c r="AD328" s="1797"/>
      <c r="AE328" s="1797"/>
      <c r="AF328" s="1797"/>
      <c r="AG328" s="1797"/>
      <c r="AH328" s="1797"/>
      <c r="AI328" s="1530"/>
      <c r="AJ328" s="1530"/>
      <c r="AK328" s="1530"/>
      <c r="AL328" s="1530"/>
      <c r="AM328" s="1530"/>
      <c r="AN328" s="1796"/>
      <c r="AO328" s="1796"/>
      <c r="AP328" s="1796"/>
      <c r="AQ328" s="1796"/>
      <c r="AR328" s="1796"/>
      <c r="AS328" s="1530"/>
      <c r="AT328" s="1530"/>
      <c r="AU328" s="1530"/>
      <c r="AV328" s="1530"/>
      <c r="AW328" s="1530"/>
      <c r="AX328" s="1796"/>
      <c r="AY328" s="1796"/>
      <c r="AZ328" s="1796"/>
      <c r="BA328" s="1796"/>
      <c r="BB328" s="1796"/>
      <c r="BC328" s="1796"/>
      <c r="BD328" s="497"/>
      <c r="BE328" s="497"/>
      <c r="BF328" s="1181"/>
    </row>
    <row s="497" customFormat="1" customHeight="1" ht="14.625">
      <c r="A329" s="172"/>
      <c r="B329" s="785"/>
      <c r="C329" s="172"/>
      <c r="D329" s="172"/>
      <c r="E329" s="794">
        <v>15</v>
      </c>
      <c r="F329" s="172"/>
      <c r="Q329" s="736"/>
      <c r="R329" s="736"/>
      <c r="T329" s="172"/>
      <c r="U329" s="172"/>
      <c r="V329" s="172"/>
      <c r="W329" s="168" t="s">
        <v>234</v>
      </c>
      <c r="X329" s="172"/>
      <c r="Y329" s="172"/>
      <c r="Z329" s="172"/>
      <c r="AB329" s="1475" t="s">
        <v>701</v>
      </c>
      <c r="AC329" s="1476"/>
      <c r="AD329" s="380"/>
      <c r="AE329" s="380"/>
      <c r="AF329" s="381"/>
      <c r="AG329" s="381"/>
      <c r="AH329" s="381"/>
      <c r="AI329" s="381"/>
      <c r="AJ329" s="381"/>
      <c r="AK329" s="381"/>
      <c r="AL329" s="381"/>
      <c r="AM329" s="381"/>
      <c r="AN329" s="381"/>
      <c r="AO329" s="381"/>
      <c r="AP329" s="381"/>
      <c r="AQ329" s="381"/>
      <c r="AR329" s="381"/>
      <c r="AS329" s="381"/>
      <c r="AT329" s="381"/>
      <c r="AU329" s="381"/>
      <c r="AV329" s="381"/>
      <c r="AW329" s="381"/>
      <c r="AX329" s="381"/>
      <c r="AY329" s="381"/>
      <c r="AZ329" s="381"/>
      <c r="BA329" s="381"/>
      <c r="BB329" s="381"/>
      <c r="BC329" s="382"/>
      <c r="BF329" s="1181"/>
    </row>
    <row customHeight="1" ht="11.25">
      <c r="AI330" s="199"/>
      <c r="AJ330" s="199"/>
      <c r="AK330" s="199"/>
      <c r="AL330" s="199"/>
      <c r="AM330" s="199"/>
      <c r="AN330" s="199"/>
      <c r="AO330" s="199"/>
      <c r="AP330" s="199"/>
      <c r="AQ330" s="199"/>
      <c r="AR330" s="199"/>
      <c r="AS330" s="199"/>
      <c r="AT330" s="199"/>
      <c r="AU330" s="199"/>
      <c r="AV330" s="199"/>
      <c r="AW330" s="199"/>
      <c r="AX330" s="199"/>
      <c r="AY330" s="199"/>
      <c r="AZ330" s="199"/>
      <c r="BA330" s="199"/>
      <c r="BB330" s="199"/>
      <c r="BD330" s="184"/>
    </row>
  </sheetData>
  <sheetProtection formatColumns="0" formatRows="0" insertRows="0" deleteColumns="0" deleteRows="0" sort="0" autoFilter="0" insertColumns="1"/>
  <mergeCells count="15">
    <mergeCell ref="Z27:Z125"/>
    <mergeCell ref="X27:X125"/>
    <mergeCell ref="AB328:BC328"/>
    <mergeCell ref="AB329:AC329"/>
    <mergeCell ref="AB327:BC327"/>
    <mergeCell ref="AB326:BC326"/>
    <mergeCell ref="AB23:BB23"/>
    <mergeCell ref="AB24:AB25"/>
    <mergeCell ref="AC24:AC25"/>
    <mergeCell ref="AD24:AD25"/>
    <mergeCell ref="BC24:BC25"/>
    <mergeCell ref="Z126:Z224"/>
    <mergeCell ref="X126:X224"/>
    <mergeCell ref="Z225:Z323"/>
    <mergeCell ref="X225:X323"/>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B227:BB229 BB231:BB239 BB241:BB243 BB245:BB253 BB255:BB257 BB259:BB267 BB269:BB271 BB273:BB281 BB297:BB309 BB311:BB313 BB315:BB323 BA117:BA125 BA128:BA130 BA132:BA140 BA142:BA144 BA146:BA154 BA156:BA158 BA160:BA168 BA170:BA172 BA174:BA182 BA198:BA210 BA212:BA214 BA216:BA224 BA227:BA229 BA231:BA239 BA241:BA243 BA245:BA253 BA255:BA257 BA259:BA267 BA269:BA271 BA273:BA281 BA297:BA309 BA311:BA313 BA315:BA323 AZ117:AZ125 AZ128:AZ130 AZ132:AZ140 AZ142:AZ144 AZ146:AZ154 AZ156:AZ158 AZ160:AZ168 AZ170:AZ172 AZ174:AZ182 AZ198:AZ210 AZ212:AZ214 AZ216:AZ224 AZ227:AZ229 AZ231:AZ239 AZ241:AZ243 AZ245:AZ253 AZ255:AZ257 AZ259:AZ267 AZ269:AZ271 AZ273:AZ281 AZ297:AZ309 AZ311:AZ313 AZ315:AZ323 AY117:AY125 AY128:AY130 AY132:AY140 AY142:AY144 AY146:AY154 AY156:AY158 AY160:AY168 AY170:AY172 AY174:AY182 AY198:AY210 AY212:AY214 AY216:AY224 AY227:AY229 AY231:AY239 AY241:AY243 AY245:AY253 AY255:AY257 AY259:AY267 AY269:AY271 AY273:AY281 AY297:AY309 AY311:AY313 AY315:AY323 AX117:AX125 AX128:AX130 AX132:AX140 AX142:AX144 AX146:AX154 AX156:AX158 AX160:AX168 AX170:AX172 AX174:AX182 AX198:AX210 AX212:AX214 AX216:AX224 AX227:AX229 AX231:AX239 AX241:AX243 AX245:AX253 AX255:AX257 AX259:AX267 AX269:AX271 AX273:AX281 AX297:AX309 AX311:AX313 AX315:AX323 AW117:AW125 AW128:AW130 AW132:AW140 AW142:AW144 AW146:AW154 AW156:AW158 AW160:AW168 AW170:AW172 AW174:AW182 AW198:AW210 AW212:AW214 AW216:AW224 AW227:AW229 AW231:AW239 AW241:AW243 AW245:AW253 AW255:AW257 AW259:AW267 AW269:AW271 AW273:AW281 AW297:AW309 AW311:AW313 AW315:AW323 AV117:AV125 AV128:AV130 AV132:AV140 AV142:AV144 AV146:AV154 AV156:AV158 AV160:AV168 AV170:AV172 AV174:AV182 AV198:AV210 AV212:AV214 AV216:AV224 AV227:AV229 AV231:AV239 AV241:AV243 AV245:AV253 AV255:AV257 AV259:AV267 AV269:AV271 AV273:AV281 AV297:AV309 AV311:AV313 AV315:AV323 AU117:AU125 AU128:AU130 AU132:AU140 AU142:AU144 AU146:AU154 AU156:AU158 AU160:AU168 AU170:AU172 AU174:AU182 AU198:AU210 AU212:AU214 AU216:AU224 AU227:AU229 AU231:AU239 AU241:AU243 AU245:AU253 AU255:AU257 AU259:AU267 AU269:AU271 AU273:AU281 AU297:AU309 AU311:AU313 AU315:AU323 AT117:AT125 AT128:AT130 AT132:AT140 AT142:AT144 AT146:AT154 AT156:AT158 AT160:AT168 AT170:AT172 AT174:AT182 AT198:AT210 AT212:AT214 AT216:AT224 AT227:AT229 AT231:AT239 AT241:AT243 AT245:AT253 AT255:AT257 AT259:AT267 AT269:AT271 AT273:AT281 AT297:AT309 AT311:AT313 AT315:AT323 AS117:AS125 AS128:AS130 AS132:AS140 AS142:AS144 AS146:AS154 AS156:AS158 AS160:AS168 AS170:AS172 AS174:AS182 AS198:AS210 AS212:AS214 AS216:AS224 AS227:AS229 AS231:AS239 AS241:AS243 AS245:AS253 AS255:AS257 AS259:AS267 AS269:AS271 AS273:AS281 AS297:AS309 AS311:AS313 AS315:AS323 AR117:AR125 AR128:AR130 AR132:AR140 AR142:AR144 AR146:AR154 AR156:AR158 AR160:AR168 AR170:AR172 AR174:AR182 AR198:AR210 AR212:AR214 AR216:AR224 AR227:AR229 AR231:AR239 AR241:AR243 AR245:AR253 AR255:AR257 AR259:AR267 AR269:AR271 AR273:AR281 AR297:AR309 AR311:AR313 AR315:AR323 AQ117:AQ125 AQ128:AQ130 AQ132:AQ140 AQ142:AQ144 AQ146:AQ154 AQ156:AQ158 AQ160:AQ168 AQ170:AQ172 AQ174:AQ182 AQ198:AQ210 AQ212:AQ214 AQ216:AQ224 AQ227:AQ229 AQ231:AQ239 AQ241:AQ243 AQ245:AQ253 AQ255:AQ257 AQ259:AQ267 AQ269:AQ271 AQ273:AQ281 AQ297:AQ309 AQ311:AQ313 AQ315:AQ323 AP117:AP125 AP128:AP130 AP132:AP140 AP142:AP144 AP146:AP154 AP156:AP158 AP160:AP168 AP170:AP172 AP174:AP182 AP198:AP210 AP212:AP214 AP216:AP224 AP227:AP229 AP231:AP239 AP241:AP243 AP245:AP253 AP255:AP257 AP259:AP267 AP269:AP271 AP273:AP281 AP297:AP309 AP311:AP313 AP315:AP323 AO117:AO125 AO128:AO130 AO132:AO140 AO142:AO144 AO146:AO154 AO156:AO158 AO160:AO168 AO170:AO172 AO174:AO182 AO198:AO210 AO212:AO214 AO216:AO224 AO227:AO229 AO231:AO239 AO241:AO243 AO245:AO253 AO255:AO257 AO259:AO267 AO269:AO271 AO273:AO281 AO297:AO309 AO311:AO313 AO315:AO323 AN117:AN125 AN128:AN130 AN132:AN140 AN142:AN144 AN146:AN154 AN156:AN158 AN160:AN168 AN170:AN172 AN174:AN182 AN198:AN210 AN212:AN214 AN216:AN224 AN227:AN229 AN231:AN239 AN241:AN243 AN245:AN253 AN255:AN257 AN259:AN267 AN269:AN271 AN273:AN281 AN297:AN309 AN311:AN313 AN315:AN323 AM117:AM125 AM128:AM130 AM132:AM140 AM142:AM144 AM146:AM154 AM156:AM158 AM160:AM168 AM170:AM172 AM174:AM182 AM198:AM210 AM212:AM214 AM216:AM224 AM227:AM229 AM231:AM239 AM241:AM243 AM245:AM253 AM255:AM257 AM259:AM267 AM269:AM271 AM273:AM281 AM297:AM309 AM311:AM313 AM315:AM323 AL117:AL125 AL128:AL130 AL132:AL140 AL142:AL144 AL146:AL154 AL156:AL158 AL160:AL168 AL170:AL172 AL174:AL182 AL198:AL210 AL212:AL214 AL216:AL224 AL227:AL229 AL231:AL239 AL241:AL243 AL245:AL253 AL255:AL257 AL259:AL267 AL269:AL271 AL273:AL281 AL297:AL309 AL311:AL313 AL315:AL323 AK117:AK125 AK128:AK130 AK132:AK140 AK142:AK144 AK146:AK154 AK156:AK158 AK160:AK168 AK170:AK172 AK174:AK182 AK198:AK210 AK212:AK214 AK216:AK224 AK227:AK229 AK231:AK239 AK241:AK243 AK245:AK253 AK255:AK257 AK259:AK267 AK269:AK271 AK273:AK281 AK297:AK309 AK311:AK313 AK315:AK323 AJ117:AJ125 AJ128:AJ130 AJ132:AJ140 AJ142:AJ144 AJ146:AJ154 AJ156:AJ158 AJ160:AJ168 AJ170:AJ172 AJ174:AJ182 AJ198:AJ210 AJ212:AJ214 AJ216:AJ224 AJ227:AJ229 AJ231:AJ239 AJ241:AJ243 AJ245:AJ253 AJ255:AJ257 AJ259:AJ267 AJ269:AJ271 AJ273:AJ281 AJ297:AJ309 AJ311:AJ313 AJ315:AJ323 AI117:AI125 AI128:AI130 AI132:AI140 AI142:AI144 AI146:AI154 AI156:AI158 AI160:AI168 AI170:AI172 AI174:AI182 AI198:AI210 AI212:AI214 AI216:AI224 AI227:AI229 AI231:AI239 AI241:AI243 AI245:AI253 AI255:AI257 AI259:AI267 AI269:AI271 AI273:AI281 AI297:AI309 AI311:AI313 AI315:AI323 AH117:AH125 AH128:AH130 AH132:AH140 AH142:AH144 AH146:AH154 AH156:AH158 AH160:AH168 AH170:AH172 AH174:AH182 AH198:AH210 AH212:AH214 AH216:AH224 AH227:AH229 AH231:AH239 AH241:AH243 AH245:AH253 AH255:AH257 AH259:AH267 AH269:AH271 AH273:AH281 AH297:AH309 AH311:AH313 AH315:AH323 AG117:AG125 AG128:AG130 AG132:AG140 AG142:AG144 AG146:AG154 AG156:AG158 AG160:AG168 AG170:AG172 AG174:AG182 AG198:AG210 AG212:AG214 AG216:AG224 AG227:AG229 AG231:AG239 AG241:AG243 AG245:AG253 AG255:AG257 AG259:AG267 AG269:AG271 AG273:AG281 AG297:AG309 AG311:AG313 AG315:AG323 AF117:AF125 AF128:AF130 AF132:AF140 AF142:AF144 AF146:AF154 AF156:AF158 AF160:AF168 AF170:AF172 AF174:AF182 AF198:AF210 AF212:AF214 AF216:AF224 AF227:AF229 AF231:AF239 AF241:AF243 AF245:AF253 AF255:AF257 AF259:AF267 AF269:AF271 AF273:AF281 AF297:AF309 AF311:AF313 AF315:AF323 AE117:AE125 AE128:AE130 AE132:AE140 AE142:AE144 AE146:AE154 AE156:AE158 AE160:AE168 AE170:AE172 AE174:AE182 AE198:AE210 AE212:AE214 AE216:AE224 AE227:AE229 AE231:AE239 AE241:AE243 AE245:AE253 AE255:AE257 AE259:AE267 AE269:AE271 AE273:AE281 AE297:AE309 AE311:AE313 AE315:AE323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41443-0DE7-C64A-30B1-5FEDC1DBE799}" mc:Ignorable="x14ac xr xr2 xr3">
  <sheetPr>
    <tabColor rgb="FF002060"/>
    <outlinePr summaryRight="0" summaryBelow="0"/>
    <pageSetUpPr fitToPage="1"/>
  </sheetPr>
  <dimension ref="A1:BF69"/>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9" style="217" width="13.1328125" customWidth="1"/>
    <col min="40" max="44" style="217" width="13.1328125" hidden="1" customWidth="1"/>
    <col min="45" max="49" style="217" width="13.1328125" customWidth="1"/>
    <col min="50"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376</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377</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430</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431</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432</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390</v>
      </c>
      <c r="AC24" s="1527" t="s">
        <v>433</v>
      </c>
      <c r="AD24" s="1527" t="s">
        <v>1146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587</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407</v>
      </c>
      <c r="AF25" s="1353" t="s">
        <v>588</v>
      </c>
      <c r="AG25" s="167" t="s">
        <v>589</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309</v>
      </c>
      <c r="X27" s="172">
        <v>0</v>
      </c>
      <c r="AB27" s="287" cm="1" t="str">
        <f t="array" ref="AB27:AB27">INDEX('Общие сведения'!$AG$169:$AG$218,MATCH($F27,'Общие сведения'!$Z$169:$Z$218,0))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1147</v>
      </c>
      <c r="T28" s="816" cm="1" t="str">
        <f t="array" ref="T28:T28">T27</f>
        <v>false</v>
      </c>
      <c r="AB28" s="659" t="s">
        <v>335</v>
      </c>
      <c r="AC28" s="1051" t="s">
        <v>45</v>
      </c>
      <c r="AD28" s="1052" t="s">
        <v>805</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5"/>
      <c r="BF28" s="1170" t="s">
        <v>1148</v>
      </c>
    </row>
    <row s="934" customFormat="1" customHeight="1" ht="22.7175" hidden="1">
      <c r="E29" s="794">
        <v>23.3</v>
      </c>
      <c r="F29" s="919" cm="1" t="str">
        <f t="array" ref="F29:F29">F28</f>
        <v>0</v>
      </c>
      <c r="T29" s="816" cm="1" t="str">
        <f t="array" ref="T29:T29">T28</f>
        <v>false</v>
      </c>
      <c r="AB29" s="283" t="s">
        <v>442</v>
      </c>
      <c r="AC29" s="284" t="s">
        <v>1149</v>
      </c>
      <c r="AD29" s="1053" t="s">
        <v>805</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5"/>
      <c r="BF29" s="1170" t="s">
        <v>1150</v>
      </c>
    </row>
    <row s="934" customFormat="1" customHeight="1" ht="22.7175" hidden="1">
      <c r="E30" s="794">
        <v>23.3</v>
      </c>
      <c r="F30" s="919" cm="1" t="str">
        <f t="array" ref="F30:F30">F29</f>
        <v>0</v>
      </c>
      <c r="G30" s="736" t="s">
        <v>1151</v>
      </c>
      <c r="T30" s="816" cm="1" t="str">
        <f t="array" ref="T30:T30">T29</f>
        <v>false</v>
      </c>
      <c r="AB30" s="285" t="s">
        <v>1152</v>
      </c>
      <c r="AC30" s="286" t="s">
        <v>1153</v>
      </c>
      <c r="AD30" s="1042" t="s">
        <v>805</v>
      </c>
      <c r="AE30" s="64"/>
      <c r="AF30" s="61"/>
      <c r="AG30" s="61"/>
      <c r="AH30" s="61"/>
      <c r="AI30" s="280"/>
      <c r="AJ30" s="280"/>
      <c r="AK30" s="280"/>
      <c r="AL30" s="280"/>
      <c r="AM30" s="280"/>
      <c r="AN30" s="61"/>
      <c r="AO30" s="61"/>
      <c r="AP30" s="61"/>
      <c r="AQ30" s="61"/>
      <c r="AR30" s="61"/>
      <c r="AS30" s="280"/>
      <c r="AT30" s="280"/>
      <c r="AU30" s="280"/>
      <c r="AV30" s="280"/>
      <c r="AW30" s="280"/>
      <c r="AX30" s="61"/>
      <c r="AY30" s="61"/>
      <c r="AZ30" s="61"/>
      <c r="BA30" s="61"/>
      <c r="BB30" s="61"/>
      <c r="BC30" s="105"/>
      <c r="BF30" s="1170" t="s">
        <v>1154</v>
      </c>
    </row>
    <row s="934" customFormat="1" customHeight="1" ht="22.7175" hidden="1">
      <c r="E31" s="794">
        <v>23.3</v>
      </c>
      <c r="F31" s="919" cm="1" t="str">
        <f t="array" ref="F31:F31">F30</f>
        <v>0</v>
      </c>
      <c r="G31" s="736" t="s">
        <v>1155</v>
      </c>
      <c r="T31" s="816" cm="1" t="str">
        <f t="array" ref="T31:T31">T30</f>
        <v>false</v>
      </c>
      <c r="AB31" s="285" t="s">
        <v>1156</v>
      </c>
      <c r="AC31" s="286" t="s">
        <v>1157</v>
      </c>
      <c r="AD31" s="1042" t="s">
        <v>805</v>
      </c>
      <c r="AE31" s="64"/>
      <c r="AF31" s="61"/>
      <c r="AG31" s="61"/>
      <c r="AH31" s="61"/>
      <c r="AI31" s="280"/>
      <c r="AJ31" s="280"/>
      <c r="AK31" s="280"/>
      <c r="AL31" s="280"/>
      <c r="AM31" s="280"/>
      <c r="AN31" s="61"/>
      <c r="AO31" s="61"/>
      <c r="AP31" s="61"/>
      <c r="AQ31" s="61"/>
      <c r="AR31" s="61"/>
      <c r="AS31" s="280"/>
      <c r="AT31" s="280"/>
      <c r="AU31" s="280"/>
      <c r="AV31" s="280"/>
      <c r="AW31" s="280"/>
      <c r="AX31" s="61"/>
      <c r="AY31" s="61"/>
      <c r="AZ31" s="61"/>
      <c r="BA31" s="61"/>
      <c r="BB31" s="61"/>
      <c r="BC31" s="105"/>
      <c r="BF31" s="1170" t="s">
        <v>1158</v>
      </c>
    </row>
    <row s="934" customFormat="1" customHeight="1" ht="22.7175" hidden="1">
      <c r="E32" s="794">
        <v>23.3</v>
      </c>
      <c r="F32" s="919" cm="1" t="str">
        <f t="array" ref="F32:F32">F31</f>
        <v>0</v>
      </c>
      <c r="G32" s="736" t="s">
        <v>1159</v>
      </c>
      <c r="T32" s="816" cm="1" t="str">
        <f t="array" ref="T32:T32">T31</f>
        <v>false</v>
      </c>
      <c r="AB32" s="283" t="s">
        <v>931</v>
      </c>
      <c r="AC32" s="284" t="s">
        <v>1160</v>
      </c>
      <c r="AD32" s="1053" t="s">
        <v>805</v>
      </c>
      <c r="AE32" s="64"/>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105"/>
      <c r="BF32" s="1170" t="s">
        <v>1161</v>
      </c>
    </row>
    <row s="934" customFormat="1" customHeight="1" ht="22.7175" hidden="1">
      <c r="E33" s="794">
        <v>23.3</v>
      </c>
      <c r="F33" s="919" cm="1" t="str">
        <f t="array" ref="F33:F33">F32</f>
        <v>0</v>
      </c>
      <c r="T33" s="816" cm="1" t="str">
        <f t="array" ref="T33:T33">T32</f>
        <v>false</v>
      </c>
      <c r="AB33" s="283" t="s">
        <v>933</v>
      </c>
      <c r="AC33" s="284" t="s">
        <v>1162</v>
      </c>
      <c r="AD33" s="1053" t="s">
        <v>805</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5"/>
      <c r="BF33" s="1170" t="s">
        <v>1163</v>
      </c>
    </row>
    <row s="934" customFormat="1" customHeight="1" ht="68.05499999999999" hidden="1">
      <c r="E34" s="794">
        <v>69.8</v>
      </c>
      <c r="F34" s="919" cm="1" t="str">
        <f t="array" ref="F34:F34">F33</f>
        <v>0</v>
      </c>
      <c r="G34" s="736" t="s">
        <v>1164</v>
      </c>
      <c r="T34" s="816" cm="1" t="str">
        <f t="array" ref="T34:T34">T33</f>
        <v>false</v>
      </c>
      <c r="AB34" s="285" t="s">
        <v>1165</v>
      </c>
      <c r="AC34" s="286" t="s">
        <v>1166</v>
      </c>
      <c r="AD34" s="1042" t="s">
        <v>805</v>
      </c>
      <c r="AE34" s="64"/>
      <c r="AF34" s="61"/>
      <c r="AG34" s="61"/>
      <c r="AH34" s="61"/>
      <c r="AI34" s="280"/>
      <c r="AJ34" s="280"/>
      <c r="AK34" s="280"/>
      <c r="AL34" s="280"/>
      <c r="AM34" s="280"/>
      <c r="AN34" s="61"/>
      <c r="AO34" s="61"/>
      <c r="AP34" s="61"/>
      <c r="AQ34" s="61"/>
      <c r="AR34" s="61"/>
      <c r="AS34" s="280"/>
      <c r="AT34" s="280"/>
      <c r="AU34" s="280"/>
      <c r="AV34" s="280"/>
      <c r="AW34" s="280"/>
      <c r="AX34" s="61"/>
      <c r="AY34" s="61"/>
      <c r="AZ34" s="61"/>
      <c r="BA34" s="61"/>
      <c r="BB34" s="61"/>
      <c r="BC34" s="105"/>
      <c r="BF34" s="1170" t="s">
        <v>1167</v>
      </c>
    </row>
    <row s="934" customFormat="1" customHeight="1" ht="28.567500000000006" hidden="1">
      <c r="E35" s="794">
        <v>29.3</v>
      </c>
      <c r="F35" s="919" cm="1" t="str">
        <f t="array" ref="F35:F35">F34</f>
        <v>0</v>
      </c>
      <c r="G35" s="736" t="s">
        <v>1168</v>
      </c>
      <c r="T35" s="816" cm="1" t="str">
        <f t="array" ref="T35:T35">T34</f>
        <v>false</v>
      </c>
      <c r="AB35" s="285" t="s">
        <v>1169</v>
      </c>
      <c r="AC35" s="286" t="s">
        <v>1170</v>
      </c>
      <c r="AD35" s="1042" t="s">
        <v>805</v>
      </c>
      <c r="AE35" s="64"/>
      <c r="AF35" s="61"/>
      <c r="AG35" s="61"/>
      <c r="AH35" s="61"/>
      <c r="AI35" s="280"/>
      <c r="AJ35" s="280"/>
      <c r="AK35" s="280"/>
      <c r="AL35" s="280"/>
      <c r="AM35" s="280"/>
      <c r="AN35" s="61"/>
      <c r="AO35" s="61"/>
      <c r="AP35" s="61"/>
      <c r="AQ35" s="61"/>
      <c r="AR35" s="61"/>
      <c r="AS35" s="280"/>
      <c r="AT35" s="280"/>
      <c r="AU35" s="280"/>
      <c r="AV35" s="280"/>
      <c r="AW35" s="280"/>
      <c r="AX35" s="61"/>
      <c r="AY35" s="61"/>
      <c r="AZ35" s="61"/>
      <c r="BA35" s="61"/>
      <c r="BB35" s="61"/>
      <c r="BC35" s="105"/>
      <c r="BF35" s="1170" t="s">
        <v>1171</v>
      </c>
    </row>
    <row s="934" customFormat="1" customHeight="1" ht="21.255000000000003" hidden="1">
      <c r="E36" s="794">
        <v>21.8</v>
      </c>
      <c r="F36" s="919" cm="1" t="str">
        <f t="array" ref="F36:F36">F35</f>
        <v>0</v>
      </c>
      <c r="T36" s="816" cm="1" t="str">
        <f t="array" ref="T36:T36">T35</f>
        <v>false</v>
      </c>
      <c r="AB36" s="283" t="s">
        <v>937</v>
      </c>
      <c r="AC36" s="284" t="s">
        <v>1172</v>
      </c>
      <c r="AD36" s="1053" t="s">
        <v>805</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5"/>
      <c r="BF36" s="1170" t="s">
        <v>1173</v>
      </c>
    </row>
    <row s="934" customFormat="1" customHeight="1" ht="22.7175" hidden="1">
      <c r="E37" s="794">
        <v>23.3</v>
      </c>
      <c r="F37" s="919" cm="1" t="str">
        <f t="array" ref="F37:F37">F36</f>
        <v>0</v>
      </c>
      <c r="G37" s="736" t="s">
        <v>1151</v>
      </c>
      <c r="T37" s="816" cm="1" t="str">
        <f t="array" ref="T37:T37">T36</f>
        <v>false</v>
      </c>
      <c r="AB37" s="285" t="s">
        <v>1027</v>
      </c>
      <c r="AC37" s="286" t="s">
        <v>1153</v>
      </c>
      <c r="AD37" s="1042" t="s">
        <v>805</v>
      </c>
      <c r="AE37" s="64"/>
      <c r="AF37" s="61"/>
      <c r="AG37" s="61"/>
      <c r="AH37" s="61"/>
      <c r="AI37" s="280"/>
      <c r="AJ37" s="280"/>
      <c r="AK37" s="280"/>
      <c r="AL37" s="280"/>
      <c r="AM37" s="280"/>
      <c r="AN37" s="61"/>
      <c r="AO37" s="61"/>
      <c r="AP37" s="61"/>
      <c r="AQ37" s="61"/>
      <c r="AR37" s="61"/>
      <c r="AS37" s="280"/>
      <c r="AT37" s="280"/>
      <c r="AU37" s="280"/>
      <c r="AV37" s="280"/>
      <c r="AW37" s="280"/>
      <c r="AX37" s="61"/>
      <c r="AY37" s="61"/>
      <c r="AZ37" s="61"/>
      <c r="BA37" s="61"/>
      <c r="BB37" s="61"/>
      <c r="BC37" s="105"/>
      <c r="BF37" s="1170" t="s">
        <v>1174</v>
      </c>
    </row>
    <row s="934" customFormat="1" customHeight="1" ht="22.7175" hidden="1">
      <c r="E38" s="794">
        <v>23.3</v>
      </c>
      <c r="F38" s="919" cm="1" t="str">
        <f t="array" ref="F38:F38">F37</f>
        <v>0</v>
      </c>
      <c r="G38" s="736" t="s">
        <v>1155</v>
      </c>
      <c r="T38" s="816" cm="1" t="str">
        <f t="array" ref="T38:T38">T37</f>
        <v>false</v>
      </c>
      <c r="AB38" s="285" t="s">
        <v>1030</v>
      </c>
      <c r="AC38" s="286" t="s">
        <v>1157</v>
      </c>
      <c r="AD38" s="1042" t="s">
        <v>805</v>
      </c>
      <c r="AE38" s="64"/>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105"/>
      <c r="BF38" s="1170" t="s">
        <v>1175</v>
      </c>
    </row>
    <row s="1816"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W39" s="217"/>
      <c r="X39" s="172" t="s">
        <v>335</v>
      </c>
      <c r="Y39" s="217"/>
      <c r="Z39" s="217"/>
      <c r="AA39" s="217"/>
      <c r="AB39" s="287" cm="1" t="str">
        <f t="array" ref="AB39:AB39">IF(ISBLANK(Амортизация!$AB$126),"",Амортизация!$AB$126)</f>
        <v>Тариф 1 (Теплоснабжение) - Тариф на тепловую энергию (мощность), поставляемую потребителям (Тариф: Носитель - горячая вода (Т); Носитель - горячая вода (Т))</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1147</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335</v>
      </c>
      <c r="AC40" s="1051" t="s">
        <v>45</v>
      </c>
      <c r="AD40" s="1052" t="s">
        <v>805</v>
      </c>
      <c r="AE40" s="332">
        <f>AE41+AE44+AE45+AE48</f>
        <v>0</v>
      </c>
      <c r="AF40" s="332">
        <f>AF41+AF44+AF45+AF48</f>
        <v>0</v>
      </c>
      <c r="AG40" s="332">
        <f>AG41+AG44+AG45+AG48</f>
        <v>0</v>
      </c>
      <c r="AH40" s="332">
        <f>AH41+AH44+AH45+AH48</f>
        <v>0</v>
      </c>
      <c r="AI40" s="332">
        <f>AI41+AI44+AI45+AI48</f>
        <v>0</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0</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09"/>
      <c r="BD40" s="934"/>
      <c r="BE40" s="934"/>
      <c r="BF40" s="1170" t="s">
        <v>1148</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442</v>
      </c>
      <c r="AC41" s="284" t="s">
        <v>1149</v>
      </c>
      <c r="AD41" s="1053" t="s">
        <v>805</v>
      </c>
      <c r="AE41" s="588">
        <f>AE42+AE43</f>
        <v>0</v>
      </c>
      <c r="AF41" s="332">
        <f>AF42+AF43</f>
        <v>0</v>
      </c>
      <c r="AG41" s="332">
        <f>AG42+AG43</f>
        <v>0</v>
      </c>
      <c r="AH41" s="332">
        <f>AH42+AH43</f>
        <v>0</v>
      </c>
      <c r="AI41" s="332">
        <f>AI42+AI43</f>
        <v>0</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0</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09"/>
      <c r="BD41" s="934"/>
      <c r="BE41" s="934"/>
      <c r="BF41" s="1170" t="s">
        <v>1150</v>
      </c>
    </row>
    <row s="934" customFormat="1" customHeight="1" ht="22.5">
      <c r="A42" s="934"/>
      <c r="B42" s="934"/>
      <c r="C42" s="934"/>
      <c r="D42" s="934"/>
      <c r="E42" s="794">
        <v>23.3</v>
      </c>
      <c r="F42" s="919" cm="1" t="str">
        <f t="array" ref="F42:F42">F41</f>
        <v>1</v>
      </c>
      <c r="G42" s="736" t="s">
        <v>1151</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1152</v>
      </c>
      <c r="AC42" s="286" t="s">
        <v>1153</v>
      </c>
      <c r="AD42" s="1042" t="s">
        <v>805</v>
      </c>
      <c r="AE42" s="1679"/>
      <c r="AF42" s="1666"/>
      <c r="AG42" s="1666"/>
      <c r="AH42" s="1666"/>
      <c r="AI42" s="280"/>
      <c r="AJ42" s="280"/>
      <c r="AK42" s="280"/>
      <c r="AL42" s="280"/>
      <c r="AM42" s="280"/>
      <c r="AN42" s="1666"/>
      <c r="AO42" s="1666"/>
      <c r="AP42" s="1666"/>
      <c r="AQ42" s="1666"/>
      <c r="AR42" s="1666"/>
      <c r="AS42" s="280"/>
      <c r="AT42" s="280"/>
      <c r="AU42" s="280"/>
      <c r="AV42" s="280"/>
      <c r="AW42" s="280"/>
      <c r="AX42" s="1666"/>
      <c r="AY42" s="1666"/>
      <c r="AZ42" s="1666"/>
      <c r="BA42" s="1666"/>
      <c r="BB42" s="1666"/>
      <c r="BC42" s="1809"/>
      <c r="BD42" s="934"/>
      <c r="BE42" s="934"/>
      <c r="BF42" s="1170" t="s">
        <v>1154</v>
      </c>
    </row>
    <row s="934" customFormat="1" customHeight="1" ht="22.5">
      <c r="A43" s="934"/>
      <c r="B43" s="934"/>
      <c r="C43" s="934"/>
      <c r="D43" s="934"/>
      <c r="E43" s="794">
        <v>23.3</v>
      </c>
      <c r="F43" s="919" cm="1" t="str">
        <f t="array" ref="F43:F43">F42</f>
        <v>1</v>
      </c>
      <c r="G43" s="736" t="s">
        <v>1155</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1156</v>
      </c>
      <c r="AC43" s="286" t="s">
        <v>1157</v>
      </c>
      <c r="AD43" s="1042" t="s">
        <v>805</v>
      </c>
      <c r="AE43" s="1679"/>
      <c r="AF43" s="1666"/>
      <c r="AG43" s="1666"/>
      <c r="AH43" s="1666"/>
      <c r="AI43" s="280"/>
      <c r="AJ43" s="280"/>
      <c r="AK43" s="280"/>
      <c r="AL43" s="280"/>
      <c r="AM43" s="280"/>
      <c r="AN43" s="1666"/>
      <c r="AO43" s="1666"/>
      <c r="AP43" s="1666"/>
      <c r="AQ43" s="1666"/>
      <c r="AR43" s="1666"/>
      <c r="AS43" s="280"/>
      <c r="AT43" s="280"/>
      <c r="AU43" s="280"/>
      <c r="AV43" s="280"/>
      <c r="AW43" s="280"/>
      <c r="AX43" s="1666"/>
      <c r="AY43" s="1666"/>
      <c r="AZ43" s="1666"/>
      <c r="BA43" s="1666"/>
      <c r="BB43" s="1666"/>
      <c r="BC43" s="1809"/>
      <c r="BD43" s="934"/>
      <c r="BE43" s="934"/>
      <c r="BF43" s="1170" t="s">
        <v>1158</v>
      </c>
    </row>
    <row s="934" customFormat="1" customHeight="1" ht="22.5">
      <c r="A44" s="934"/>
      <c r="B44" s="934"/>
      <c r="C44" s="934"/>
      <c r="D44" s="934"/>
      <c r="E44" s="794">
        <v>23.3</v>
      </c>
      <c r="F44" s="919" cm="1" t="str">
        <f t="array" ref="F44:F44">F43</f>
        <v>1</v>
      </c>
      <c r="G44" s="736" t="s">
        <v>1159</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931</v>
      </c>
      <c r="AC44" s="284" t="s">
        <v>1160</v>
      </c>
      <c r="AD44" s="1053" t="s">
        <v>805</v>
      </c>
      <c r="AE44" s="1679"/>
      <c r="AF44" s="1666"/>
      <c r="AG44" s="1666"/>
      <c r="AH44" s="1666"/>
      <c r="AI44" s="280"/>
      <c r="AJ44" s="280"/>
      <c r="AK44" s="280"/>
      <c r="AL44" s="280"/>
      <c r="AM44" s="280"/>
      <c r="AN44" s="1666"/>
      <c r="AO44" s="1666"/>
      <c r="AP44" s="1666"/>
      <c r="AQ44" s="1666"/>
      <c r="AR44" s="1666"/>
      <c r="AS44" s="280"/>
      <c r="AT44" s="280"/>
      <c r="AU44" s="280"/>
      <c r="AV44" s="280"/>
      <c r="AW44" s="280"/>
      <c r="AX44" s="1666"/>
      <c r="AY44" s="1666"/>
      <c r="AZ44" s="1666"/>
      <c r="BA44" s="1666"/>
      <c r="BB44" s="1666"/>
      <c r="BC44" s="1809"/>
      <c r="BD44" s="934"/>
      <c r="BE44" s="934"/>
      <c r="BF44" s="1170" t="s">
        <v>1161</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933</v>
      </c>
      <c r="AC45" s="284" t="s">
        <v>1162</v>
      </c>
      <c r="AD45" s="1053" t="s">
        <v>805</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09"/>
      <c r="BD45" s="934"/>
      <c r="BE45" s="934"/>
      <c r="BF45" s="1170" t="s">
        <v>1163</v>
      </c>
    </row>
    <row s="934" customFormat="1" customHeight="1" ht="67.5">
      <c r="A46" s="934"/>
      <c r="B46" s="934"/>
      <c r="C46" s="934"/>
      <c r="D46" s="934"/>
      <c r="E46" s="794">
        <v>69.8</v>
      </c>
      <c r="F46" s="919" cm="1" t="str">
        <f t="array" ref="F46:F46">F45</f>
        <v>1</v>
      </c>
      <c r="G46" s="736" t="s">
        <v>1164</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1165</v>
      </c>
      <c r="AC46" s="286" t="s">
        <v>1166</v>
      </c>
      <c r="AD46" s="1042" t="s">
        <v>805</v>
      </c>
      <c r="AE46" s="1679"/>
      <c r="AF46" s="1666"/>
      <c r="AG46" s="1666"/>
      <c r="AH46" s="1666"/>
      <c r="AI46" s="280"/>
      <c r="AJ46" s="280"/>
      <c r="AK46" s="280"/>
      <c r="AL46" s="280"/>
      <c r="AM46" s="280"/>
      <c r="AN46" s="1666"/>
      <c r="AO46" s="1666"/>
      <c r="AP46" s="1666"/>
      <c r="AQ46" s="1666"/>
      <c r="AR46" s="1666"/>
      <c r="AS46" s="280"/>
      <c r="AT46" s="280"/>
      <c r="AU46" s="280"/>
      <c r="AV46" s="280"/>
      <c r="AW46" s="280"/>
      <c r="AX46" s="1666"/>
      <c r="AY46" s="1666"/>
      <c r="AZ46" s="1666"/>
      <c r="BA46" s="1666"/>
      <c r="BB46" s="1666"/>
      <c r="BC46" s="1809"/>
      <c r="BD46" s="934"/>
      <c r="BE46" s="934"/>
      <c r="BF46" s="1170" t="s">
        <v>1167</v>
      </c>
    </row>
    <row s="934" customFormat="1" customHeight="1" ht="28.5">
      <c r="A47" s="934"/>
      <c r="B47" s="934"/>
      <c r="C47" s="934"/>
      <c r="D47" s="934"/>
      <c r="E47" s="794">
        <v>29.3</v>
      </c>
      <c r="F47" s="919" cm="1" t="str">
        <f t="array" ref="F47:F47">F46</f>
        <v>1</v>
      </c>
      <c r="G47" s="736" t="s">
        <v>1168</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1169</v>
      </c>
      <c r="AC47" s="286" t="s">
        <v>1170</v>
      </c>
      <c r="AD47" s="1042" t="s">
        <v>805</v>
      </c>
      <c r="AE47" s="1679"/>
      <c r="AF47" s="1666"/>
      <c r="AG47" s="1666"/>
      <c r="AH47" s="1666"/>
      <c r="AI47" s="280"/>
      <c r="AJ47" s="280"/>
      <c r="AK47" s="280"/>
      <c r="AL47" s="280"/>
      <c r="AM47" s="280"/>
      <c r="AN47" s="1666"/>
      <c r="AO47" s="1666"/>
      <c r="AP47" s="1666"/>
      <c r="AQ47" s="1666"/>
      <c r="AR47" s="1666"/>
      <c r="AS47" s="280"/>
      <c r="AT47" s="280"/>
      <c r="AU47" s="280"/>
      <c r="AV47" s="280"/>
      <c r="AW47" s="280"/>
      <c r="AX47" s="1666"/>
      <c r="AY47" s="1666"/>
      <c r="AZ47" s="1666"/>
      <c r="BA47" s="1666"/>
      <c r="BB47" s="1666"/>
      <c r="BC47" s="1809"/>
      <c r="BD47" s="934"/>
      <c r="BE47" s="934"/>
      <c r="BF47" s="1170" t="s">
        <v>1171</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937</v>
      </c>
      <c r="AC48" s="284" t="s">
        <v>1172</v>
      </c>
      <c r="AD48" s="1053" t="s">
        <v>805</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09"/>
      <c r="BD48" s="934"/>
      <c r="BE48" s="934"/>
      <c r="BF48" s="1170" t="s">
        <v>1173</v>
      </c>
    </row>
    <row s="934" customFormat="1" customHeight="1" ht="22.5">
      <c r="A49" s="934"/>
      <c r="B49" s="934"/>
      <c r="C49" s="934"/>
      <c r="D49" s="934"/>
      <c r="E49" s="794">
        <v>23.3</v>
      </c>
      <c r="F49" s="919" cm="1" t="str">
        <f t="array" ref="F49:F49">F48</f>
        <v>1</v>
      </c>
      <c r="G49" s="736" t="s">
        <v>1151</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1027</v>
      </c>
      <c r="AC49" s="286" t="s">
        <v>1153</v>
      </c>
      <c r="AD49" s="1042" t="s">
        <v>805</v>
      </c>
      <c r="AE49" s="1679"/>
      <c r="AF49" s="1666"/>
      <c r="AG49" s="1666"/>
      <c r="AH49" s="1666"/>
      <c r="AI49" s="280"/>
      <c r="AJ49" s="280"/>
      <c r="AK49" s="280"/>
      <c r="AL49" s="280"/>
      <c r="AM49" s="280"/>
      <c r="AN49" s="1666"/>
      <c r="AO49" s="1666"/>
      <c r="AP49" s="1666"/>
      <c r="AQ49" s="1666"/>
      <c r="AR49" s="1666"/>
      <c r="AS49" s="280"/>
      <c r="AT49" s="280"/>
      <c r="AU49" s="280"/>
      <c r="AV49" s="280"/>
      <c r="AW49" s="280"/>
      <c r="AX49" s="1666"/>
      <c r="AY49" s="1666"/>
      <c r="AZ49" s="1666"/>
      <c r="BA49" s="1666"/>
      <c r="BB49" s="1666"/>
      <c r="BC49" s="1809"/>
      <c r="BD49" s="934"/>
      <c r="BE49" s="934"/>
      <c r="BF49" s="1170" t="s">
        <v>1174</v>
      </c>
    </row>
    <row s="934" customFormat="1" customHeight="1" ht="22.5">
      <c r="A50" s="934"/>
      <c r="B50" s="934"/>
      <c r="C50" s="934"/>
      <c r="D50" s="934"/>
      <c r="E50" s="794">
        <v>23.3</v>
      </c>
      <c r="F50" s="919" cm="1" t="str">
        <f t="array" ref="F50:F50">F49</f>
        <v>1</v>
      </c>
      <c r="G50" s="736" t="s">
        <v>1155</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1030</v>
      </c>
      <c r="AC50" s="286" t="s">
        <v>1157</v>
      </c>
      <c r="AD50" s="1042" t="s">
        <v>805</v>
      </c>
      <c r="AE50" s="1679"/>
      <c r="AF50" s="1666"/>
      <c r="AG50" s="1666"/>
      <c r="AH50" s="1666"/>
      <c r="AI50" s="280"/>
      <c r="AJ50" s="280"/>
      <c r="AK50" s="280"/>
      <c r="AL50" s="280"/>
      <c r="AM50" s="280"/>
      <c r="AN50" s="1666"/>
      <c r="AO50" s="1666"/>
      <c r="AP50" s="1666"/>
      <c r="AQ50" s="1666"/>
      <c r="AR50" s="1666"/>
      <c r="AS50" s="280"/>
      <c r="AT50" s="280"/>
      <c r="AU50" s="280"/>
      <c r="AV50" s="280"/>
      <c r="AW50" s="280"/>
      <c r="AX50" s="1666"/>
      <c r="AY50" s="1666"/>
      <c r="AZ50" s="1666"/>
      <c r="BA50" s="1666"/>
      <c r="BB50" s="1666"/>
      <c r="BC50" s="1809"/>
      <c r="BD50" s="934"/>
      <c r="BE50" s="934"/>
      <c r="BF50" s="1170" t="s">
        <v>1175</v>
      </c>
    </row>
    <row s="1817" customFormat="1" customHeight="1" ht="10.5">
      <c r="A51" s="217"/>
      <c r="B51" s="217"/>
      <c r="C51" s="217"/>
      <c r="D51" s="217"/>
      <c r="E51" s="794">
        <v>11.4</v>
      </c>
      <c r="F51" s="919" cm="1" t="str">
        <f t="array" ref="F51:F51">X51</f>
        <v>2</v>
      </c>
      <c r="G51" s="217"/>
      <c r="H51" s="217"/>
      <c r="I51" s="217"/>
      <c r="J51" s="217"/>
      <c r="K51" s="217"/>
      <c r="L51" s="217"/>
      <c r="M51" s="217"/>
      <c r="N51" s="217"/>
      <c r="O51" s="217"/>
      <c r="P51" s="217"/>
      <c r="Q51" s="217"/>
      <c r="R51" s="217"/>
      <c r="S51" s="217"/>
      <c r="T51" s="816">
        <f>X51&gt;0</f>
        <v>1</v>
      </c>
      <c r="U51" s="217"/>
      <c r="V51" s="172" cm="1" t="str">
        <f t="array" ref="V51:V51">Амортизация!$AB$225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51" s="217"/>
      <c r="X51" s="172" t="s">
        <v>343</v>
      </c>
      <c r="Y51" s="217"/>
      <c r="Z51" s="217"/>
      <c r="AA51" s="217"/>
      <c r="AB51" s="287" cm="1" t="str">
        <f t="array" ref="AB51:AB51">IF(ISBLANK(Амортизация!$AB$225),"",Амортизация!$AB$225)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51" s="257"/>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76"/>
      <c r="BD51" s="217"/>
      <c r="BE51" s="217"/>
      <c r="BF51" s="1181"/>
    </row>
    <row s="934" customFormat="1" customHeight="1" ht="27.75">
      <c r="A52" s="934"/>
      <c r="B52" s="934"/>
      <c r="C52" s="934"/>
      <c r="D52" s="934"/>
      <c r="E52" s="794">
        <v>28.5</v>
      </c>
      <c r="F52" s="919" cm="1" t="str">
        <f t="array" ref="F52:F52">F51</f>
        <v>2</v>
      </c>
      <c r="G52" s="736" t="s">
        <v>1147</v>
      </c>
      <c r="H52" s="934"/>
      <c r="I52" s="934"/>
      <c r="J52" s="934"/>
      <c r="K52" s="934"/>
      <c r="L52" s="934"/>
      <c r="M52" s="934"/>
      <c r="N52" s="934"/>
      <c r="O52" s="934"/>
      <c r="P52" s="934"/>
      <c r="Q52" s="934"/>
      <c r="R52" s="934"/>
      <c r="S52" s="934"/>
      <c r="T52" s="816" cm="1" t="str">
        <f t="array" ref="T52:T52">T51</f>
        <v>true</v>
      </c>
      <c r="U52" s="934"/>
      <c r="V52" s="934"/>
      <c r="W52" s="934"/>
      <c r="X52" s="934"/>
      <c r="Y52" s="934"/>
      <c r="Z52" s="934"/>
      <c r="AA52" s="934"/>
      <c r="AB52" s="659" t="s">
        <v>335</v>
      </c>
      <c r="AC52" s="1051" t="s">
        <v>45</v>
      </c>
      <c r="AD52" s="1052" t="s">
        <v>805</v>
      </c>
      <c r="AE52" s="332">
        <f>AE53+AE56+AE57+AE60</f>
        <v>0</v>
      </c>
      <c r="AF52" s="332">
        <f>AF53+AF56+AF57+AF60</f>
        <v>0</v>
      </c>
      <c r="AG52" s="332">
        <f>AG53+AG56+AG57+AG60</f>
        <v>0</v>
      </c>
      <c r="AH52" s="332">
        <f>AH53+AH56+AH57+AH60</f>
        <v>0</v>
      </c>
      <c r="AI52" s="332">
        <f>AI53+AI56+AI57+AI60</f>
        <v>0</v>
      </c>
      <c r="AJ52" s="332">
        <f>AJ53+AJ56+AJ57+AJ60</f>
        <v>0</v>
      </c>
      <c r="AK52" s="332">
        <f>AK53+AK56+AK57+AK60</f>
        <v>0</v>
      </c>
      <c r="AL52" s="332">
        <f>AL53+AL56+AL57+AL60</f>
        <v>0</v>
      </c>
      <c r="AM52" s="332">
        <f>AM53+AM56+AM57+AM60</f>
        <v>0</v>
      </c>
      <c r="AN52" s="332">
        <f>AN53+AN56+AN57+AN60</f>
        <v>0</v>
      </c>
      <c r="AO52" s="332">
        <f>AO53+AO56+AO57+AO60</f>
        <v>0</v>
      </c>
      <c r="AP52" s="332">
        <f>AP53+AP56+AP57+AP60</f>
        <v>0</v>
      </c>
      <c r="AQ52" s="332">
        <f>AQ53+AQ56+AQ57+AQ60</f>
        <v>0</v>
      </c>
      <c r="AR52" s="332">
        <f>AR53+AR56+AR57+AR60</f>
        <v>0</v>
      </c>
      <c r="AS52" s="332">
        <f>AS53+AS56+AS57+AS60</f>
        <v>0</v>
      </c>
      <c r="AT52" s="332">
        <f>AT53+AT56+AT57+AT60</f>
        <v>0</v>
      </c>
      <c r="AU52" s="332">
        <f>AU53+AU56+AU57+AU60</f>
        <v>0</v>
      </c>
      <c r="AV52" s="332">
        <f>AV53+AV56+AV57+AV60</f>
        <v>0</v>
      </c>
      <c r="AW52" s="332">
        <f>AW53+AW56+AW57+AW60</f>
        <v>0</v>
      </c>
      <c r="AX52" s="332">
        <f>AX53+AX56+AX57+AX60</f>
        <v>0</v>
      </c>
      <c r="AY52" s="332">
        <f>AY53+AY56+AY57+AY60</f>
        <v>0</v>
      </c>
      <c r="AZ52" s="332">
        <f>AZ53+AZ56+AZ57+AZ60</f>
        <v>0</v>
      </c>
      <c r="BA52" s="332">
        <f>BA53+BA56+BA57+BA60</f>
        <v>0</v>
      </c>
      <c r="BB52" s="332">
        <f>BB53+BB56+BB57+BB60</f>
        <v>0</v>
      </c>
      <c r="BC52" s="1809"/>
      <c r="BD52" s="934"/>
      <c r="BE52" s="934"/>
      <c r="BF52" s="1170" t="s">
        <v>1148</v>
      </c>
    </row>
    <row s="934" customFormat="1" customHeight="1" ht="22.5">
      <c r="A53" s="934"/>
      <c r="B53" s="934"/>
      <c r="C53" s="934"/>
      <c r="D53" s="934"/>
      <c r="E53" s="794">
        <v>23.3</v>
      </c>
      <c r="F53" s="919" cm="1" t="str">
        <f t="array" ref="F53:F53">F52</f>
        <v>2</v>
      </c>
      <c r="G53" s="934"/>
      <c r="H53" s="934"/>
      <c r="I53" s="934"/>
      <c r="J53" s="934"/>
      <c r="K53" s="934"/>
      <c r="L53" s="934"/>
      <c r="M53" s="934"/>
      <c r="N53" s="934"/>
      <c r="O53" s="934"/>
      <c r="P53" s="934"/>
      <c r="Q53" s="934"/>
      <c r="R53" s="934"/>
      <c r="S53" s="934"/>
      <c r="T53" s="816" cm="1" t="str">
        <f t="array" ref="T53:T53">T52</f>
        <v>true</v>
      </c>
      <c r="U53" s="934"/>
      <c r="V53" s="934"/>
      <c r="W53" s="934"/>
      <c r="X53" s="934"/>
      <c r="Y53" s="934"/>
      <c r="Z53" s="934"/>
      <c r="AA53" s="934"/>
      <c r="AB53" s="283" t="s">
        <v>442</v>
      </c>
      <c r="AC53" s="284" t="s">
        <v>1149</v>
      </c>
      <c r="AD53" s="1053" t="s">
        <v>805</v>
      </c>
      <c r="AE53" s="588">
        <f>AE54+AE55</f>
        <v>0</v>
      </c>
      <c r="AF53" s="332">
        <f>AF54+AF55</f>
        <v>0</v>
      </c>
      <c r="AG53" s="332">
        <f>AG54+AG55</f>
        <v>0</v>
      </c>
      <c r="AH53" s="332">
        <f>AH54+AH55</f>
        <v>0</v>
      </c>
      <c r="AI53" s="332">
        <f>AI54+AI55</f>
        <v>0</v>
      </c>
      <c r="AJ53" s="332">
        <f>AJ54+AJ55</f>
        <v>0</v>
      </c>
      <c r="AK53" s="332">
        <f>AK54+AK55</f>
        <v>0</v>
      </c>
      <c r="AL53" s="332">
        <f>AL54+AL55</f>
        <v>0</v>
      </c>
      <c r="AM53" s="332">
        <f>AM54+AM55</f>
        <v>0</v>
      </c>
      <c r="AN53" s="332">
        <f>AN54+AN55</f>
        <v>0</v>
      </c>
      <c r="AO53" s="332">
        <f>AO54+AO55</f>
        <v>0</v>
      </c>
      <c r="AP53" s="332">
        <f>AP54+AP55</f>
        <v>0</v>
      </c>
      <c r="AQ53" s="332">
        <f>AQ54+AQ55</f>
        <v>0</v>
      </c>
      <c r="AR53" s="332">
        <f>AR54+AR55</f>
        <v>0</v>
      </c>
      <c r="AS53" s="332">
        <f>AS54+AS55</f>
        <v>0</v>
      </c>
      <c r="AT53" s="332">
        <f>AT54+AT55</f>
        <v>0</v>
      </c>
      <c r="AU53" s="332">
        <f>AU54+AU55</f>
        <v>0</v>
      </c>
      <c r="AV53" s="332">
        <f>AV54+AV55</f>
        <v>0</v>
      </c>
      <c r="AW53" s="332">
        <f>AW54+AW55</f>
        <v>0</v>
      </c>
      <c r="AX53" s="332">
        <f>AX54+AX55</f>
        <v>0</v>
      </c>
      <c r="AY53" s="332">
        <f>AY54+AY55</f>
        <v>0</v>
      </c>
      <c r="AZ53" s="332">
        <f>AZ54+AZ55</f>
        <v>0</v>
      </c>
      <c r="BA53" s="332">
        <f>BA54+BA55</f>
        <v>0</v>
      </c>
      <c r="BB53" s="332">
        <f>BB54+BB55</f>
        <v>0</v>
      </c>
      <c r="BC53" s="1809"/>
      <c r="BD53" s="934"/>
      <c r="BE53" s="934"/>
      <c r="BF53" s="1170" t="s">
        <v>1150</v>
      </c>
    </row>
    <row s="934" customFormat="1" customHeight="1" ht="22.5">
      <c r="A54" s="934"/>
      <c r="B54" s="934"/>
      <c r="C54" s="934"/>
      <c r="D54" s="934"/>
      <c r="E54" s="794">
        <v>23.3</v>
      </c>
      <c r="F54" s="919" cm="1" t="str">
        <f t="array" ref="F54:F54">F53</f>
        <v>2</v>
      </c>
      <c r="G54" s="736" t="s">
        <v>1151</v>
      </c>
      <c r="H54" s="934"/>
      <c r="I54" s="934"/>
      <c r="J54" s="934"/>
      <c r="K54" s="934"/>
      <c r="L54" s="934"/>
      <c r="M54" s="934"/>
      <c r="N54" s="934"/>
      <c r="O54" s="934"/>
      <c r="P54" s="934"/>
      <c r="Q54" s="934"/>
      <c r="R54" s="934"/>
      <c r="S54" s="934"/>
      <c r="T54" s="816" cm="1" t="str">
        <f t="array" ref="T54:T54">T53</f>
        <v>true</v>
      </c>
      <c r="U54" s="934"/>
      <c r="V54" s="934"/>
      <c r="W54" s="934"/>
      <c r="X54" s="934"/>
      <c r="Y54" s="934"/>
      <c r="Z54" s="934"/>
      <c r="AA54" s="934"/>
      <c r="AB54" s="285" t="s">
        <v>1152</v>
      </c>
      <c r="AC54" s="286" t="s">
        <v>1153</v>
      </c>
      <c r="AD54" s="1042" t="s">
        <v>805</v>
      </c>
      <c r="AE54" s="1679"/>
      <c r="AF54" s="1666"/>
      <c r="AG54" s="1666"/>
      <c r="AH54" s="1666"/>
      <c r="AI54" s="280"/>
      <c r="AJ54" s="280"/>
      <c r="AK54" s="280"/>
      <c r="AL54" s="280"/>
      <c r="AM54" s="280"/>
      <c r="AN54" s="1666"/>
      <c r="AO54" s="1666"/>
      <c r="AP54" s="1666"/>
      <c r="AQ54" s="1666"/>
      <c r="AR54" s="1666"/>
      <c r="AS54" s="280"/>
      <c r="AT54" s="280"/>
      <c r="AU54" s="280"/>
      <c r="AV54" s="280"/>
      <c r="AW54" s="280"/>
      <c r="AX54" s="1666"/>
      <c r="AY54" s="1666"/>
      <c r="AZ54" s="1666"/>
      <c r="BA54" s="1666"/>
      <c r="BB54" s="1666"/>
      <c r="BC54" s="1809"/>
      <c r="BD54" s="934"/>
      <c r="BE54" s="934"/>
      <c r="BF54" s="1170" t="s">
        <v>1154</v>
      </c>
    </row>
    <row s="934" customFormat="1" customHeight="1" ht="22.5">
      <c r="A55" s="934"/>
      <c r="B55" s="934"/>
      <c r="C55" s="934"/>
      <c r="D55" s="934"/>
      <c r="E55" s="794">
        <v>23.3</v>
      </c>
      <c r="F55" s="919" cm="1" t="str">
        <f t="array" ref="F55:F55">F54</f>
        <v>2</v>
      </c>
      <c r="G55" s="736" t="s">
        <v>1155</v>
      </c>
      <c r="H55" s="934"/>
      <c r="I55" s="934"/>
      <c r="J55" s="934"/>
      <c r="K55" s="934"/>
      <c r="L55" s="934"/>
      <c r="M55" s="934"/>
      <c r="N55" s="934"/>
      <c r="O55" s="934"/>
      <c r="P55" s="934"/>
      <c r="Q55" s="934"/>
      <c r="R55" s="934"/>
      <c r="S55" s="934"/>
      <c r="T55" s="816" cm="1" t="str">
        <f t="array" ref="T55:T55">T54</f>
        <v>true</v>
      </c>
      <c r="U55" s="934"/>
      <c r="V55" s="934"/>
      <c r="W55" s="934"/>
      <c r="X55" s="934"/>
      <c r="Y55" s="934"/>
      <c r="Z55" s="934"/>
      <c r="AA55" s="934"/>
      <c r="AB55" s="285" t="s">
        <v>1156</v>
      </c>
      <c r="AC55" s="286" t="s">
        <v>1157</v>
      </c>
      <c r="AD55" s="1042" t="s">
        <v>805</v>
      </c>
      <c r="AE55" s="1679"/>
      <c r="AF55" s="1666"/>
      <c r="AG55" s="1666"/>
      <c r="AH55" s="1666"/>
      <c r="AI55" s="280"/>
      <c r="AJ55" s="280"/>
      <c r="AK55" s="280"/>
      <c r="AL55" s="280"/>
      <c r="AM55" s="280"/>
      <c r="AN55" s="1666"/>
      <c r="AO55" s="1666"/>
      <c r="AP55" s="1666"/>
      <c r="AQ55" s="1666"/>
      <c r="AR55" s="1666"/>
      <c r="AS55" s="280"/>
      <c r="AT55" s="280"/>
      <c r="AU55" s="280"/>
      <c r="AV55" s="280"/>
      <c r="AW55" s="280"/>
      <c r="AX55" s="1666"/>
      <c r="AY55" s="1666"/>
      <c r="AZ55" s="1666"/>
      <c r="BA55" s="1666"/>
      <c r="BB55" s="1666"/>
      <c r="BC55" s="1809"/>
      <c r="BD55" s="934"/>
      <c r="BE55" s="934"/>
      <c r="BF55" s="1170" t="s">
        <v>1158</v>
      </c>
    </row>
    <row s="934" customFormat="1" customHeight="1" ht="22.5">
      <c r="A56" s="934"/>
      <c r="B56" s="934"/>
      <c r="C56" s="934"/>
      <c r="D56" s="934"/>
      <c r="E56" s="794">
        <v>23.3</v>
      </c>
      <c r="F56" s="919" cm="1" t="str">
        <f t="array" ref="F56:F56">F55</f>
        <v>2</v>
      </c>
      <c r="G56" s="736" t="s">
        <v>1159</v>
      </c>
      <c r="H56" s="934"/>
      <c r="I56" s="934"/>
      <c r="J56" s="934"/>
      <c r="K56" s="934"/>
      <c r="L56" s="934"/>
      <c r="M56" s="934"/>
      <c r="N56" s="934"/>
      <c r="O56" s="934"/>
      <c r="P56" s="934"/>
      <c r="Q56" s="934"/>
      <c r="R56" s="934"/>
      <c r="S56" s="934"/>
      <c r="T56" s="816" cm="1" t="str">
        <f t="array" ref="T56:T56">T55</f>
        <v>true</v>
      </c>
      <c r="U56" s="934"/>
      <c r="V56" s="934"/>
      <c r="W56" s="934"/>
      <c r="X56" s="934"/>
      <c r="Y56" s="934"/>
      <c r="Z56" s="934"/>
      <c r="AA56" s="934"/>
      <c r="AB56" s="283" t="s">
        <v>931</v>
      </c>
      <c r="AC56" s="284" t="s">
        <v>1160</v>
      </c>
      <c r="AD56" s="1053" t="s">
        <v>805</v>
      </c>
      <c r="AE56" s="1679"/>
      <c r="AF56" s="1666"/>
      <c r="AG56" s="1666"/>
      <c r="AH56" s="1666"/>
      <c r="AI56" s="280"/>
      <c r="AJ56" s="280"/>
      <c r="AK56" s="280"/>
      <c r="AL56" s="280"/>
      <c r="AM56" s="280"/>
      <c r="AN56" s="1666"/>
      <c r="AO56" s="1666"/>
      <c r="AP56" s="1666"/>
      <c r="AQ56" s="1666"/>
      <c r="AR56" s="1666"/>
      <c r="AS56" s="280"/>
      <c r="AT56" s="280"/>
      <c r="AU56" s="280"/>
      <c r="AV56" s="280"/>
      <c r="AW56" s="280"/>
      <c r="AX56" s="1666"/>
      <c r="AY56" s="1666"/>
      <c r="AZ56" s="1666"/>
      <c r="BA56" s="1666"/>
      <c r="BB56" s="1666"/>
      <c r="BC56" s="1809"/>
      <c r="BD56" s="934"/>
      <c r="BE56" s="934"/>
      <c r="BF56" s="1170" t="s">
        <v>1161</v>
      </c>
    </row>
    <row s="934" customFormat="1" customHeight="1" ht="22.5">
      <c r="A57" s="934"/>
      <c r="B57" s="934"/>
      <c r="C57" s="934"/>
      <c r="D57" s="934"/>
      <c r="E57" s="794">
        <v>23.3</v>
      </c>
      <c r="F57" s="919" cm="1" t="str">
        <f t="array" ref="F57:F57">F56</f>
        <v>2</v>
      </c>
      <c r="G57" s="934"/>
      <c r="H57" s="934"/>
      <c r="I57" s="934"/>
      <c r="J57" s="934"/>
      <c r="K57" s="934"/>
      <c r="L57" s="934"/>
      <c r="M57" s="934"/>
      <c r="N57" s="934"/>
      <c r="O57" s="934"/>
      <c r="P57" s="934"/>
      <c r="Q57" s="934"/>
      <c r="R57" s="934"/>
      <c r="S57" s="934"/>
      <c r="T57" s="816" cm="1" t="str">
        <f t="array" ref="T57:T57">T56</f>
        <v>true</v>
      </c>
      <c r="U57" s="934"/>
      <c r="V57" s="934"/>
      <c r="W57" s="934"/>
      <c r="X57" s="934"/>
      <c r="Y57" s="934"/>
      <c r="Z57" s="934"/>
      <c r="AA57" s="934"/>
      <c r="AB57" s="283" t="s">
        <v>933</v>
      </c>
      <c r="AC57" s="284" t="s">
        <v>1162</v>
      </c>
      <c r="AD57" s="1053" t="s">
        <v>805</v>
      </c>
      <c r="AE57" s="588">
        <f>AE58+AE59</f>
        <v>0</v>
      </c>
      <c r="AF57" s="332">
        <f>AF58+AF59</f>
        <v>0</v>
      </c>
      <c r="AG57" s="332">
        <f>AG58+AG59</f>
        <v>0</v>
      </c>
      <c r="AH57" s="332">
        <f>AH58+AH59</f>
        <v>0</v>
      </c>
      <c r="AI57" s="332">
        <f>AI58+AI59</f>
        <v>0</v>
      </c>
      <c r="AJ57" s="332">
        <f>AJ58+AJ59</f>
        <v>0</v>
      </c>
      <c r="AK57" s="332">
        <f>AK58+AK59</f>
        <v>0</v>
      </c>
      <c r="AL57" s="332">
        <f>AL58+AL59</f>
        <v>0</v>
      </c>
      <c r="AM57" s="332">
        <f>AM58+AM59</f>
        <v>0</v>
      </c>
      <c r="AN57" s="332">
        <f>AN58+AN59</f>
        <v>0</v>
      </c>
      <c r="AO57" s="332">
        <f>AO58+AO59</f>
        <v>0</v>
      </c>
      <c r="AP57" s="332">
        <f>AP58+AP59</f>
        <v>0</v>
      </c>
      <c r="AQ57" s="332">
        <f>AQ58+AQ59</f>
        <v>0</v>
      </c>
      <c r="AR57" s="332">
        <f>AR58+AR59</f>
        <v>0</v>
      </c>
      <c r="AS57" s="332">
        <f>AS58+AS59</f>
        <v>0</v>
      </c>
      <c r="AT57" s="332">
        <f>AT58+AT59</f>
        <v>0</v>
      </c>
      <c r="AU57" s="332">
        <f>AU58+AU59</f>
        <v>0</v>
      </c>
      <c r="AV57" s="332">
        <f>AV58+AV59</f>
        <v>0</v>
      </c>
      <c r="AW57" s="332">
        <f>AW58+AW59</f>
        <v>0</v>
      </c>
      <c r="AX57" s="332">
        <f>AX58+AX59</f>
        <v>0</v>
      </c>
      <c r="AY57" s="332">
        <f>AY58+AY59</f>
        <v>0</v>
      </c>
      <c r="AZ57" s="332">
        <f>AZ58+AZ59</f>
        <v>0</v>
      </c>
      <c r="BA57" s="332">
        <f>BA58+BA59</f>
        <v>0</v>
      </c>
      <c r="BB57" s="332">
        <f>BB58+BB59</f>
        <v>0</v>
      </c>
      <c r="BC57" s="1809"/>
      <c r="BD57" s="934"/>
      <c r="BE57" s="934"/>
      <c r="BF57" s="1170" t="s">
        <v>1163</v>
      </c>
    </row>
    <row s="934" customFormat="1" customHeight="1" ht="67.5">
      <c r="A58" s="934"/>
      <c r="B58" s="934"/>
      <c r="C58" s="934"/>
      <c r="D58" s="934"/>
      <c r="E58" s="794">
        <v>69.8</v>
      </c>
      <c r="F58" s="919" cm="1" t="str">
        <f t="array" ref="F58:F58">F57</f>
        <v>2</v>
      </c>
      <c r="G58" s="736" t="s">
        <v>1164</v>
      </c>
      <c r="H58" s="934"/>
      <c r="I58" s="934"/>
      <c r="J58" s="934"/>
      <c r="K58" s="934"/>
      <c r="L58" s="934"/>
      <c r="M58" s="934"/>
      <c r="N58" s="934"/>
      <c r="O58" s="934"/>
      <c r="P58" s="934"/>
      <c r="Q58" s="934"/>
      <c r="R58" s="934"/>
      <c r="S58" s="934"/>
      <c r="T58" s="816" cm="1" t="str">
        <f t="array" ref="T58:T58">T57</f>
        <v>true</v>
      </c>
      <c r="U58" s="934"/>
      <c r="V58" s="934"/>
      <c r="W58" s="934"/>
      <c r="X58" s="934"/>
      <c r="Y58" s="934"/>
      <c r="Z58" s="934"/>
      <c r="AA58" s="934"/>
      <c r="AB58" s="285" t="s">
        <v>1165</v>
      </c>
      <c r="AC58" s="286" t="s">
        <v>1166</v>
      </c>
      <c r="AD58" s="1042" t="s">
        <v>805</v>
      </c>
      <c r="AE58" s="1679"/>
      <c r="AF58" s="1666"/>
      <c r="AG58" s="1666"/>
      <c r="AH58" s="1666"/>
      <c r="AI58" s="280"/>
      <c r="AJ58" s="280"/>
      <c r="AK58" s="280"/>
      <c r="AL58" s="280"/>
      <c r="AM58" s="280"/>
      <c r="AN58" s="1666"/>
      <c r="AO58" s="1666"/>
      <c r="AP58" s="1666"/>
      <c r="AQ58" s="1666"/>
      <c r="AR58" s="1666"/>
      <c r="AS58" s="280"/>
      <c r="AT58" s="280"/>
      <c r="AU58" s="280"/>
      <c r="AV58" s="280"/>
      <c r="AW58" s="280"/>
      <c r="AX58" s="1666"/>
      <c r="AY58" s="1666"/>
      <c r="AZ58" s="1666"/>
      <c r="BA58" s="1666"/>
      <c r="BB58" s="1666"/>
      <c r="BC58" s="1809"/>
      <c r="BD58" s="934"/>
      <c r="BE58" s="934"/>
      <c r="BF58" s="1170" t="s">
        <v>1167</v>
      </c>
    </row>
    <row s="934" customFormat="1" customHeight="1" ht="28.5">
      <c r="A59" s="934"/>
      <c r="B59" s="934"/>
      <c r="C59" s="934"/>
      <c r="D59" s="934"/>
      <c r="E59" s="794">
        <v>29.3</v>
      </c>
      <c r="F59" s="919" cm="1" t="str">
        <f t="array" ref="F59:F59">F58</f>
        <v>2</v>
      </c>
      <c r="G59" s="736" t="s">
        <v>1168</v>
      </c>
      <c r="H59" s="934"/>
      <c r="I59" s="934"/>
      <c r="J59" s="934"/>
      <c r="K59" s="934"/>
      <c r="L59" s="934"/>
      <c r="M59" s="934"/>
      <c r="N59" s="934"/>
      <c r="O59" s="934"/>
      <c r="P59" s="934"/>
      <c r="Q59" s="934"/>
      <c r="R59" s="934"/>
      <c r="S59" s="934"/>
      <c r="T59" s="816" cm="1" t="str">
        <f t="array" ref="T59:T59">T58</f>
        <v>true</v>
      </c>
      <c r="U59" s="934"/>
      <c r="V59" s="934"/>
      <c r="W59" s="934"/>
      <c r="X59" s="934"/>
      <c r="Y59" s="934"/>
      <c r="Z59" s="934"/>
      <c r="AA59" s="934"/>
      <c r="AB59" s="285" t="s">
        <v>1169</v>
      </c>
      <c r="AC59" s="286" t="s">
        <v>1170</v>
      </c>
      <c r="AD59" s="1042" t="s">
        <v>805</v>
      </c>
      <c r="AE59" s="1679"/>
      <c r="AF59" s="1666"/>
      <c r="AG59" s="1666"/>
      <c r="AH59" s="1666"/>
      <c r="AI59" s="280"/>
      <c r="AJ59" s="280"/>
      <c r="AK59" s="280"/>
      <c r="AL59" s="280"/>
      <c r="AM59" s="280"/>
      <c r="AN59" s="1666"/>
      <c r="AO59" s="1666"/>
      <c r="AP59" s="1666"/>
      <c r="AQ59" s="1666"/>
      <c r="AR59" s="1666"/>
      <c r="AS59" s="280"/>
      <c r="AT59" s="280"/>
      <c r="AU59" s="280"/>
      <c r="AV59" s="280"/>
      <c r="AW59" s="280"/>
      <c r="AX59" s="1666"/>
      <c r="AY59" s="1666"/>
      <c r="AZ59" s="1666"/>
      <c r="BA59" s="1666"/>
      <c r="BB59" s="1666"/>
      <c r="BC59" s="1809"/>
      <c r="BD59" s="934"/>
      <c r="BE59" s="934"/>
      <c r="BF59" s="1170" t="s">
        <v>1171</v>
      </c>
    </row>
    <row s="934" customFormat="1" customHeight="1" ht="21">
      <c r="A60" s="934"/>
      <c r="B60" s="934"/>
      <c r="C60" s="934"/>
      <c r="D60" s="934"/>
      <c r="E60" s="794">
        <v>21.8</v>
      </c>
      <c r="F60" s="919" cm="1" t="str">
        <f t="array" ref="F60:F60">F59</f>
        <v>2</v>
      </c>
      <c r="G60" s="934"/>
      <c r="H60" s="934"/>
      <c r="I60" s="934"/>
      <c r="J60" s="934"/>
      <c r="K60" s="934"/>
      <c r="L60" s="934"/>
      <c r="M60" s="934"/>
      <c r="N60" s="934"/>
      <c r="O60" s="934"/>
      <c r="P60" s="934"/>
      <c r="Q60" s="934"/>
      <c r="R60" s="934"/>
      <c r="S60" s="934"/>
      <c r="T60" s="816" cm="1" t="str">
        <f t="array" ref="T60:T60">T59</f>
        <v>true</v>
      </c>
      <c r="U60" s="934"/>
      <c r="V60" s="934"/>
      <c r="W60" s="934"/>
      <c r="X60" s="934"/>
      <c r="Y60" s="934"/>
      <c r="Z60" s="934"/>
      <c r="AA60" s="934"/>
      <c r="AB60" s="283" t="s">
        <v>937</v>
      </c>
      <c r="AC60" s="284" t="s">
        <v>1172</v>
      </c>
      <c r="AD60" s="1053" t="s">
        <v>805</v>
      </c>
      <c r="AE60" s="588">
        <f>AE61+AE62</f>
        <v>0</v>
      </c>
      <c r="AF60" s="332">
        <f>AF61+AF62</f>
        <v>0</v>
      </c>
      <c r="AG60" s="332">
        <f>AG61+AG62</f>
        <v>0</v>
      </c>
      <c r="AH60" s="332">
        <f>AH61+AH62</f>
        <v>0</v>
      </c>
      <c r="AI60" s="332">
        <f>AI61+AI62</f>
        <v>0</v>
      </c>
      <c r="AJ60" s="332">
        <f>AJ61+AJ62</f>
        <v>0</v>
      </c>
      <c r="AK60" s="332">
        <f>AK61+AK62</f>
        <v>0</v>
      </c>
      <c r="AL60" s="332">
        <f>AL61+AL62</f>
        <v>0</v>
      </c>
      <c r="AM60" s="332">
        <f>AM61+AM62</f>
        <v>0</v>
      </c>
      <c r="AN60" s="332">
        <f>AN61+AN62</f>
        <v>0</v>
      </c>
      <c r="AO60" s="332">
        <f>AO61+AO62</f>
        <v>0</v>
      </c>
      <c r="AP60" s="332">
        <f>AP61+AP62</f>
        <v>0</v>
      </c>
      <c r="AQ60" s="332">
        <f>AQ61+AQ62</f>
        <v>0</v>
      </c>
      <c r="AR60" s="332">
        <f>AR61+AR62</f>
        <v>0</v>
      </c>
      <c r="AS60" s="332">
        <f>AS61+AS62</f>
        <v>0</v>
      </c>
      <c r="AT60" s="332">
        <f>AT61+AT62</f>
        <v>0</v>
      </c>
      <c r="AU60" s="332">
        <f>AU61+AU62</f>
        <v>0</v>
      </c>
      <c r="AV60" s="332">
        <f>AV61+AV62</f>
        <v>0</v>
      </c>
      <c r="AW60" s="332">
        <f>AW61+AW62</f>
        <v>0</v>
      </c>
      <c r="AX60" s="332">
        <f>AX61+AX62</f>
        <v>0</v>
      </c>
      <c r="AY60" s="332">
        <f>AY61+AY62</f>
        <v>0</v>
      </c>
      <c r="AZ60" s="332">
        <f>AZ61+AZ62</f>
        <v>0</v>
      </c>
      <c r="BA60" s="332">
        <f>BA61+BA62</f>
        <v>0</v>
      </c>
      <c r="BB60" s="332">
        <f>BB61+BB62</f>
        <v>0</v>
      </c>
      <c r="BC60" s="1809"/>
      <c r="BD60" s="934"/>
      <c r="BE60" s="934"/>
      <c r="BF60" s="1170" t="s">
        <v>1173</v>
      </c>
    </row>
    <row s="934" customFormat="1" customHeight="1" ht="22.5">
      <c r="A61" s="934"/>
      <c r="B61" s="934"/>
      <c r="C61" s="934"/>
      <c r="D61" s="934"/>
      <c r="E61" s="794">
        <v>23.3</v>
      </c>
      <c r="F61" s="919" cm="1" t="str">
        <f t="array" ref="F61:F61">F60</f>
        <v>2</v>
      </c>
      <c r="G61" s="736" t="s">
        <v>1151</v>
      </c>
      <c r="H61" s="934"/>
      <c r="I61" s="934"/>
      <c r="J61" s="934"/>
      <c r="K61" s="934"/>
      <c r="L61" s="934"/>
      <c r="M61" s="934"/>
      <c r="N61" s="934"/>
      <c r="O61" s="934"/>
      <c r="P61" s="934"/>
      <c r="Q61" s="934"/>
      <c r="R61" s="934"/>
      <c r="S61" s="934"/>
      <c r="T61" s="816" cm="1" t="str">
        <f t="array" ref="T61:T61">T60</f>
        <v>true</v>
      </c>
      <c r="U61" s="934"/>
      <c r="V61" s="934"/>
      <c r="W61" s="934"/>
      <c r="X61" s="934"/>
      <c r="Y61" s="934"/>
      <c r="Z61" s="934"/>
      <c r="AA61" s="934"/>
      <c r="AB61" s="285" t="s">
        <v>1027</v>
      </c>
      <c r="AC61" s="286" t="s">
        <v>1153</v>
      </c>
      <c r="AD61" s="1042" t="s">
        <v>805</v>
      </c>
      <c r="AE61" s="1679"/>
      <c r="AF61" s="1666"/>
      <c r="AG61" s="1666"/>
      <c r="AH61" s="1666"/>
      <c r="AI61" s="280"/>
      <c r="AJ61" s="280"/>
      <c r="AK61" s="280"/>
      <c r="AL61" s="280"/>
      <c r="AM61" s="280"/>
      <c r="AN61" s="1666"/>
      <c r="AO61" s="1666"/>
      <c r="AP61" s="1666"/>
      <c r="AQ61" s="1666"/>
      <c r="AR61" s="1666"/>
      <c r="AS61" s="280"/>
      <c r="AT61" s="280"/>
      <c r="AU61" s="280"/>
      <c r="AV61" s="280"/>
      <c r="AW61" s="280"/>
      <c r="AX61" s="1666"/>
      <c r="AY61" s="1666"/>
      <c r="AZ61" s="1666"/>
      <c r="BA61" s="1666"/>
      <c r="BB61" s="1666"/>
      <c r="BC61" s="1809"/>
      <c r="BD61" s="934"/>
      <c r="BE61" s="934"/>
      <c r="BF61" s="1170" t="s">
        <v>1174</v>
      </c>
    </row>
    <row s="934" customFormat="1" customHeight="1" ht="22.5">
      <c r="A62" s="934"/>
      <c r="B62" s="934"/>
      <c r="C62" s="934"/>
      <c r="D62" s="934"/>
      <c r="E62" s="794">
        <v>23.3</v>
      </c>
      <c r="F62" s="919" cm="1" t="str">
        <f t="array" ref="F62:F62">F61</f>
        <v>2</v>
      </c>
      <c r="G62" s="736" t="s">
        <v>1155</v>
      </c>
      <c r="H62" s="934"/>
      <c r="I62" s="934"/>
      <c r="J62" s="934"/>
      <c r="K62" s="934"/>
      <c r="L62" s="934"/>
      <c r="M62" s="934"/>
      <c r="N62" s="934"/>
      <c r="O62" s="934"/>
      <c r="P62" s="934"/>
      <c r="Q62" s="934"/>
      <c r="R62" s="934"/>
      <c r="S62" s="934"/>
      <c r="T62" s="816" cm="1" t="str">
        <f t="array" ref="T62:T62">T61</f>
        <v>true</v>
      </c>
      <c r="U62" s="934"/>
      <c r="V62" s="934"/>
      <c r="W62" s="934"/>
      <c r="X62" s="934"/>
      <c r="Y62" s="934"/>
      <c r="Z62" s="934"/>
      <c r="AA62" s="934"/>
      <c r="AB62" s="285" t="s">
        <v>1030</v>
      </c>
      <c r="AC62" s="286" t="s">
        <v>1157</v>
      </c>
      <c r="AD62" s="1042" t="s">
        <v>805</v>
      </c>
      <c r="AE62" s="1679"/>
      <c r="AF62" s="1666"/>
      <c r="AG62" s="1666"/>
      <c r="AH62" s="1666"/>
      <c r="AI62" s="280"/>
      <c r="AJ62" s="280"/>
      <c r="AK62" s="280"/>
      <c r="AL62" s="280"/>
      <c r="AM62" s="280"/>
      <c r="AN62" s="1666"/>
      <c r="AO62" s="1666"/>
      <c r="AP62" s="1666"/>
      <c r="AQ62" s="1666"/>
      <c r="AR62" s="1666"/>
      <c r="AS62" s="280"/>
      <c r="AT62" s="280"/>
      <c r="AU62" s="280"/>
      <c r="AV62" s="280"/>
      <c r="AW62" s="280"/>
      <c r="AX62" s="1666"/>
      <c r="AY62" s="1666"/>
      <c r="AZ62" s="1666"/>
      <c r="BA62" s="1666"/>
      <c r="BB62" s="1666"/>
      <c r="BC62" s="1809"/>
      <c r="BD62" s="934"/>
      <c r="BE62" s="934"/>
      <c r="BF62" s="1170" t="s">
        <v>1175</v>
      </c>
    </row>
    <row customHeight="1" ht="11.115">
      <c r="E63" s="922">
        <v>11.4</v>
      </c>
      <c r="U63" s="176" t="s">
        <v>235</v>
      </c>
      <c r="V63" s="168" t="s">
        <v>1176</v>
      </c>
      <c r="W63" s="176"/>
      <c r="AE63" s="217"/>
      <c r="AI63" s="217"/>
      <c r="AJ63" s="217"/>
      <c r="AK63" s="217"/>
      <c r="AL63" s="217"/>
      <c r="AM63" s="217"/>
      <c r="AN63" s="217"/>
      <c r="AO63" s="217"/>
      <c r="AP63" s="217"/>
      <c r="AQ63" s="217"/>
      <c r="AR63" s="217"/>
      <c r="AS63" s="217"/>
      <c r="AT63" s="217"/>
      <c r="AU63" s="217"/>
      <c r="AV63" s="217"/>
      <c r="AW63" s="217"/>
      <c r="AX63" s="217"/>
      <c r="AY63" s="217"/>
      <c r="AZ63" s="217"/>
      <c r="BA63" s="217"/>
      <c r="BB63" s="217"/>
    </row>
    <row customHeight="1" ht="11.25" hidden="1">
      <c r="E64" s="922">
        <v>0</v>
      </c>
      <c r="AI64" s="217"/>
      <c r="AJ64" s="217"/>
      <c r="AK64" s="217"/>
      <c r="AL64" s="217"/>
      <c r="AM64" s="217"/>
      <c r="AN64" s="217"/>
      <c r="AO64" s="217"/>
      <c r="AP64" s="217"/>
      <c r="AQ64" s="217"/>
      <c r="AR64" s="217"/>
      <c r="AS64" s="217"/>
      <c r="AT64" s="217"/>
      <c r="AU64" s="217"/>
      <c r="AV64" s="217"/>
      <c r="AW64" s="217"/>
      <c r="AX64" s="217"/>
      <c r="AY64" s="217"/>
      <c r="AZ64" s="217"/>
      <c r="BA64" s="217"/>
      <c r="BB64" s="217"/>
    </row>
    <row s="497" customFormat="1" customHeight="1" ht="14.625">
      <c r="A65" s="172"/>
      <c r="B65" s="785"/>
      <c r="C65" s="172"/>
      <c r="D65" s="172"/>
      <c r="E65" s="794">
        <v>15</v>
      </c>
      <c r="F65" s="172"/>
      <c r="Q65" s="736"/>
      <c r="R65" s="736"/>
      <c r="T65" s="172"/>
      <c r="U65" s="172"/>
      <c r="V65" s="172"/>
      <c r="W65" s="172"/>
      <c r="X65" s="172"/>
      <c r="Y65" s="172"/>
      <c r="Z65" s="172"/>
      <c r="AB65" s="1527" t="s">
        <v>700</v>
      </c>
      <c r="AC65" s="1527"/>
      <c r="AD65" s="1527"/>
      <c r="AE65" s="1527"/>
      <c r="AF65" s="1527"/>
      <c r="AG65" s="1527"/>
      <c r="AH65" s="1527"/>
      <c r="AI65" s="1528"/>
      <c r="AJ65" s="1528"/>
      <c r="AK65" s="1528"/>
      <c r="AL65" s="1528"/>
      <c r="AM65" s="1528"/>
      <c r="AN65" s="1528"/>
      <c r="AO65" s="1528"/>
      <c r="AP65" s="1528"/>
      <c r="AQ65" s="1528"/>
      <c r="AR65" s="1528"/>
      <c r="AS65" s="1528"/>
      <c r="AT65" s="1528"/>
      <c r="AU65" s="1528"/>
      <c r="AV65" s="1528"/>
      <c r="AW65" s="1528"/>
      <c r="AX65" s="1528"/>
      <c r="AY65" s="1528"/>
      <c r="AZ65" s="1528"/>
      <c r="BA65" s="1528"/>
      <c r="BB65" s="1528"/>
      <c r="BC65" s="1528"/>
      <c r="BF65" s="1181"/>
    </row>
    <row s="497" customFormat="1" customHeight="1" ht="14.625">
      <c r="A66" s="172"/>
      <c r="B66" s="785"/>
      <c r="C66" s="172"/>
      <c r="D66" s="172"/>
      <c r="E66" s="794">
        <v>15</v>
      </c>
      <c r="F66" s="172"/>
      <c r="Q66" s="736"/>
      <c r="R66" s="736"/>
      <c r="T66" s="172"/>
      <c r="U66" s="172"/>
      <c r="V66" s="172"/>
      <c r="W66" s="172"/>
      <c r="X66" s="172"/>
      <c r="Y66" s="172"/>
      <c r="Z66" s="172"/>
      <c r="AA66" s="918"/>
      <c r="AB66" s="1529"/>
      <c r="AC66" s="1529"/>
      <c r="AD66" s="1529"/>
      <c r="AE66" s="1529"/>
      <c r="AF66" s="1529"/>
      <c r="AG66" s="1529"/>
      <c r="AH66" s="1529"/>
      <c r="AI66" s="1530"/>
      <c r="AJ66" s="1530"/>
      <c r="AK66" s="1530"/>
      <c r="AL66" s="1530"/>
      <c r="AM66" s="1530"/>
      <c r="AN66" s="1796"/>
      <c r="AO66" s="1796"/>
      <c r="AP66" s="1796"/>
      <c r="AQ66" s="1796"/>
      <c r="AR66" s="1796"/>
      <c r="AS66" s="1530"/>
      <c r="AT66" s="1530"/>
      <c r="AU66" s="1530"/>
      <c r="AV66" s="1530"/>
      <c r="AW66" s="1530"/>
      <c r="AX66" s="1796"/>
      <c r="AY66" s="1796"/>
      <c r="AZ66" s="1796"/>
      <c r="BA66" s="1796"/>
      <c r="BB66" s="1796"/>
      <c r="BC66" s="1530"/>
      <c r="BF66" s="1181"/>
    </row>
    <row s="497" customFormat="1" customHeight="1" ht="14.625" hidden="1">
      <c r="A67" s="172"/>
      <c r="B67" s="785"/>
      <c r="C67" s="172"/>
      <c r="D67" s="172"/>
      <c r="E67" s="794">
        <v>15</v>
      </c>
      <c r="F67" s="172"/>
      <c r="G67" s="497"/>
      <c r="H67" s="497"/>
      <c r="I67" s="497"/>
      <c r="J67" s="497"/>
      <c r="K67" s="497"/>
      <c r="L67" s="497"/>
      <c r="M67" s="497"/>
      <c r="N67" s="497"/>
      <c r="O67" s="497"/>
      <c r="P67" s="497"/>
      <c r="Q67" s="736"/>
      <c r="R67" s="736"/>
      <c r="S67" s="497"/>
      <c r="T67" s="805">
        <f>ROW(W67)&gt;ROW(W$67)</f>
        <v>0</v>
      </c>
      <c r="U67" s="172"/>
      <c r="V67" s="176"/>
      <c r="W67" s="172" t="s">
        <v>233</v>
      </c>
      <c r="X67" s="172"/>
      <c r="Y67" s="172"/>
      <c r="Z67" s="172"/>
      <c r="AA67" s="914" t="s">
        <v>217</v>
      </c>
      <c r="AB67" s="1797"/>
      <c r="AC67" s="1797"/>
      <c r="AD67" s="1797"/>
      <c r="AE67" s="1797"/>
      <c r="AF67" s="1797"/>
      <c r="AG67" s="1797"/>
      <c r="AH67" s="1797"/>
      <c r="AI67" s="1530"/>
      <c r="AJ67" s="1530"/>
      <c r="AK67" s="1530"/>
      <c r="AL67" s="1530"/>
      <c r="AM67" s="1530"/>
      <c r="AN67" s="1796"/>
      <c r="AO67" s="1796"/>
      <c r="AP67" s="1796"/>
      <c r="AQ67" s="1796"/>
      <c r="AR67" s="1796"/>
      <c r="AS67" s="1530"/>
      <c r="AT67" s="1530"/>
      <c r="AU67" s="1530"/>
      <c r="AV67" s="1530"/>
      <c r="AW67" s="1530"/>
      <c r="AX67" s="1796"/>
      <c r="AY67" s="1796"/>
      <c r="AZ67" s="1796"/>
      <c r="BA67" s="1796"/>
      <c r="BB67" s="1796"/>
      <c r="BC67" s="1796"/>
      <c r="BD67" s="497"/>
      <c r="BE67" s="497"/>
      <c r="BF67" s="1181"/>
    </row>
    <row s="497" customFormat="1" customHeight="1" ht="14.625">
      <c r="A68" s="172"/>
      <c r="B68" s="785"/>
      <c r="C68" s="172"/>
      <c r="D68" s="172"/>
      <c r="E68" s="794">
        <v>15</v>
      </c>
      <c r="F68" s="172"/>
      <c r="Q68" s="736"/>
      <c r="R68" s="736"/>
      <c r="T68" s="172"/>
      <c r="U68" s="172"/>
      <c r="V68" s="172"/>
      <c r="W68" s="168" t="s">
        <v>234</v>
      </c>
      <c r="X68" s="172"/>
      <c r="Y68" s="172"/>
      <c r="Z68" s="172"/>
      <c r="AB68" s="1475" t="s">
        <v>701</v>
      </c>
      <c r="AC68" s="1476"/>
      <c r="AD68" s="380"/>
      <c r="AE68" s="380"/>
      <c r="AF68" s="381"/>
      <c r="AG68" s="381"/>
      <c r="AH68" s="381"/>
      <c r="AI68" s="381"/>
      <c r="AJ68" s="381"/>
      <c r="AK68" s="381"/>
      <c r="AL68" s="381"/>
      <c r="AM68" s="381"/>
      <c r="AN68" s="381"/>
      <c r="AO68" s="381"/>
      <c r="AP68" s="381"/>
      <c r="AQ68" s="381"/>
      <c r="AR68" s="381"/>
      <c r="AS68" s="381"/>
      <c r="AT68" s="381"/>
      <c r="AU68" s="381"/>
      <c r="AV68" s="381"/>
      <c r="AW68" s="381"/>
      <c r="AX68" s="381"/>
      <c r="AY68" s="381"/>
      <c r="AZ68" s="381"/>
      <c r="BA68" s="381"/>
      <c r="BB68" s="381"/>
      <c r="BC68" s="382"/>
      <c r="BF68" s="1181"/>
    </row>
    <row customHeight="1" ht="11.25">
      <c r="AI69" s="217"/>
      <c r="AJ69" s="217"/>
      <c r="AK69" s="217"/>
      <c r="AL69" s="217"/>
      <c r="AM69" s="217"/>
      <c r="AN69" s="217"/>
      <c r="AO69" s="217"/>
      <c r="AP69" s="217"/>
      <c r="AQ69" s="217"/>
      <c r="AR69" s="217"/>
      <c r="AS69" s="217"/>
      <c r="AT69" s="217"/>
      <c r="AU69" s="217"/>
      <c r="AV69" s="217"/>
      <c r="AW69" s="217"/>
      <c r="AX69" s="217"/>
      <c r="AY69" s="217"/>
      <c r="AZ69" s="217"/>
      <c r="BA69" s="217"/>
      <c r="BB69" s="217"/>
      <c r="BD69" s="217"/>
    </row>
  </sheetData>
  <sheetProtection formatColumns="0" formatRows="0" insertRows="0" deleteColumns="0" deleteRows="0" sort="0" autoFilter="0" insertColumns="1"/>
  <mergeCells count="14">
    <mergeCell ref="X27:X38"/>
    <mergeCell ref="AB67:BC67"/>
    <mergeCell ref="AB68:AC68"/>
    <mergeCell ref="AB65:BC65"/>
    <mergeCell ref="AB66:BC66"/>
    <mergeCell ref="BC24:BC25"/>
    <mergeCell ref="AB24:AB25"/>
    <mergeCell ref="AC24:AC25"/>
    <mergeCell ref="AD24:AD25"/>
    <mergeCell ref="Z27:Z38"/>
    <mergeCell ref="X39:X50"/>
    <mergeCell ref="Z39:Z50"/>
    <mergeCell ref="X51:X62"/>
    <mergeCell ref="Z51:Z62"/>
  </mergeCells>
  <dataValidations count="1">
    <dataValidation type="decimal" allowBlank="1" showErrorMessage="1" errorTitle="Ошибка" error="Допускается ввод только неотрицательных чисел!" sqref="AE31:BB32 AE34:BB35 BB38 BB43:BB44 BB46:BB47 BB50 BB55:BB56 BB58:BB59 BB62 BA38 BA43:BA44 BA46:BA47 BA50 BA55:BA56 BA58:BA59 BA62 AZ38 AZ43:AZ44 AZ46:AZ47 AZ50 AZ55:AZ56 AZ58:AZ59 AZ62 AY38 AY43:AY44 AY46:AY47 AY50 AY55:AY56 AY58:AY59 AY62 AX38 AX43:AX44 AX46:AX47 AX50 AX55:AX56 AX58:AX59 AX62 AW38 AW43:AW44 AW46:AW47 AW50 AW55:AW56 AW58:AW59 AW62 AV38 AV43:AV44 AV46:AV47 AV50 AV55:AV56 AV58:AV59 AV62 AU38 AU43:AU44 AU46:AU47 AU50 AU55:AU56 AU58:AU59 AU62 AT38 AT43:AT44 AT46:AT47 AT50 AT55:AT56 AT58:AT59 AT62 AS38 AS43:AS44 AS46:AS47 AS50 AS55:AS56 AS58:AS59 AS62 AR38 AR43:AR44 AR46:AR47 AR50 AR55:AR56 AR58:AR59 AR62 AQ38 AQ43:AQ44 AQ46:AQ47 AQ50 AQ55:AQ56 AQ58:AQ59 AQ62 AP38 AP43:AP44 AP46:AP47 AP50 AP55:AP56 AP58:AP59 AP62 AO38 AO43:AO44 AO46:AO47 AO50 AO55:AO56 AO58:AO59 AO62 AN38 AN43:AN44 AN46:AN47 AN50 AN55:AN56 AN58:AN59 AN62 AM38 AM43:AM44 AM46:AM47 AM50 AM55:AM56 AM58:AM59 AM62 AL38 AL43:AL44 AL46:AL47 AL50 AL55:AL56 AL58:AL59 AL62 AK38 AK43:AK44 AK46:AK47 AK50 AK55:AK56 AK58:AK59 AK62 AJ38 AJ43:AJ44 AJ46:AJ47 AJ50 AJ55:AJ56 AJ58:AJ59 AJ62 AI38 AI43:AI44 AI46:AI47 AI50 AI55:AI56 AI58:AI59 AI62 AH38 AH43:AH44 AH46:AH47 AH50 AH55:AH56 AH58:AH59 AH62 AG38 AG43:AG44 AG46:AG47 AG50 AG55:AG56 AG58:AG59 AG62 AF38 AF43:AF44 AF46:AF47 AF50 AF55:AF56 AF58:AF59 AF62 AE38 AE43:AE44 AE46:AE47 AE50 AE55:AE56 AE58:AE59 AE62">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D341A6-302A-A008-A238-4CE4CFBB0B28}" mc:Ignorable="x14ac xr xr2 xr3">
  <sheetPr>
    <tabColor rgb="FF002060"/>
    <outlinePr summaryRight="0" summaryBelow="0"/>
    <pageSetUpPr fitToPage="1"/>
  </sheetPr>
  <dimension ref="A1:BK93"/>
  <sheetViews>
    <sheetView showGridLines="0" workbookViewId="0">
      <pane xSplit="30" ySplit="26" topLeftCell="AI46" activePane="bottomRight" state="frozen"/>
      <selection pane="bottomLeft" activeCell="A27" sqref="A27"/>
      <selection pane="topRight" activeCell="AE1" sqref="AE1"/>
      <selection pane="bottomRight" activeCell="AT53" sqref="AT53:AW53"/>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6.421875" customWidth="1"/>
    <col min="31" max="39" style="220" width="12.6328125" customWidth="1"/>
    <col min="40" max="44" style="220" width="12.6328125" hidden="1" customWidth="1"/>
    <col min="45" max="49" style="220" width="12.6328125" customWidth="1"/>
    <col min="50"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376</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377</v>
      </c>
      <c r="BG1" s="1221" t="s">
        <v>378</v>
      </c>
      <c r="BH1" s="1221" t="s">
        <v>379</v>
      </c>
      <c r="BI1" s="1221" t="s">
        <v>1177</v>
      </c>
      <c r="BJ1" s="1222" t="s">
        <v>382</v>
      </c>
      <c r="BK1" s="1222" t="s">
        <v>383</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430</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431</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432</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388</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379</v>
      </c>
      <c r="AD12" s="1208" t="s">
        <v>1177</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487</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224</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1178</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991</v>
      </c>
      <c r="AC24" s="1535" t="s">
        <v>224</v>
      </c>
      <c r="AD24" s="1527" t="s">
        <v>434</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587</v>
      </c>
    </row>
    <row customHeight="1" ht="48.847500000000004">
      <c r="E25" s="794">
        <v>50.1</v>
      </c>
      <c r="AB25" s="1534"/>
      <c r="AC25" s="1534"/>
      <c r="AD25" s="1534"/>
      <c r="AE25" s="167" t="s">
        <v>407</v>
      </c>
      <c r="AF25" s="1353" t="s">
        <v>588</v>
      </c>
      <c r="AG25" s="167" t="s">
        <v>589</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1179</v>
      </c>
      <c r="T27" s="816">
        <f>X27&gt;0</f>
        <v>0</v>
      </c>
      <c r="V27" s="172" t="s">
        <v>309</v>
      </c>
      <c r="X27" s="156">
        <v>0</v>
      </c>
      <c r="AB27" s="287" cm="1" t="str">
        <f t="array" ref="AB27:AB27">INDEX('Общие сведения'!$AG$169:$AG$218,MATCH($F27,'Общие сведения'!$Z$169:$Z$218,0))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437</v>
      </c>
      <c r="T28" s="816" cm="1" t="str">
        <f t="array" ref="T28:T28">T27</f>
        <v>false</v>
      </c>
      <c r="AB28" s="283">
        <v>1</v>
      </c>
      <c r="AC28" s="278" t="s">
        <v>1180</v>
      </c>
      <c r="AD28" s="277" t="s">
        <v>805</v>
      </c>
      <c r="AE28" s="279">
        <f>SUMIF($AD29:$AD33,$AD28,AE29:AE33)</f>
        <v>0</v>
      </c>
      <c r="AF28" s="279">
        <f>SUMIF($AD29:$AD33,$AD28,AF29:AF33)</f>
        <v>0</v>
      </c>
      <c r="AG28" s="279">
        <f>SUMIF($AD29:$AD33,$AD28,AG29:AG33)</f>
        <v>0</v>
      </c>
      <c r="AH28" s="279">
        <f>SUMIF($AD29:$AD33,$AD28,AH29:AH33)</f>
        <v>0</v>
      </c>
      <c r="AI28" s="279">
        <f>SUMIF($AD29:$AD33,$AD28,AI29:AI33)</f>
        <v>0</v>
      </c>
      <c r="AJ28" s="292">
        <f>SUMIF($AD29:$AD33,$AD28,AJ29:AJ33)</f>
        <v>0</v>
      </c>
      <c r="AK28" s="292">
        <f>SUMIF($AD29:$AD33,$AD28,AK29:AK33)</f>
        <v>0</v>
      </c>
      <c r="AL28" s="292">
        <f>SUMIF($AD29:$AD33,$AD28,AL29:AL33)</f>
        <v>0</v>
      </c>
      <c r="AM28" s="29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79">
        <f>SUMIF($AD29:$AD33,$AD28,AS29:AS33)</f>
        <v>0</v>
      </c>
      <c r="AT28" s="292">
        <f>SUMIF($AD29:$AD33,$AD28,AT29:AT33)</f>
        <v>0</v>
      </c>
      <c r="AU28" s="292">
        <f>SUMIF($AD29:$AD33,$AD28,AU29:AU33)</f>
        <v>0</v>
      </c>
      <c r="AV28" s="292">
        <f>SUMIF($AD29:$AD33,$AD28,AV29:AV33)</f>
        <v>0</v>
      </c>
      <c r="AW28" s="29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1" t="s">
        <v>1005</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437</v>
      </c>
      <c r="H30" s="152" cm="1" t="str">
        <f t="array" ref="H30:H30">AC30</f>
        <v>0</v>
      </c>
      <c r="T30" s="816">
        <f>AND(F30&gt;0,Y30&gt;0)</f>
        <v>0</v>
      </c>
      <c r="W30" s="156" t="s">
        <v>233</v>
      </c>
      <c r="Y30" s="156">
        <v>0</v>
      </c>
      <c r="AA30" s="1533" t="s">
        <v>217</v>
      </c>
      <c r="AB30" s="285" t="str">
        <f>"1."&amp;Y30</f>
        <v>1.0</v>
      </c>
      <c r="AC30" s="460"/>
      <c r="AD30" s="277" t="s">
        <v>805</v>
      </c>
      <c r="AE30" s="332">
        <f>AE31*AE32/1000</f>
        <v>0</v>
      </c>
      <c r="AF30" s="61"/>
      <c r="AG30" s="61"/>
      <c r="AH30" s="332">
        <f>AH31*AH32/1000</f>
        <v>0</v>
      </c>
      <c r="AI30" s="280"/>
      <c r="AJ30" s="280"/>
      <c r="AK30" s="280"/>
      <c r="AL30" s="280"/>
      <c r="AM30" s="280"/>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3"/>
      <c r="BF30" s="1221" t="s">
        <v>1006</v>
      </c>
      <c r="BG30" s="1221" t="s">
        <v>1181</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190</v>
      </c>
      <c r="H31" s="152" cm="1" t="str">
        <f t="array" ref="H31:H31">H30</f>
        <v>0</v>
      </c>
      <c r="T31" s="816" cm="1" t="str">
        <f t="array" ref="T31:T31">T30</f>
        <v>false</v>
      </c>
      <c r="AA31" s="1533"/>
      <c r="AB31" s="285" t="str">
        <f>AB30&amp;".1"</f>
        <v>1.0.1</v>
      </c>
      <c r="AC31" s="291" t="s">
        <v>942</v>
      </c>
      <c r="AD31" s="106" t="s">
        <v>152</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280"/>
      <c r="AU31" s="280"/>
      <c r="AV31" s="280"/>
      <c r="AW31" s="280"/>
      <c r="AX31" s="61"/>
      <c r="AY31" s="61"/>
      <c r="AZ31" s="61"/>
      <c r="BA31" s="61"/>
      <c r="BB31" s="61"/>
      <c r="BC31" s="73"/>
      <c r="BF31" s="1221" t="s">
        <v>1008</v>
      </c>
      <c r="BG31" s="1221" t="s">
        <v>1181</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190</v>
      </c>
      <c r="H32" s="152" cm="1" t="str">
        <f t="array" ref="H32:H32">H30</f>
        <v>0</v>
      </c>
      <c r="T32" s="816" cm="1" t="str">
        <f t="array" ref="T32:T32">T30</f>
        <v>false</v>
      </c>
      <c r="AA32" s="1533"/>
      <c r="AB32" s="285" t="str">
        <f>AB30&amp;".2"</f>
        <v>1.0.2</v>
      </c>
      <c r="AC32" s="291" t="s">
        <v>1182</v>
      </c>
      <c r="AD32" s="106" t="s">
        <v>591</v>
      </c>
      <c r="AE32" s="61"/>
      <c r="AF32" s="61"/>
      <c r="AG32" s="61"/>
      <c r="AH32" s="61"/>
      <c r="AI32" s="280"/>
      <c r="AJ32" s="280"/>
      <c r="AK32" s="280"/>
      <c r="AL32" s="280"/>
      <c r="AM32" s="280"/>
      <c r="AN32" s="61"/>
      <c r="AO32" s="61"/>
      <c r="AP32" s="61"/>
      <c r="AQ32" s="61"/>
      <c r="AR32" s="61"/>
      <c r="AS32" s="280"/>
      <c r="AT32" s="280"/>
      <c r="AU32" s="280"/>
      <c r="AV32" s="280"/>
      <c r="AW32" s="280"/>
      <c r="AX32" s="61"/>
      <c r="AY32" s="61"/>
      <c r="AZ32" s="61"/>
      <c r="BA32" s="61"/>
      <c r="BB32" s="61"/>
      <c r="BC32" s="73"/>
      <c r="BF32" s="1221" t="s">
        <v>1010</v>
      </c>
      <c r="BG32" s="1221" t="s">
        <v>1181</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1183</v>
      </c>
      <c r="AB33" s="299"/>
      <c r="AC33" s="300" t="s">
        <v>978</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1181</v>
      </c>
    </row>
    <row customHeight="1" ht="16.575" hidden="1">
      <c r="E34" s="794">
        <v>17</v>
      </c>
      <c r="F34" s="919" cm="1" t="str">
        <f t="array" ref="F34:F34">F33</f>
        <v>0</v>
      </c>
      <c r="G34" s="190" t="s">
        <v>1184</v>
      </c>
      <c r="T34" s="816">
        <f>F34&gt;0</f>
        <v>0</v>
      </c>
      <c r="AB34" s="283">
        <v>2</v>
      </c>
      <c r="AC34" s="278" t="s">
        <v>1185</v>
      </c>
      <c r="AD34" s="277" t="s">
        <v>805</v>
      </c>
      <c r="AE34" s="279">
        <f>SUMIF($AD35:$AD39,$AD34,AE35:AE39)</f>
        <v>0</v>
      </c>
      <c r="AF34" s="279">
        <f>SUMIF($AD35:$AD39,$AD34,AF35:AF39)</f>
        <v>0</v>
      </c>
      <c r="AG34" s="279">
        <f>SUMIF($AD35:$AD39,$AD34,AG35:AG39)</f>
        <v>0</v>
      </c>
      <c r="AH34" s="279">
        <f>SUMIF($AD35:$AD39,$AD34,AH35:AH39)</f>
        <v>0</v>
      </c>
      <c r="AI34" s="279">
        <f>SUMIF($AD35:$AD39,$AD34,AI35:AI39)</f>
        <v>0</v>
      </c>
      <c r="AJ34" s="292">
        <f>SUMIF($AD35:$AD39,$AD34,AJ35:AJ39)</f>
        <v>0</v>
      </c>
      <c r="AK34" s="292">
        <f>SUMIF($AD35:$AD39,$AD34,AK35:AK39)</f>
        <v>0</v>
      </c>
      <c r="AL34" s="292">
        <f>SUMIF($AD35:$AD39,$AD34,AL35:AL39)</f>
        <v>0</v>
      </c>
      <c r="AM34" s="29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79">
        <f>SUMIF($AD35:$AD39,$AD34,AS35:AS39)</f>
        <v>0</v>
      </c>
      <c r="AT34" s="292">
        <f>SUMIF($AD35:$AD39,$AD34,AT35:AT39)</f>
        <v>0</v>
      </c>
      <c r="AU34" s="292">
        <f>SUMIF($AD35:$AD39,$AD34,AU35:AU39)</f>
        <v>0</v>
      </c>
      <c r="AV34" s="292">
        <f>SUMIF($AD35:$AD39,$AD34,AV35:AV39)</f>
        <v>0</v>
      </c>
      <c r="AW34" s="29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1" t="s">
        <v>1186</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1184</v>
      </c>
      <c r="H36" s="152" cm="1" t="str">
        <f t="array" ref="H36:H36">AC36</f>
        <v>0</v>
      </c>
      <c r="T36" s="816">
        <f>AND(F36&gt;0,Y36&gt;0)</f>
        <v>0</v>
      </c>
      <c r="W36" s="156" t="s">
        <v>233</v>
      </c>
      <c r="Y36" s="156">
        <v>0</v>
      </c>
      <c r="AA36" s="1533" t="s">
        <v>217</v>
      </c>
      <c r="AB36" s="285" t="str">
        <f>"2."&amp;Y36</f>
        <v>2.0</v>
      </c>
      <c r="AC36" s="460"/>
      <c r="AD36" s="277" t="s">
        <v>805</v>
      </c>
      <c r="AE36" s="332">
        <f>AE37*AE38</f>
        <v>0</v>
      </c>
      <c r="AF36" s="61"/>
      <c r="AG36" s="61"/>
      <c r="AH36" s="332">
        <f>AH37*AH38</f>
        <v>0</v>
      </c>
      <c r="AI36" s="280"/>
      <c r="AJ36" s="280"/>
      <c r="AK36" s="280"/>
      <c r="AL36" s="280"/>
      <c r="AM36" s="280"/>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3"/>
      <c r="BF36" s="1221" t="s">
        <v>1187</v>
      </c>
      <c r="BG36" s="1221" t="s">
        <v>1188</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199</v>
      </c>
      <c r="H37" s="152" cm="1" t="str">
        <f t="array" ref="H37:H37">H36</f>
        <v>0</v>
      </c>
      <c r="T37" s="816" cm="1" t="str">
        <f t="array" ref="T37:T37">T36</f>
        <v>false</v>
      </c>
      <c r="AA37" s="1533"/>
      <c r="AB37" s="285" t="str">
        <f>AB36&amp;".1"</f>
        <v>2.0.1</v>
      </c>
      <c r="AC37" s="291" t="s">
        <v>942</v>
      </c>
      <c r="AD37" s="106" t="s">
        <v>152</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280"/>
      <c r="AU37" s="280"/>
      <c r="AV37" s="280"/>
      <c r="AW37" s="280"/>
      <c r="AX37" s="61"/>
      <c r="AY37" s="61"/>
      <c r="AZ37" s="61"/>
      <c r="BA37" s="61"/>
      <c r="BB37" s="61"/>
      <c r="BC37" s="73"/>
      <c r="BF37" s="1221" t="s">
        <v>1189</v>
      </c>
      <c r="BG37" s="1221" t="s">
        <v>1188</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199</v>
      </c>
      <c r="H38" s="152" cm="1" t="str">
        <f t="array" ref="H38:H38">H36</f>
        <v>0</v>
      </c>
      <c r="T38" s="816" cm="1" t="str">
        <f t="array" ref="T38:T38">T36</f>
        <v>false</v>
      </c>
      <c r="AA38" s="1533"/>
      <c r="AB38" s="285" t="str">
        <f>AB36&amp;".2"</f>
        <v>2.0.2</v>
      </c>
      <c r="AC38" s="291" t="s">
        <v>1182</v>
      </c>
      <c r="AD38" s="106" t="s">
        <v>1000</v>
      </c>
      <c r="AE38" s="61"/>
      <c r="AF38" s="61"/>
      <c r="AG38" s="61"/>
      <c r="AH38" s="61"/>
      <c r="AI38" s="280"/>
      <c r="AJ38" s="280"/>
      <c r="AK38" s="280"/>
      <c r="AL38" s="280"/>
      <c r="AM38" s="280"/>
      <c r="AN38" s="61"/>
      <c r="AO38" s="61"/>
      <c r="AP38" s="61"/>
      <c r="AQ38" s="61"/>
      <c r="AR38" s="61"/>
      <c r="AS38" s="280"/>
      <c r="AT38" s="280"/>
      <c r="AU38" s="280"/>
      <c r="AV38" s="280"/>
      <c r="AW38" s="280"/>
      <c r="AX38" s="61"/>
      <c r="AY38" s="61"/>
      <c r="AZ38" s="61"/>
      <c r="BA38" s="61"/>
      <c r="BB38" s="61"/>
      <c r="BC38" s="73"/>
      <c r="BF38" s="1221" t="s">
        <v>1190</v>
      </c>
      <c r="BG38" s="1221" t="s">
        <v>1188</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1191</v>
      </c>
      <c r="AB39" s="299"/>
      <c r="AC39" s="300" t="s">
        <v>978</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1188</v>
      </c>
    </row>
    <row customHeight="1" ht="16.575" hidden="1">
      <c r="E40" s="794">
        <v>17</v>
      </c>
      <c r="F40" s="919" cm="1" t="str">
        <f t="array" ref="F40:F40">F39</f>
        <v>0</v>
      </c>
      <c r="G40" s="190" t="s">
        <v>1192</v>
      </c>
      <c r="T40" s="816">
        <f>F40&gt;0</f>
        <v>0</v>
      </c>
      <c r="AB40" s="283">
        <v>3</v>
      </c>
      <c r="AC40" s="278" t="s">
        <v>1193</v>
      </c>
      <c r="AD40" s="277" t="s">
        <v>805</v>
      </c>
      <c r="AE40" s="279">
        <f>SUMIF($AD41:$AD45,$AD40,AE41:AE45)</f>
        <v>0</v>
      </c>
      <c r="AF40" s="279">
        <f>SUMIF($AD41:$AD45,$AD40,AF41:AF45)</f>
        <v>0</v>
      </c>
      <c r="AG40" s="279">
        <f>SUMIF($AD41:$AD45,$AD40,AG41:AG45)</f>
        <v>0</v>
      </c>
      <c r="AH40" s="279">
        <f>SUMIF($AD41:$AD45,$AD40,AH41:AH45)</f>
        <v>0</v>
      </c>
      <c r="AI40" s="279">
        <f>SUMIF($AD41:$AD45,$AD40,AI41:AI45)</f>
        <v>0</v>
      </c>
      <c r="AJ40" s="292">
        <f>SUMIF($AD41:$AD45,$AD40,AJ41:AJ45)</f>
        <v>0</v>
      </c>
      <c r="AK40" s="292">
        <f>SUMIF($AD41:$AD45,$AD40,AK41:AK45)</f>
        <v>0</v>
      </c>
      <c r="AL40" s="292">
        <f>SUMIF($AD41:$AD45,$AD40,AL41:AL45)</f>
        <v>0</v>
      </c>
      <c r="AM40" s="29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79">
        <f>SUMIF($AD41:$AD45,$AD40,AS41:AS45)</f>
        <v>0</v>
      </c>
      <c r="AT40" s="292">
        <f>SUMIF($AD41:$AD45,$AD40,AT41:AT45)</f>
        <v>0</v>
      </c>
      <c r="AU40" s="292">
        <f>SUMIF($AD41:$AD45,$AD40,AU41:AU45)</f>
        <v>0</v>
      </c>
      <c r="AV40" s="292">
        <f>SUMIF($AD41:$AD45,$AD40,AV41:AV45)</f>
        <v>0</v>
      </c>
      <c r="AW40" s="29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1" t="s">
        <v>1194</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1192</v>
      </c>
      <c r="H42" s="152" cm="1" t="str">
        <f t="array" ref="H42:H42">AC42</f>
        <v>0</v>
      </c>
      <c r="T42" s="816">
        <f>AND(F42&gt;0,Y42&gt;0)</f>
        <v>0</v>
      </c>
      <c r="W42" s="156" t="s">
        <v>233</v>
      </c>
      <c r="Y42" s="156">
        <v>0</v>
      </c>
      <c r="AA42" s="1533" t="s">
        <v>217</v>
      </c>
      <c r="AB42" s="285" t="str">
        <f>"3."&amp;Y42</f>
        <v>3.0</v>
      </c>
      <c r="AC42" s="54"/>
      <c r="AD42" s="277" t="s">
        <v>805</v>
      </c>
      <c r="AE42" s="332">
        <f>AE43*AE44</f>
        <v>0</v>
      </c>
      <c r="AF42" s="61"/>
      <c r="AG42" s="61"/>
      <c r="AH42" s="332">
        <f>AH43*AH44</f>
        <v>0</v>
      </c>
      <c r="AI42" s="280"/>
      <c r="AJ42" s="280"/>
      <c r="AK42" s="280"/>
      <c r="AL42" s="280"/>
      <c r="AM42" s="280"/>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3"/>
      <c r="BF42" s="1221" t="s">
        <v>1195</v>
      </c>
      <c r="BG42" s="1221" t="s">
        <v>1196</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267</v>
      </c>
      <c r="H43" s="152" cm="1" t="str">
        <f t="array" ref="H43:H43">H42</f>
        <v>0</v>
      </c>
      <c r="T43" s="816" cm="1" t="str">
        <f t="array" ref="T43:T43">T42</f>
        <v>false</v>
      </c>
      <c r="AA43" s="1533"/>
      <c r="AB43" s="285" t="str">
        <f>AB42&amp;".1"</f>
        <v>3.0.1</v>
      </c>
      <c r="AC43" s="291" t="s">
        <v>942</v>
      </c>
      <c r="AD43" s="106" t="s">
        <v>152</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280"/>
      <c r="AU43" s="280"/>
      <c r="AV43" s="280"/>
      <c r="AW43" s="280"/>
      <c r="AX43" s="61"/>
      <c r="AY43" s="61"/>
      <c r="AZ43" s="61"/>
      <c r="BA43" s="61"/>
      <c r="BB43" s="61"/>
      <c r="BC43" s="73"/>
      <c r="BF43" s="1221" t="s">
        <v>1197</v>
      </c>
      <c r="BG43" s="1221" t="s">
        <v>1196</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267</v>
      </c>
      <c r="H44" s="152" cm="1" t="str">
        <f t="array" ref="H44:H44">H42</f>
        <v>0</v>
      </c>
      <c r="T44" s="816" cm="1" t="str">
        <f t="array" ref="T44:T44">T42</f>
        <v>false</v>
      </c>
      <c r="AA44" s="1533"/>
      <c r="AB44" s="285" t="str">
        <f>AB42&amp;".2"</f>
        <v>3.0.2</v>
      </c>
      <c r="AC44" s="291" t="s">
        <v>1182</v>
      </c>
      <c r="AD44" s="106"/>
      <c r="AE44" s="61"/>
      <c r="AF44" s="61"/>
      <c r="AG44" s="61"/>
      <c r="AH44" s="61"/>
      <c r="AI44" s="280"/>
      <c r="AJ44" s="280"/>
      <c r="AK44" s="280"/>
      <c r="AL44" s="280"/>
      <c r="AM44" s="280"/>
      <c r="AN44" s="61"/>
      <c r="AO44" s="61"/>
      <c r="AP44" s="61"/>
      <c r="AQ44" s="61"/>
      <c r="AR44" s="61"/>
      <c r="AS44" s="280"/>
      <c r="AT44" s="280"/>
      <c r="AU44" s="280"/>
      <c r="AV44" s="280"/>
      <c r="AW44" s="280"/>
      <c r="AX44" s="61"/>
      <c r="AY44" s="61"/>
      <c r="AZ44" s="61"/>
      <c r="BA44" s="61"/>
      <c r="BB44" s="61"/>
      <c r="BC44" s="73"/>
      <c r="BF44" s="1221" t="s">
        <v>1198</v>
      </c>
      <c r="BG44" s="1221" t="s">
        <v>1196</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1199</v>
      </c>
      <c r="AB45" s="299"/>
      <c r="AC45" s="300" t="s">
        <v>978</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1196</v>
      </c>
    </row>
    <row s="1619" customFormat="1" customHeight="1" ht="10.5">
      <c r="A46" s="1425"/>
      <c r="B46" s="924"/>
      <c r="C46" s="1425"/>
      <c r="D46" s="1425"/>
      <c r="E46" s="794">
        <v>11.4</v>
      </c>
      <c r="F46" s="919" cm="1" t="str">
        <f t="array" ref="F46:F46">X46</f>
        <v>1</v>
      </c>
      <c r="G46" s="190" t="s">
        <v>1179</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W46" s="1440"/>
      <c r="X46" s="156" t="s">
        <v>335</v>
      </c>
      <c r="Y46" s="1440"/>
      <c r="Z46" s="1440"/>
      <c r="AA46" s="220"/>
      <c r="AB46" s="287" cm="1" t="str">
        <f t="array" ref="AB46:AB46">IF(ISBLANK(Аренда!$AB$39),"",Аренда!$AB$39)</f>
        <v>Тариф 1 (Теплоснабжение) - Тариф на тепловую энергию (мощность), поставляемую потребителям (Тариф: Носитель - горячая вода (Т); Носитель - горячая вода (Т))</v>
      </c>
      <c r="AC46" s="257"/>
      <c r="AD46" s="257"/>
      <c r="AE46" s="377">
        <f>AE47+AE56+AE62</f>
        <v>0</v>
      </c>
      <c r="AF46" s="377">
        <f>AF47+AF56+AF62</f>
        <v>0</v>
      </c>
      <c r="AG46" s="377">
        <f>AG47+AG56+AG62</f>
        <v>0</v>
      </c>
      <c r="AH46" s="377">
        <f>AH47+AH56+AH62</f>
        <v>0</v>
      </c>
      <c r="AI46" s="377">
        <f>AI47+AI56+AI62</f>
        <v>4322</v>
      </c>
      <c r="AJ46" s="377">
        <f>AJ47+AJ56+AJ62</f>
        <v>4495</v>
      </c>
      <c r="AK46" s="377">
        <f>AK47+AK56+AK62</f>
        <v>4675</v>
      </c>
      <c r="AL46" s="377">
        <f>AL47+AL56+AL62</f>
        <v>4862</v>
      </c>
      <c r="AM46" s="377">
        <f>AM47+AM56+AM62</f>
        <v>5056</v>
      </c>
      <c r="AN46" s="377">
        <f>AN47+AN56+AN62</f>
        <v>0</v>
      </c>
      <c r="AO46" s="377">
        <f>AO47+AO56+AO62</f>
        <v>0</v>
      </c>
      <c r="AP46" s="377">
        <f>AP47+AP56+AP62</f>
        <v>0</v>
      </c>
      <c r="AQ46" s="377">
        <f>AQ47+AQ56+AQ62</f>
        <v>0</v>
      </c>
      <c r="AR46" s="377">
        <f>AR47+AR56+AR62</f>
        <v>0</v>
      </c>
      <c r="AS46" s="377">
        <f>AS47+AS56+AS62</f>
        <v>4322.00116</v>
      </c>
      <c r="AT46" s="377">
        <f>AT47+AT56+AT62</f>
        <v>4495</v>
      </c>
      <c r="AU46" s="377">
        <f>AU47+AU56+AU62</f>
        <v>4675</v>
      </c>
      <c r="AV46" s="377">
        <f>AV47+AV56+AV62</f>
        <v>4862.00000000001</v>
      </c>
      <c r="AW46" s="377">
        <f>AW47+AW56+AW62</f>
        <v>5056.00000000002</v>
      </c>
      <c r="AX46" s="377">
        <f>AX47+AX56+AX62</f>
        <v>0</v>
      </c>
      <c r="AY46" s="377">
        <f>AY47+AY56+AY62</f>
        <v>0</v>
      </c>
      <c r="AZ46" s="377">
        <f>AZ47+AZ56+AZ62</f>
        <v>0</v>
      </c>
      <c r="BA46" s="377">
        <f>BA47+BA56+BA62</f>
        <v>0</v>
      </c>
      <c r="BB46" s="377">
        <f>BB47+BB56+BB62</f>
        <v>0</v>
      </c>
      <c r="BC46" s="289"/>
      <c r="BD46" s="220"/>
      <c r="BE46" s="220"/>
      <c r="BF46" s="1221"/>
      <c r="BG46" s="1221"/>
      <c r="BH46" s="1221"/>
      <c r="BI46" s="1221"/>
      <c r="BJ46" s="1222"/>
      <c r="BK46" s="1222"/>
    </row>
    <row s="1619" customFormat="1" customHeight="1" ht="10.5">
      <c r="A47" s="1425"/>
      <c r="B47" s="924"/>
      <c r="C47" s="1425"/>
      <c r="D47" s="1425"/>
      <c r="E47" s="794">
        <v>11.4</v>
      </c>
      <c r="F47" s="919" cm="1" t="str">
        <f t="array" ref="F47:F47">F46</f>
        <v>1</v>
      </c>
      <c r="G47" s="190" t="s">
        <v>437</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1180</v>
      </c>
      <c r="AD47" s="277" t="s">
        <v>805</v>
      </c>
      <c r="AE47" s="279">
        <f>SUMIF($AD48:$AD55,$AD47,AE48:AE55)</f>
        <v>0</v>
      </c>
      <c r="AF47" s="279">
        <f>SUMIF($AD48:$AD55,$AD47,AF48:AF55)</f>
        <v>0</v>
      </c>
      <c r="AG47" s="279">
        <f>SUMIF($AD48:$AD55,$AD47,AG48:AG55)</f>
        <v>0</v>
      </c>
      <c r="AH47" s="279">
        <f>SUMIF($AD48:$AD55,$AD47,AH48:AH55)</f>
        <v>0</v>
      </c>
      <c r="AI47" s="279">
        <f>SUMIF($AD48:$AD55,$AD47,AI48:AI55)</f>
        <v>4322</v>
      </c>
      <c r="AJ47" s="292">
        <f>SUMIF($AD48:$AD55,$AD47,AJ48:AJ55)</f>
        <v>4495</v>
      </c>
      <c r="AK47" s="292">
        <f>SUMIF($AD48:$AD55,$AD47,AK48:AK55)</f>
        <v>4675</v>
      </c>
      <c r="AL47" s="292">
        <f>SUMIF($AD48:$AD55,$AD47,AL48:AL55)</f>
        <v>4862</v>
      </c>
      <c r="AM47" s="292">
        <f>SUMIF($AD48:$AD55,$AD47,AM48:AM55)</f>
        <v>5056</v>
      </c>
      <c r="AN47" s="1793">
        <f>SUMIF($AD48:$AD55,$AD47,AN48:AN55)</f>
        <v>0</v>
      </c>
      <c r="AO47" s="1793">
        <f>SUMIF($AD48:$AD55,$AD47,AO48:AO55)</f>
        <v>0</v>
      </c>
      <c r="AP47" s="1793">
        <f>SUMIF($AD48:$AD55,$AD47,AP48:AP55)</f>
        <v>0</v>
      </c>
      <c r="AQ47" s="1793">
        <f>SUMIF($AD48:$AD55,$AD47,AQ48:AQ55)</f>
        <v>0</v>
      </c>
      <c r="AR47" s="1793">
        <f>SUMIF($AD48:$AD55,$AD47,AR48:AR55)</f>
        <v>0</v>
      </c>
      <c r="AS47" s="279">
        <f>SUMIF($AD48:$AD55,$AD47,AS48:AS55)</f>
        <v>4322.00116</v>
      </c>
      <c r="AT47" s="292">
        <f>SUMIF($AD48:$AD55,$AD47,AT48:AT55)</f>
        <v>4495</v>
      </c>
      <c r="AU47" s="292">
        <f>SUMIF($AD48:$AD55,$AD47,AU48:AU55)</f>
        <v>4675</v>
      </c>
      <c r="AV47" s="292">
        <f>SUMIF($AD48:$AD55,$AD47,AV48:AV55)</f>
        <v>4862.00000000001</v>
      </c>
      <c r="AW47" s="292">
        <f>SUMIF($AD48:$AD55,$AD47,AW48:AW55)</f>
        <v>5056.00000000002</v>
      </c>
      <c r="AX47" s="1793">
        <f>SUMIF($AD48:$AD55,$AD47,AX48:AX55)</f>
        <v>0</v>
      </c>
      <c r="AY47" s="1793">
        <f>SUMIF($AD48:$AD55,$AD47,AY48:AY55)</f>
        <v>0</v>
      </c>
      <c r="AZ47" s="1793">
        <f>SUMIF($AD48:$AD55,$AD47,AZ48:AZ55)</f>
        <v>0</v>
      </c>
      <c r="BA47" s="1793">
        <f>SUMIF($AD48:$AD55,$AD47,BA48:BA55)</f>
        <v>0</v>
      </c>
      <c r="BB47" s="1793">
        <f>SUMIF($AD48:$AD55,$AD47,BB48:BB55)</f>
        <v>0</v>
      </c>
      <c r="BC47" s="1730"/>
      <c r="BD47" s="220"/>
      <c r="BE47" s="220"/>
      <c r="BF47" s="1221" t="s">
        <v>1005</v>
      </c>
      <c r="BG47" s="1221"/>
      <c r="BH47" s="1221"/>
      <c r="BI47" s="1221"/>
      <c r="BJ47" s="1222"/>
      <c r="BK47" s="1222"/>
    </row>
    <row s="1619"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19" customFormat="1" customHeight="1" ht="17.25" hidden="1">
      <c r="A49" s="1122" t="str">
        <f>"checkCosts_1."&amp;F49&amp;"."&amp;Y49</f>
        <v>checkCosts_1.1.0</v>
      </c>
      <c r="E49" s="794">
        <v>18</v>
      </c>
      <c r="F49" s="919" cm="1" t="str">
        <f t="array" ref="F49:F49">OFFSET(G49,-1,-1)</f>
        <v>1</v>
      </c>
      <c r="G49" s="190" t="s">
        <v>437</v>
      </c>
      <c r="H49" s="152" cm="1" t="str">
        <f t="array" ref="H49:H49">AC49</f>
        <v>0</v>
      </c>
      <c r="T49" s="816">
        <f>AND(F49&gt;0,Y49&gt;0)</f>
        <v>0</v>
      </c>
      <c r="W49" s="156" t="s">
        <v>233</v>
      </c>
      <c r="Y49" s="156">
        <v>0</v>
      </c>
      <c r="AA49" s="1533" t="s">
        <v>217</v>
      </c>
      <c r="AB49" s="285" t="str">
        <f>"1."&amp;Y49</f>
        <v>1.0</v>
      </c>
      <c r="AC49" s="460"/>
      <c r="AD49" s="277" t="s">
        <v>805</v>
      </c>
      <c r="AE49" s="332">
        <f>AE50*AE51/1000</f>
        <v>0</v>
      </c>
      <c r="AF49" s="61"/>
      <c r="AG49" s="61"/>
      <c r="AH49" s="332">
        <f>AH50*AH51/1000</f>
        <v>0</v>
      </c>
      <c r="AI49" s="280"/>
      <c r="AJ49" s="280"/>
      <c r="AK49" s="280"/>
      <c r="AL49" s="280"/>
      <c r="AM49" s="280"/>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3"/>
      <c r="BF49" s="1221" t="s">
        <v>1006</v>
      </c>
      <c r="BG49" s="1221" t="s">
        <v>1181</v>
      </c>
      <c r="BH49" s="1221" cm="1" t="str">
        <f t="array" ref="BH49:BH49">AC49</f>
        <v>0</v>
      </c>
      <c r="BI49" s="1221" cm="1" t="str">
        <f t="array" ref="BI49:BI49">AD51</f>
        <v>Гкал</v>
      </c>
      <c r="BJ49" s="1222"/>
      <c r="BK49" s="1222" t="b">
        <v>1</v>
      </c>
    </row>
    <row s="1387" customFormat="1" customHeight="1" ht="16.5" hidden="1">
      <c r="E50" s="794">
        <v>17</v>
      </c>
      <c r="F50" s="919" cm="1" t="str">
        <f t="array" ref="F50:F50">F48</f>
        <v>1</v>
      </c>
      <c r="G50" s="190" t="s">
        <v>190</v>
      </c>
      <c r="H50" s="152" cm="1" t="str">
        <f t="array" ref="H50:H50">H49</f>
        <v>0</v>
      </c>
      <c r="T50" s="816" cm="1" t="str">
        <f t="array" ref="T50:T50">T49</f>
        <v>false</v>
      </c>
      <c r="AA50" s="1533"/>
      <c r="AB50" s="285" t="str">
        <f>AB49&amp;".1"</f>
        <v>1.0.1</v>
      </c>
      <c r="AC50" s="291" t="s">
        <v>942</v>
      </c>
      <c r="AD50" s="106" t="s">
        <v>152</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280"/>
      <c r="AU50" s="280"/>
      <c r="AV50" s="280"/>
      <c r="AW50" s="280"/>
      <c r="AX50" s="61"/>
      <c r="AY50" s="61"/>
      <c r="AZ50" s="61"/>
      <c r="BA50" s="61"/>
      <c r="BB50" s="61"/>
      <c r="BC50" s="73"/>
      <c r="BF50" s="1221" t="s">
        <v>1008</v>
      </c>
      <c r="BG50" s="1221" t="s">
        <v>1181</v>
      </c>
      <c r="BH50" s="1221" cm="1" t="str">
        <f t="array" ref="BH50:BH50">BH49</f>
        <v>0</v>
      </c>
      <c r="BI50" s="1221" cm="1" t="str">
        <f t="array" ref="BI50:BI50">BI49</f>
        <v>Гкал</v>
      </c>
      <c r="BJ50" s="1222"/>
      <c r="BK50" s="1222"/>
    </row>
    <row s="1619" customFormat="1" customHeight="1" ht="16.5" hidden="1">
      <c r="A51" s="1122" t="str">
        <f>"checkVolume_1."&amp;F51&amp;"."&amp;Y49</f>
        <v>checkVolume_1.1.0</v>
      </c>
      <c r="E51" s="794">
        <v>17</v>
      </c>
      <c r="F51" s="919" cm="1" t="str">
        <f t="array" ref="F51:F51">F49</f>
        <v>1</v>
      </c>
      <c r="G51" s="190" t="s">
        <v>190</v>
      </c>
      <c r="H51" s="152" cm="1" t="str">
        <f t="array" ref="H51:H51">H49</f>
        <v>0</v>
      </c>
      <c r="T51" s="816" cm="1" t="str">
        <f t="array" ref="T51:T51">T49</f>
        <v>false</v>
      </c>
      <c r="AA51" s="1533"/>
      <c r="AB51" s="285" t="str">
        <f>AB49&amp;".2"</f>
        <v>1.0.2</v>
      </c>
      <c r="AC51" s="291" t="s">
        <v>1182</v>
      </c>
      <c r="AD51" s="106" t="s">
        <v>591</v>
      </c>
      <c r="AE51" s="61"/>
      <c r="AF51" s="61"/>
      <c r="AG51" s="61"/>
      <c r="AH51" s="61"/>
      <c r="AI51" s="280"/>
      <c r="AJ51" s="280"/>
      <c r="AK51" s="280"/>
      <c r="AL51" s="280"/>
      <c r="AM51" s="280"/>
      <c r="AN51" s="61"/>
      <c r="AO51" s="61"/>
      <c r="AP51" s="61"/>
      <c r="AQ51" s="61"/>
      <c r="AR51" s="61"/>
      <c r="AS51" s="280"/>
      <c r="AT51" s="280"/>
      <c r="AU51" s="280"/>
      <c r="AV51" s="280"/>
      <c r="AW51" s="280"/>
      <c r="AX51" s="61"/>
      <c r="AY51" s="61"/>
      <c r="AZ51" s="61"/>
      <c r="BA51" s="61"/>
      <c r="BB51" s="61"/>
      <c r="BC51" s="73"/>
      <c r="BF51" s="1221" t="s">
        <v>1010</v>
      </c>
      <c r="BG51" s="1221" t="s">
        <v>1181</v>
      </c>
      <c r="BH51" s="1221" cm="1" t="str">
        <f t="array" ref="BH51:BH51">BH49</f>
        <v>0</v>
      </c>
      <c r="BI51" s="1221" cm="1" t="str">
        <f t="array" ref="BI51:BI51">BI49</f>
        <v>Гкал</v>
      </c>
      <c r="BJ51" s="1222"/>
      <c r="BK51" s="1222"/>
    </row>
    <row s="1619" customFormat="1" customHeight="1" ht="17.25">
      <c r="A52" s="1122" t="str">
        <f>"checkCosts_1."&amp;F52&amp;"."&amp;Y52</f>
        <v>checkCosts_1.1.1</v>
      </c>
      <c r="B52" s="1619"/>
      <c r="C52" s="1619"/>
      <c r="D52" s="1619"/>
      <c r="E52" s="794">
        <v>18</v>
      </c>
      <c r="F52" s="919" cm="1" t="str">
        <f t="array" ref="F52:F52">OFFSET(G52,-1,-1)</f>
        <v>1</v>
      </c>
      <c r="G52" s="190" t="s">
        <v>437</v>
      </c>
      <c r="H52" s="152" cm="1" t="str">
        <f t="array" ref="H52:H52">AC52</f>
        <v>ООО "Сибэнерго"::4217085977::540601001</v>
      </c>
      <c r="I52" s="1619"/>
      <c r="J52" s="1619"/>
      <c r="K52" s="1619"/>
      <c r="L52" s="1619"/>
      <c r="M52" s="1619"/>
      <c r="N52" s="1619"/>
      <c r="O52" s="1619"/>
      <c r="P52" s="1619"/>
      <c r="Q52" s="1619"/>
      <c r="R52" s="1619"/>
      <c r="S52" s="1619"/>
      <c r="T52" s="816">
        <f>AND(F52&gt;0,Y52&gt;0)</f>
        <v>1</v>
      </c>
      <c r="U52" s="1619"/>
      <c r="V52" s="1619"/>
      <c r="W52" s="156"/>
      <c r="X52" s="1619"/>
      <c r="Y52" s="156" t="s">
        <v>335</v>
      </c>
      <c r="Z52" s="1619"/>
      <c r="AA52" s="1533" t="s">
        <v>217</v>
      </c>
      <c r="AB52" s="285" t="str">
        <f>"1."&amp;Y52</f>
        <v>1.1</v>
      </c>
      <c r="AC52" s="460" t="s">
        <v>1200</v>
      </c>
      <c r="AD52" s="277" t="s">
        <v>805</v>
      </c>
      <c r="AE52" s="332">
        <f>AE53*AE54/1000</f>
        <v>0</v>
      </c>
      <c r="AF52" s="1666"/>
      <c r="AG52" s="1666"/>
      <c r="AH52" s="332">
        <f>AH53*AH54/1000</f>
        <v>0</v>
      </c>
      <c r="AI52" s="280">
        <v>4322</v>
      </c>
      <c r="AJ52" s="280">
        <v>4495</v>
      </c>
      <c r="AK52" s="280">
        <v>4675</v>
      </c>
      <c r="AL52" s="280">
        <v>4862</v>
      </c>
      <c r="AM52" s="280">
        <v>5056</v>
      </c>
      <c r="AN52" s="1666"/>
      <c r="AO52" s="1666"/>
      <c r="AP52" s="1666"/>
      <c r="AQ52" s="1666"/>
      <c r="AR52" s="1666"/>
      <c r="AS52" s="332">
        <f>AS53*AS54/1000</f>
        <v>4322.00116</v>
      </c>
      <c r="AT52" s="332">
        <f>AT53*AT54/1000</f>
        <v>4495</v>
      </c>
      <c r="AU52" s="332">
        <f>AU53*AU54/1000</f>
        <v>4675</v>
      </c>
      <c r="AV52" s="332">
        <f>AV53*AV54/1000</f>
        <v>4862.00000000001</v>
      </c>
      <c r="AW52" s="332">
        <f>AW53*AW54/1000</f>
        <v>5056.00000000002</v>
      </c>
      <c r="AX52" s="332">
        <f>AX53*AX54/1000</f>
        <v>0</v>
      </c>
      <c r="AY52" s="332">
        <f>AY53*AY54/1000</f>
        <v>0</v>
      </c>
      <c r="AZ52" s="332">
        <f>AZ53*AZ54/1000</f>
        <v>0</v>
      </c>
      <c r="BA52" s="332">
        <f>BA53*BA54/1000</f>
        <v>0</v>
      </c>
      <c r="BB52" s="332">
        <f>BB53*BB54/1000</f>
        <v>0</v>
      </c>
      <c r="BC52" s="1730"/>
      <c r="BD52" s="1619"/>
      <c r="BE52" s="1619"/>
      <c r="BF52" s="1221" t="s">
        <v>1006</v>
      </c>
      <c r="BG52" s="1221" t="s">
        <v>1181</v>
      </c>
      <c r="BH52" s="1221" cm="1" t="str">
        <f t="array" ref="BH52:BH52">AC52</f>
        <v>ООО "Сибэнерго"::4217085977::540601001</v>
      </c>
      <c r="BI52" s="1221" cm="1" t="str">
        <f t="array" ref="BI52:BI52">AD54</f>
        <v>Гкал</v>
      </c>
      <c r="BJ52" s="1222"/>
      <c r="BK52" s="1222" t="b">
        <v>1</v>
      </c>
    </row>
    <row s="1387" customFormat="1" customHeight="1" ht="16.5">
      <c r="A53" s="1387"/>
      <c r="B53" s="1387"/>
      <c r="C53" s="1387"/>
      <c r="D53" s="1387"/>
      <c r="E53" s="794">
        <v>17</v>
      </c>
      <c r="F53" s="919" cm="1" t="str">
        <f t="array" ref="F53:F53">F51</f>
        <v>1</v>
      </c>
      <c r="G53" s="190" t="s">
        <v>190</v>
      </c>
      <c r="H53" s="152" cm="1" t="str">
        <f t="array" ref="H53:H53">H52</f>
        <v>ООО "Сибэнерго"::4217085977::540601001</v>
      </c>
      <c r="I53" s="1387"/>
      <c r="J53" s="1387"/>
      <c r="K53" s="1387"/>
      <c r="L53" s="1387"/>
      <c r="M53" s="1387"/>
      <c r="N53" s="1387"/>
      <c r="O53" s="1387"/>
      <c r="P53" s="1387"/>
      <c r="Q53" s="1387"/>
      <c r="R53" s="1387"/>
      <c r="S53" s="1387"/>
      <c r="T53" s="816" cm="1" t="str">
        <f t="array" ref="T53:T53">T52</f>
        <v>true</v>
      </c>
      <c r="U53" s="1387"/>
      <c r="V53" s="1387"/>
      <c r="W53" s="1387"/>
      <c r="X53" s="1387"/>
      <c r="Y53" s="1387"/>
      <c r="Z53" s="1387"/>
      <c r="AA53" s="1533"/>
      <c r="AB53" s="285" t="str">
        <f>AB52&amp;".1"</f>
        <v>1.1.1</v>
      </c>
      <c r="AC53" s="291" t="s">
        <v>942</v>
      </c>
      <c r="AD53" s="1818" t="s">
        <v>895</v>
      </c>
      <c r="AE53" s="1666"/>
      <c r="AF53" s="332">
        <f>IF(AF54=0,0,AF52/AF54)*1000</f>
        <v>0</v>
      </c>
      <c r="AG53" s="332">
        <f>IF(AG54=0,0,AG52/AG54)*1000</f>
        <v>0</v>
      </c>
      <c r="AH53" s="1666"/>
      <c r="AI53" s="332">
        <f>IF(AI54=0,0,AI52/AI54)*1000</f>
        <v>1096.11970580776</v>
      </c>
      <c r="AJ53" s="332">
        <f>IF(AJ54=0,0,AJ52/AJ54)*1000</f>
        <v>1139.99492772001</v>
      </c>
      <c r="AK53" s="332">
        <f>IF(AK54=0,0,AK52/AK54)*1000</f>
        <v>1185.64544762871</v>
      </c>
      <c r="AL53" s="332">
        <f>IF(AL54=0,0,AL52/AL54)*1000</f>
        <v>1233.07126553386</v>
      </c>
      <c r="AM53" s="332">
        <f>IF(AM54=0,0,AM52/AM54)*1000</f>
        <v>1282.27238143546</v>
      </c>
      <c r="AN53" s="332">
        <f>IF(AN54=0,0,AN52/AN54)*1000</f>
        <v>0</v>
      </c>
      <c r="AO53" s="332">
        <f>IF(AO54=0,0,AO52/AO54)*1000</f>
        <v>0</v>
      </c>
      <c r="AP53" s="332">
        <f>IF(AP54=0,0,AP52/AP54)*1000</f>
        <v>0</v>
      </c>
      <c r="AQ53" s="332">
        <f>IF(AQ54=0,0,AQ52/AQ54)*1000</f>
        <v>0</v>
      </c>
      <c r="AR53" s="332">
        <f>IF(AR54=0,0,AR52/AR54)*1000</f>
        <v>0</v>
      </c>
      <c r="AS53" s="280">
        <v>1096.12</v>
      </c>
      <c r="AT53" s="280">
        <v>1139.99492772001</v>
      </c>
      <c r="AU53" s="280">
        <v>1185.64544762871</v>
      </c>
      <c r="AV53" s="280">
        <v>1233.07126553386</v>
      </c>
      <c r="AW53" s="280">
        <v>1282.27238143546</v>
      </c>
      <c r="AX53" s="1666"/>
      <c r="AY53" s="1666"/>
      <c r="AZ53" s="1666"/>
      <c r="BA53" s="1666"/>
      <c r="BB53" s="1666"/>
      <c r="BC53" s="1730"/>
      <c r="BD53" s="1387"/>
      <c r="BE53" s="1387"/>
      <c r="BF53" s="1221" t="s">
        <v>1008</v>
      </c>
      <c r="BG53" s="1221" t="s">
        <v>1181</v>
      </c>
      <c r="BH53" s="1221" cm="1" t="str">
        <f t="array" ref="BH53:BH53">BH52</f>
        <v>ООО "Сибэнерго"::4217085977::540601001</v>
      </c>
      <c r="BI53" s="1221" cm="1" t="str">
        <f t="array" ref="BI53:BI53">BI52</f>
        <v>Гкал</v>
      </c>
      <c r="BJ53" s="1222"/>
      <c r="BK53" s="1222"/>
    </row>
    <row s="1619" customFormat="1" customHeight="1" ht="16.5">
      <c r="A54" s="1122" t="str">
        <f>"checkVolume_1."&amp;F54&amp;"."&amp;Y52</f>
        <v>checkVolume_1.1.1</v>
      </c>
      <c r="B54" s="1619"/>
      <c r="C54" s="1619"/>
      <c r="D54" s="1619"/>
      <c r="E54" s="794">
        <v>17</v>
      </c>
      <c r="F54" s="919" cm="1" t="str">
        <f t="array" ref="F54:F54">F52</f>
        <v>1</v>
      </c>
      <c r="G54" s="190" t="s">
        <v>190</v>
      </c>
      <c r="H54" s="152" cm="1" t="str">
        <f t="array" ref="H54:H54">H52</f>
        <v>ООО "Сибэнерго"::4217085977::540601001</v>
      </c>
      <c r="I54" s="1619"/>
      <c r="J54" s="1619"/>
      <c r="K54" s="1619"/>
      <c r="L54" s="1619"/>
      <c r="M54" s="1619"/>
      <c r="N54" s="1619"/>
      <c r="O54" s="1619"/>
      <c r="P54" s="1619"/>
      <c r="Q54" s="1619"/>
      <c r="R54" s="1619"/>
      <c r="S54" s="1619"/>
      <c r="T54" s="816" cm="1" t="str">
        <f t="array" ref="T54:T54">T52</f>
        <v>true</v>
      </c>
      <c r="U54" s="1619"/>
      <c r="V54" s="1619"/>
      <c r="W54" s="1619"/>
      <c r="X54" s="1619"/>
      <c r="Y54" s="1619"/>
      <c r="Z54" s="1619"/>
      <c r="AA54" s="1533"/>
      <c r="AB54" s="285" t="str">
        <f>AB52&amp;".2"</f>
        <v>1.1.2</v>
      </c>
      <c r="AC54" s="291" t="s">
        <v>1182</v>
      </c>
      <c r="AD54" s="1818" t="s">
        <v>591</v>
      </c>
      <c r="AE54" s="1666"/>
      <c r="AF54" s="1666"/>
      <c r="AG54" s="1666"/>
      <c r="AH54" s="1666"/>
      <c r="AI54" s="280">
        <v>3943</v>
      </c>
      <c r="AJ54" s="280">
        <v>3943</v>
      </c>
      <c r="AK54" s="280">
        <v>3943</v>
      </c>
      <c r="AL54" s="280">
        <v>3943</v>
      </c>
      <c r="AM54" s="280">
        <v>3943</v>
      </c>
      <c r="AN54" s="1666"/>
      <c r="AO54" s="1666"/>
      <c r="AP54" s="1666"/>
      <c r="AQ54" s="1666"/>
      <c r="AR54" s="1666"/>
      <c r="AS54" s="280">
        <v>3943</v>
      </c>
      <c r="AT54" s="280">
        <v>3943</v>
      </c>
      <c r="AU54" s="280">
        <v>3943</v>
      </c>
      <c r="AV54" s="280">
        <v>3943</v>
      </c>
      <c r="AW54" s="280">
        <v>3943</v>
      </c>
      <c r="AX54" s="1666"/>
      <c r="AY54" s="1666"/>
      <c r="AZ54" s="1666"/>
      <c r="BA54" s="1666"/>
      <c r="BB54" s="1666"/>
      <c r="BC54" s="1730"/>
      <c r="BD54" s="1619"/>
      <c r="BE54" s="1619"/>
      <c r="BF54" s="1221" t="s">
        <v>1010</v>
      </c>
      <c r="BG54" s="1221" t="s">
        <v>1181</v>
      </c>
      <c r="BH54" s="1221" cm="1" t="str">
        <f t="array" ref="BH54:BH54">BH52</f>
        <v>ООО "Сибэнерго"::4217085977::540601001</v>
      </c>
      <c r="BI54" s="1221" cm="1" t="str">
        <f t="array" ref="BI54:BI54">BI52</f>
        <v>Гкал</v>
      </c>
      <c r="BJ54" s="1222"/>
      <c r="BK54" s="1222"/>
    </row>
    <row s="1619" customFormat="1" customHeight="1" ht="16.5">
      <c r="A55" s="1425"/>
      <c r="B55" s="924"/>
      <c r="C55" s="1425"/>
      <c r="D55" s="1425"/>
      <c r="E55" s="794">
        <v>17</v>
      </c>
      <c r="F55" s="919" cm="1" t="str">
        <f t="array" ref="F55:F55">F48</f>
        <v>1</v>
      </c>
      <c r="G55" s="190" t="str">
        <f>F55&amp;"pIns3"</f>
        <v>1pIns3</v>
      </c>
      <c r="H55" s="1532"/>
      <c r="I55" s="1532"/>
      <c r="J55" s="1532"/>
      <c r="K55" s="1532"/>
      <c r="L55" s="1532"/>
      <c r="M55" s="1532"/>
      <c r="N55" s="1532"/>
      <c r="O55" s="1532"/>
      <c r="P55" s="1532"/>
      <c r="Q55" s="190"/>
      <c r="R55" s="190"/>
      <c r="S55" s="1532"/>
      <c r="T55" s="816">
        <f>F55&gt;0</f>
        <v>1</v>
      </c>
      <c r="U55" s="1440"/>
      <c r="V55" s="1440"/>
      <c r="W55" s="371" t="s">
        <v>1183</v>
      </c>
      <c r="X55" s="1440"/>
      <c r="Y55" s="1440"/>
      <c r="Z55" s="1440"/>
      <c r="AA55" s="220"/>
      <c r="AB55" s="299"/>
      <c r="AC55" s="300" t="s">
        <v>978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1098"/>
      <c r="BD55" s="220"/>
      <c r="BE55" s="220"/>
      <c r="BF55" s="1221" t="str">
        <f>IF(AND(ISNUMBER(VALUE(TRIM(SUBSTITUTE(AB55,".","")))),TRIM(SUBSTITUTE(AB55,".",""))&lt;&gt;""),"P"&amp;SUBSTITUTE(AB55,".",""),"")</f>
        <v/>
      </c>
      <c r="BG55" s="1221"/>
      <c r="BH55" s="1221"/>
      <c r="BI55" s="1221"/>
      <c r="BJ55" s="1222" t="s">
        <v>1181</v>
      </c>
      <c r="BK55" s="1222"/>
    </row>
    <row s="1619" customFormat="1" customHeight="1" ht="16.5">
      <c r="A56" s="1425"/>
      <c r="B56" s="924"/>
      <c r="C56" s="1425"/>
      <c r="D56" s="1425"/>
      <c r="E56" s="794">
        <v>17</v>
      </c>
      <c r="F56" s="919" cm="1" t="str">
        <f t="array" ref="F56:F56">F55</f>
        <v>1</v>
      </c>
      <c r="G56" s="190" t="s">
        <v>1184</v>
      </c>
      <c r="H56" s="1532"/>
      <c r="I56" s="1532"/>
      <c r="J56" s="1532"/>
      <c r="K56" s="1532"/>
      <c r="L56" s="1532"/>
      <c r="M56" s="1532"/>
      <c r="N56" s="1532"/>
      <c r="O56" s="1532"/>
      <c r="P56" s="1532"/>
      <c r="Q56" s="190"/>
      <c r="R56" s="190"/>
      <c r="S56" s="1532"/>
      <c r="T56" s="816">
        <f>F56&gt;0</f>
        <v>1</v>
      </c>
      <c r="U56" s="1440"/>
      <c r="V56" s="1440"/>
      <c r="W56" s="1440"/>
      <c r="X56" s="1440"/>
      <c r="Y56" s="1440"/>
      <c r="Z56" s="1440"/>
      <c r="AA56" s="220"/>
      <c r="AB56" s="283">
        <v>2</v>
      </c>
      <c r="AC56" s="278" t="s">
        <v>1185</v>
      </c>
      <c r="AD56" s="277" t="s">
        <v>805</v>
      </c>
      <c r="AE56" s="279">
        <f>SUMIF($AD57:$AD61,$AD56,AE57:AE61)</f>
        <v>0</v>
      </c>
      <c r="AF56" s="279">
        <f>SUMIF($AD57:$AD61,$AD56,AF57:AF61)</f>
        <v>0</v>
      </c>
      <c r="AG56" s="279">
        <f>SUMIF($AD57:$AD61,$AD56,AG57:AG61)</f>
        <v>0</v>
      </c>
      <c r="AH56" s="279">
        <f>SUMIF($AD57:$AD61,$AD56,AH57:AH61)</f>
        <v>0</v>
      </c>
      <c r="AI56" s="279">
        <f>SUMIF($AD57:$AD61,$AD56,AI57:AI61)</f>
        <v>0</v>
      </c>
      <c r="AJ56" s="292">
        <f>SUMIF($AD57:$AD61,$AD56,AJ57:AJ61)</f>
        <v>0</v>
      </c>
      <c r="AK56" s="292">
        <f>SUMIF($AD57:$AD61,$AD56,AK57:AK61)</f>
        <v>0</v>
      </c>
      <c r="AL56" s="292">
        <f>SUMIF($AD57:$AD61,$AD56,AL57:AL61)</f>
        <v>0</v>
      </c>
      <c r="AM56" s="292">
        <f>SUMIF($AD57:$AD61,$AD56,AM57:AM61)</f>
        <v>0</v>
      </c>
      <c r="AN56" s="1793">
        <f>SUMIF($AD57:$AD61,$AD56,AN57:AN61)</f>
        <v>0</v>
      </c>
      <c r="AO56" s="1793">
        <f>SUMIF($AD57:$AD61,$AD56,AO57:AO61)</f>
        <v>0</v>
      </c>
      <c r="AP56" s="1793">
        <f>SUMIF($AD57:$AD61,$AD56,AP57:AP61)</f>
        <v>0</v>
      </c>
      <c r="AQ56" s="1793">
        <f>SUMIF($AD57:$AD61,$AD56,AQ57:AQ61)</f>
        <v>0</v>
      </c>
      <c r="AR56" s="1793">
        <f>SUMIF($AD57:$AD61,$AD56,AR57:AR61)</f>
        <v>0</v>
      </c>
      <c r="AS56" s="279">
        <f>SUMIF($AD57:$AD61,$AD56,AS57:AS61)</f>
        <v>0</v>
      </c>
      <c r="AT56" s="292">
        <f>SUMIF($AD57:$AD61,$AD56,AT57:AT61)</f>
        <v>0</v>
      </c>
      <c r="AU56" s="292">
        <f>SUMIF($AD57:$AD61,$AD56,AU57:AU61)</f>
        <v>0</v>
      </c>
      <c r="AV56" s="292">
        <f>SUMIF($AD57:$AD61,$AD56,AV57:AV61)</f>
        <v>0</v>
      </c>
      <c r="AW56" s="292">
        <f>SUMIF($AD57:$AD61,$AD56,AW57:AW61)</f>
        <v>0</v>
      </c>
      <c r="AX56" s="1793">
        <f>SUMIF($AD57:$AD61,$AD56,AX57:AX61)</f>
        <v>0</v>
      </c>
      <c r="AY56" s="1793">
        <f>SUMIF($AD57:$AD61,$AD56,AY57:AY61)</f>
        <v>0</v>
      </c>
      <c r="AZ56" s="1793">
        <f>SUMIF($AD57:$AD61,$AD56,AZ57:AZ61)</f>
        <v>0</v>
      </c>
      <c r="BA56" s="1793">
        <f>SUMIF($AD57:$AD61,$AD56,BA57:BA61)</f>
        <v>0</v>
      </c>
      <c r="BB56" s="1793">
        <f>SUMIF($AD57:$AD61,$AD56,BB57:BB61)</f>
        <v>0</v>
      </c>
      <c r="BC56" s="1730"/>
      <c r="BD56" s="220"/>
      <c r="BE56" s="220"/>
      <c r="BF56" s="1221" t="s">
        <v>1186</v>
      </c>
      <c r="BG56" s="1221"/>
      <c r="BH56" s="1221"/>
      <c r="BI56" s="1221"/>
      <c r="BJ56" s="1222"/>
      <c r="BK56" s="1222"/>
    </row>
    <row s="1619" customFormat="1" customHeight="1" ht="0" hidden="1">
      <c r="A57" s="1425"/>
      <c r="B57" s="924"/>
      <c r="C57" s="1425"/>
      <c r="D57" s="1425"/>
      <c r="E57" s="794">
        <v>0.2</v>
      </c>
      <c r="F57" s="919" cm="1" t="str">
        <f t="array" ref="F57:F57">F56</f>
        <v>1</v>
      </c>
      <c r="G57" s="1532"/>
      <c r="H57" s="1532"/>
      <c r="I57" s="1532"/>
      <c r="J57" s="1532"/>
      <c r="K57" s="1532"/>
      <c r="L57" s="1532"/>
      <c r="M57" s="1532"/>
      <c r="N57" s="1532"/>
      <c r="O57" s="1532"/>
      <c r="P57" s="1532"/>
      <c r="Q57" s="190"/>
      <c r="R57" s="190"/>
      <c r="S57" s="1532"/>
      <c r="T57" s="816" t="b">
        <v>0</v>
      </c>
      <c r="U57" s="1440"/>
      <c r="V57" s="1440"/>
      <c r="W57" s="1440"/>
      <c r="X57" s="1440"/>
      <c r="Y57" s="1440"/>
      <c r="Z57" s="1440"/>
      <c r="AA57" s="220"/>
      <c r="AB57" s="283"/>
      <c r="AC57" s="278"/>
      <c r="AD57" s="277"/>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90"/>
      <c r="BD57" s="220"/>
      <c r="BE57" s="220"/>
      <c r="BF57" s="1221" t="str">
        <f>IF(AND(ISNUMBER(VALUE(TRIM(SUBSTITUTE(AB57,".","")))),TRIM(SUBSTITUTE(AB57,".",""))&lt;&gt;""),"P"&amp;SUBSTITUTE(AB57,".",""),"")</f>
        <v/>
      </c>
      <c r="BG57" s="1221"/>
      <c r="BH57" s="1221"/>
      <c r="BI57" s="1221"/>
      <c r="BJ57" s="1222"/>
      <c r="BK57" s="1222"/>
    </row>
    <row s="1619" customFormat="1" customHeight="1" ht="17.25" hidden="1">
      <c r="A58" s="1122" t="str">
        <f>"checkCosts_2."&amp;F58&amp;"."&amp;Y58</f>
        <v>checkCosts_2.1.0</v>
      </c>
      <c r="B58" s="924"/>
      <c r="C58" s="1425"/>
      <c r="D58" s="1425"/>
      <c r="E58" s="794">
        <v>18</v>
      </c>
      <c r="F58" s="919" cm="1" t="str">
        <f t="array" ref="F58:F58">OFFSET(G58,-1,-1)</f>
        <v>1</v>
      </c>
      <c r="G58" s="190" t="s">
        <v>1184</v>
      </c>
      <c r="H58" s="152" cm="1" t="str">
        <f t="array" ref="H58:H58">AC58</f>
        <v>0</v>
      </c>
      <c r="I58" s="1532"/>
      <c r="J58" s="1532"/>
      <c r="K58" s="1532"/>
      <c r="L58" s="1532"/>
      <c r="M58" s="1532"/>
      <c r="N58" s="1532"/>
      <c r="O58" s="1532"/>
      <c r="P58" s="1532"/>
      <c r="Q58" s="190"/>
      <c r="R58" s="190"/>
      <c r="S58" s="1532"/>
      <c r="T58" s="816">
        <f>AND(F58&gt;0,Y58&gt;0)</f>
        <v>0</v>
      </c>
      <c r="U58" s="1440"/>
      <c r="V58" s="1440"/>
      <c r="W58" s="156" t="s">
        <v>233</v>
      </c>
      <c r="X58" s="1440"/>
      <c r="Y58" s="156">
        <v>0</v>
      </c>
      <c r="Z58" s="1440"/>
      <c r="AA58" s="1533" t="s">
        <v>217</v>
      </c>
      <c r="AB58" s="285" t="str">
        <f>"2."&amp;Y58</f>
        <v>2.0</v>
      </c>
      <c r="AC58" s="460"/>
      <c r="AD58" s="277" t="s">
        <v>805</v>
      </c>
      <c r="AE58" s="332">
        <f>AE59*AE60</f>
        <v>0</v>
      </c>
      <c r="AF58" s="61"/>
      <c r="AG58" s="61"/>
      <c r="AH58" s="332">
        <f>AH59*AH60</f>
        <v>0</v>
      </c>
      <c r="AI58" s="280"/>
      <c r="AJ58" s="280"/>
      <c r="AK58" s="280"/>
      <c r="AL58" s="280"/>
      <c r="AM58" s="280"/>
      <c r="AN58" s="61"/>
      <c r="AO58" s="61"/>
      <c r="AP58" s="61"/>
      <c r="AQ58" s="61"/>
      <c r="AR58" s="61"/>
      <c r="AS58" s="332">
        <f>AS59*AS60</f>
        <v>0</v>
      </c>
      <c r="AT58" s="332">
        <f>AT59*AT60</f>
        <v>0</v>
      </c>
      <c r="AU58" s="332">
        <f>AU59*AU60</f>
        <v>0</v>
      </c>
      <c r="AV58" s="332">
        <f>AV59*AV60</f>
        <v>0</v>
      </c>
      <c r="AW58" s="332">
        <f>AW59*AW60</f>
        <v>0</v>
      </c>
      <c r="AX58" s="332">
        <f>AX59*AX60</f>
        <v>0</v>
      </c>
      <c r="AY58" s="332">
        <f>AY59*AY60</f>
        <v>0</v>
      </c>
      <c r="AZ58" s="332">
        <f>AZ59*AZ60</f>
        <v>0</v>
      </c>
      <c r="BA58" s="332">
        <f>BA59*BA60</f>
        <v>0</v>
      </c>
      <c r="BB58" s="332">
        <f>BB59*BB60</f>
        <v>0</v>
      </c>
      <c r="BC58" s="73"/>
      <c r="BD58" s="220"/>
      <c r="BE58" s="220"/>
      <c r="BF58" s="1221" t="s">
        <v>1187</v>
      </c>
      <c r="BG58" s="1221" t="s">
        <v>1188</v>
      </c>
      <c r="BH58" s="1221" cm="1" t="str">
        <f t="array" ref="BH58:BH58">AC58</f>
        <v>0</v>
      </c>
      <c r="BI58" s="1221" cm="1" t="str">
        <f t="array" ref="BI58:BI58">AD60</f>
        <v>тыс.куб.м</v>
      </c>
      <c r="BJ58" s="1222"/>
      <c r="BK58" s="1222" t="b">
        <v>1</v>
      </c>
    </row>
    <row s="1387" customFormat="1" customHeight="1" ht="16.5" hidden="1">
      <c r="A59" s="1387"/>
      <c r="B59" s="1387"/>
      <c r="C59" s="1387"/>
      <c r="D59" s="1387"/>
      <c r="E59" s="794">
        <v>17</v>
      </c>
      <c r="F59" s="919" cm="1" t="str">
        <f t="array" ref="F59:F59">F57</f>
        <v>1</v>
      </c>
      <c r="G59" s="190" t="s">
        <v>199</v>
      </c>
      <c r="H59" s="152" cm="1" t="str">
        <f t="array" ref="H59:H59">H58</f>
        <v>0</v>
      </c>
      <c r="I59" s="1387"/>
      <c r="J59" s="1387"/>
      <c r="K59" s="1387"/>
      <c r="L59" s="1387"/>
      <c r="M59" s="1387"/>
      <c r="N59" s="1387"/>
      <c r="O59" s="1387"/>
      <c r="P59" s="1387"/>
      <c r="Q59" s="1387"/>
      <c r="R59" s="1387"/>
      <c r="S59" s="1387"/>
      <c r="T59" s="816" cm="1" t="str">
        <f t="array" ref="T59:T59">T58</f>
        <v>false</v>
      </c>
      <c r="U59" s="1387"/>
      <c r="V59" s="1387"/>
      <c r="W59" s="1387"/>
      <c r="X59" s="1387"/>
      <c r="Y59" s="1387"/>
      <c r="Z59" s="1387"/>
      <c r="AA59" s="1533"/>
      <c r="AB59" s="285" t="str">
        <f>AB58&amp;".1"</f>
        <v>2.0.1</v>
      </c>
      <c r="AC59" s="291" t="s">
        <v>942</v>
      </c>
      <c r="AD59" s="106" t="s">
        <v>152</v>
      </c>
      <c r="AE59" s="61"/>
      <c r="AF59" s="332">
        <f>IF(AF60=0,0,AF58/AF60)</f>
        <v>0</v>
      </c>
      <c r="AG59" s="332">
        <f>IF(AG60=0,0,AG58/AG60)</f>
        <v>0</v>
      </c>
      <c r="AH59" s="61"/>
      <c r="AI59" s="332">
        <f>IF(AI60=0,0,AI58/AI60)</f>
        <v>0</v>
      </c>
      <c r="AJ59" s="332">
        <f>IF(AJ60=0,0,AJ58/AJ60)</f>
        <v>0</v>
      </c>
      <c r="AK59" s="332">
        <f>IF(AK60=0,0,AK58/AK60)</f>
        <v>0</v>
      </c>
      <c r="AL59" s="332">
        <f>IF(AL60=0,0,AL58/AL60)</f>
        <v>0</v>
      </c>
      <c r="AM59" s="332">
        <f>IF(AM60=0,0,AM58/AM60)</f>
        <v>0</v>
      </c>
      <c r="AN59" s="332">
        <f>IF(AN60=0,0,AN58/AN60)</f>
        <v>0</v>
      </c>
      <c r="AO59" s="332">
        <f>IF(AO60=0,0,AO58/AO60)</f>
        <v>0</v>
      </c>
      <c r="AP59" s="332">
        <f>IF(AP60=0,0,AP58/AP60)</f>
        <v>0</v>
      </c>
      <c r="AQ59" s="332">
        <f>IF(AQ60=0,0,AQ58/AQ60)</f>
        <v>0</v>
      </c>
      <c r="AR59" s="332">
        <f>IF(AR60=0,0,AR58/AR60)</f>
        <v>0</v>
      </c>
      <c r="AS59" s="280"/>
      <c r="AT59" s="280"/>
      <c r="AU59" s="280"/>
      <c r="AV59" s="280"/>
      <c r="AW59" s="280"/>
      <c r="AX59" s="61"/>
      <c r="AY59" s="61"/>
      <c r="AZ59" s="61"/>
      <c r="BA59" s="61"/>
      <c r="BB59" s="61"/>
      <c r="BC59" s="73"/>
      <c r="BD59" s="1387"/>
      <c r="BE59" s="1387"/>
      <c r="BF59" s="1221" t="s">
        <v>1189</v>
      </c>
      <c r="BG59" s="1221" t="s">
        <v>1188</v>
      </c>
      <c r="BH59" s="1221" cm="1" t="str">
        <f t="array" ref="BH59:BH59">BH58</f>
        <v>0</v>
      </c>
      <c r="BI59" s="1221" cm="1" t="str">
        <f t="array" ref="BI59:BI59">BI58</f>
        <v>тыс.куб.м</v>
      </c>
      <c r="BJ59" s="1222"/>
      <c r="BK59" s="1222"/>
    </row>
    <row s="1619" customFormat="1" customHeight="1" ht="16.5" hidden="1">
      <c r="A60" s="1122" t="str">
        <f>"checkVolume_2."&amp;F60&amp;"."&amp;Y58</f>
        <v>checkVolume_2.1.0</v>
      </c>
      <c r="B60" s="924"/>
      <c r="C60" s="1425"/>
      <c r="D60" s="1425"/>
      <c r="E60" s="794">
        <v>17</v>
      </c>
      <c r="F60" s="919" cm="1" t="str">
        <f t="array" ref="F60:F60">F58</f>
        <v>1</v>
      </c>
      <c r="G60" s="190" t="s">
        <v>199</v>
      </c>
      <c r="H60" s="152" cm="1" t="str">
        <f t="array" ref="H60:H60">H58</f>
        <v>0</v>
      </c>
      <c r="I60" s="1532"/>
      <c r="J60" s="1532"/>
      <c r="K60" s="1532"/>
      <c r="L60" s="1532"/>
      <c r="M60" s="1532"/>
      <c r="N60" s="1532"/>
      <c r="O60" s="1532"/>
      <c r="P60" s="1532"/>
      <c r="Q60" s="190"/>
      <c r="R60" s="190"/>
      <c r="S60" s="1532"/>
      <c r="T60" s="816" cm="1" t="str">
        <f t="array" ref="T60:T60">T58</f>
        <v>false</v>
      </c>
      <c r="U60" s="1440"/>
      <c r="V60" s="1440"/>
      <c r="W60" s="1440"/>
      <c r="X60" s="1440"/>
      <c r="Y60" s="1440"/>
      <c r="Z60" s="1440"/>
      <c r="AA60" s="1533"/>
      <c r="AB60" s="285" t="str">
        <f>AB58&amp;".2"</f>
        <v>2.0.2</v>
      </c>
      <c r="AC60" s="291" t="s">
        <v>1182</v>
      </c>
      <c r="AD60" s="106" t="s">
        <v>1000</v>
      </c>
      <c r="AE60" s="61"/>
      <c r="AF60" s="61"/>
      <c r="AG60" s="61"/>
      <c r="AH60" s="61"/>
      <c r="AI60" s="280"/>
      <c r="AJ60" s="280"/>
      <c r="AK60" s="280"/>
      <c r="AL60" s="280"/>
      <c r="AM60" s="280"/>
      <c r="AN60" s="61"/>
      <c r="AO60" s="61"/>
      <c r="AP60" s="61"/>
      <c r="AQ60" s="61"/>
      <c r="AR60" s="61"/>
      <c r="AS60" s="280"/>
      <c r="AT60" s="280"/>
      <c r="AU60" s="280"/>
      <c r="AV60" s="280"/>
      <c r="AW60" s="280"/>
      <c r="AX60" s="61"/>
      <c r="AY60" s="61"/>
      <c r="AZ60" s="61"/>
      <c r="BA60" s="61"/>
      <c r="BB60" s="61"/>
      <c r="BC60" s="73"/>
      <c r="BD60" s="220"/>
      <c r="BE60" s="220"/>
      <c r="BF60" s="1221" t="s">
        <v>1190</v>
      </c>
      <c r="BG60" s="1221" t="s">
        <v>1188</v>
      </c>
      <c r="BH60" s="1221" cm="1" t="str">
        <f t="array" ref="BH60:BH60">BH58</f>
        <v>0</v>
      </c>
      <c r="BI60" s="1221" cm="1" t="str">
        <f t="array" ref="BI60:BI60">BI58</f>
        <v>тыс.куб.м</v>
      </c>
      <c r="BJ60" s="1222"/>
      <c r="BK60" s="1222"/>
    </row>
    <row s="1619" customFormat="1" customHeight="1" ht="16.5">
      <c r="A61" s="1425"/>
      <c r="B61" s="924"/>
      <c r="C61" s="1425"/>
      <c r="D61" s="1425"/>
      <c r="E61" s="794">
        <v>17</v>
      </c>
      <c r="F61" s="919" cm="1" t="str">
        <f t="array" ref="F61:F61">F57</f>
        <v>1</v>
      </c>
      <c r="G61" s="190" t="str">
        <f>F61&amp;"pIns5"</f>
        <v>1pIns5</v>
      </c>
      <c r="H61" s="1532"/>
      <c r="I61" s="1532"/>
      <c r="J61" s="1532"/>
      <c r="K61" s="1532"/>
      <c r="L61" s="1532"/>
      <c r="M61" s="1532"/>
      <c r="N61" s="1532"/>
      <c r="O61" s="1532"/>
      <c r="P61" s="1532"/>
      <c r="Q61" s="190"/>
      <c r="R61" s="190"/>
      <c r="S61" s="1532"/>
      <c r="T61" s="816">
        <f>F61&gt;0</f>
        <v>1</v>
      </c>
      <c r="U61" s="1440"/>
      <c r="V61" s="1440"/>
      <c r="W61" s="371" t="s">
        <v>1191</v>
      </c>
      <c r="X61" s="1440"/>
      <c r="Y61" s="1440"/>
      <c r="Z61" s="1440"/>
      <c r="AA61" s="220"/>
      <c r="AB61" s="299"/>
      <c r="AC61" s="300" t="s">
        <v>978</v>
      </c>
      <c r="AD61" s="300"/>
      <c r="AE61" s="300"/>
      <c r="AF61" s="300"/>
      <c r="AG61" s="300"/>
      <c r="AH61" s="300"/>
      <c r="AI61" s="300"/>
      <c r="AJ61" s="300"/>
      <c r="AK61" s="300"/>
      <c r="AL61" s="300"/>
      <c r="AM61" s="300"/>
      <c r="AN61" s="300"/>
      <c r="AO61" s="300"/>
      <c r="AP61" s="300"/>
      <c r="AQ61" s="300"/>
      <c r="AR61" s="300"/>
      <c r="AS61" s="300"/>
      <c r="AT61" s="300"/>
      <c r="AU61" s="300"/>
      <c r="AV61" s="300"/>
      <c r="AW61" s="300"/>
      <c r="AX61" s="300"/>
      <c r="AY61" s="300"/>
      <c r="AZ61" s="300"/>
      <c r="BA61" s="300"/>
      <c r="BB61" s="300"/>
      <c r="BC61" s="1098"/>
      <c r="BD61" s="220"/>
      <c r="BE61" s="220"/>
      <c r="BF61" s="1221" t="str">
        <f>IF(AND(ISNUMBER(VALUE(TRIM(SUBSTITUTE(AB61,".","")))),TRIM(SUBSTITUTE(AB61,".",""))&lt;&gt;""),"P"&amp;SUBSTITUTE(AB61,".",""),"")</f>
        <v/>
      </c>
      <c r="BG61" s="1221"/>
      <c r="BH61" s="1221"/>
      <c r="BI61" s="1221"/>
      <c r="BJ61" s="1222" t="s">
        <v>1188</v>
      </c>
      <c r="BK61" s="1222"/>
    </row>
    <row s="1619" customFormat="1" customHeight="1" ht="16.5">
      <c r="A62" s="1425"/>
      <c r="B62" s="924"/>
      <c r="C62" s="1425"/>
      <c r="D62" s="1425"/>
      <c r="E62" s="794">
        <v>17</v>
      </c>
      <c r="F62" s="919" cm="1" t="str">
        <f t="array" ref="F62:F62">F61</f>
        <v>1</v>
      </c>
      <c r="G62" s="190" t="s">
        <v>1192</v>
      </c>
      <c r="H62" s="1532"/>
      <c r="I62" s="1532"/>
      <c r="J62" s="1532"/>
      <c r="K62" s="1532"/>
      <c r="L62" s="1532"/>
      <c r="M62" s="1532"/>
      <c r="N62" s="1532"/>
      <c r="O62" s="1532"/>
      <c r="P62" s="1532"/>
      <c r="Q62" s="190"/>
      <c r="R62" s="190"/>
      <c r="S62" s="1532"/>
      <c r="T62" s="816">
        <f>F62&gt;0</f>
        <v>1</v>
      </c>
      <c r="U62" s="1440"/>
      <c r="V62" s="1440"/>
      <c r="W62" s="1440"/>
      <c r="X62" s="1440"/>
      <c r="Y62" s="1440"/>
      <c r="Z62" s="1440"/>
      <c r="AA62" s="220"/>
      <c r="AB62" s="283">
        <v>3</v>
      </c>
      <c r="AC62" s="278" t="s">
        <v>1193</v>
      </c>
      <c r="AD62" s="277" t="s">
        <v>805</v>
      </c>
      <c r="AE62" s="279">
        <f>SUMIF($AD63:$AD67,$AD62,AE63:AE67)</f>
        <v>0</v>
      </c>
      <c r="AF62" s="279">
        <f>SUMIF($AD63:$AD67,$AD62,AF63:AF67)</f>
        <v>0</v>
      </c>
      <c r="AG62" s="279">
        <f>SUMIF($AD63:$AD67,$AD62,AG63:AG67)</f>
        <v>0</v>
      </c>
      <c r="AH62" s="279">
        <f>SUMIF($AD63:$AD67,$AD62,AH63:AH67)</f>
        <v>0</v>
      </c>
      <c r="AI62" s="279">
        <f>SUMIF($AD63:$AD67,$AD62,AI63:AI67)</f>
        <v>0</v>
      </c>
      <c r="AJ62" s="292">
        <f>SUMIF($AD63:$AD67,$AD62,AJ63:AJ67)</f>
        <v>0</v>
      </c>
      <c r="AK62" s="292">
        <f>SUMIF($AD63:$AD67,$AD62,AK63:AK67)</f>
        <v>0</v>
      </c>
      <c r="AL62" s="292">
        <f>SUMIF($AD63:$AD67,$AD62,AL63:AL67)</f>
        <v>0</v>
      </c>
      <c r="AM62" s="292">
        <f>SUMIF($AD63:$AD67,$AD62,AM63:AM67)</f>
        <v>0</v>
      </c>
      <c r="AN62" s="1793">
        <f>SUMIF($AD63:$AD67,$AD62,AN63:AN67)</f>
        <v>0</v>
      </c>
      <c r="AO62" s="1793">
        <f>SUMIF($AD63:$AD67,$AD62,AO63:AO67)</f>
        <v>0</v>
      </c>
      <c r="AP62" s="1793">
        <f>SUMIF($AD63:$AD67,$AD62,AP63:AP67)</f>
        <v>0</v>
      </c>
      <c r="AQ62" s="1793">
        <f>SUMIF($AD63:$AD67,$AD62,AQ63:AQ67)</f>
        <v>0</v>
      </c>
      <c r="AR62" s="1793">
        <f>SUMIF($AD63:$AD67,$AD62,AR63:AR67)</f>
        <v>0</v>
      </c>
      <c r="AS62" s="279">
        <f>SUMIF($AD63:$AD67,$AD62,AS63:AS67)</f>
        <v>0</v>
      </c>
      <c r="AT62" s="292">
        <f>SUMIF($AD63:$AD67,$AD62,AT63:AT67)</f>
        <v>0</v>
      </c>
      <c r="AU62" s="292">
        <f>SUMIF($AD63:$AD67,$AD62,AU63:AU67)</f>
        <v>0</v>
      </c>
      <c r="AV62" s="292">
        <f>SUMIF($AD63:$AD67,$AD62,AV63:AV67)</f>
        <v>0</v>
      </c>
      <c r="AW62" s="292">
        <f>SUMIF($AD63:$AD67,$AD62,AW63:AW67)</f>
        <v>0</v>
      </c>
      <c r="AX62" s="1793">
        <f>SUMIF($AD63:$AD67,$AD62,AX63:AX67)</f>
        <v>0</v>
      </c>
      <c r="AY62" s="1793">
        <f>SUMIF($AD63:$AD67,$AD62,AY63:AY67)</f>
        <v>0</v>
      </c>
      <c r="AZ62" s="1793">
        <f>SUMIF($AD63:$AD67,$AD62,AZ63:AZ67)</f>
        <v>0</v>
      </c>
      <c r="BA62" s="1793">
        <f>SUMIF($AD63:$AD67,$AD62,BA63:BA67)</f>
        <v>0</v>
      </c>
      <c r="BB62" s="1793">
        <f>SUMIF($AD63:$AD67,$AD62,BB63:BB67)</f>
        <v>0</v>
      </c>
      <c r="BC62" s="1730"/>
      <c r="BD62" s="220"/>
      <c r="BE62" s="220"/>
      <c r="BF62" s="1221" t="s">
        <v>1194</v>
      </c>
      <c r="BG62" s="1221"/>
      <c r="BH62" s="1221"/>
      <c r="BI62" s="1221"/>
      <c r="BJ62" s="1222"/>
      <c r="BK62" s="1222"/>
    </row>
    <row s="1619" customFormat="1" customHeight="1" ht="0" hidden="1">
      <c r="A63" s="1425"/>
      <c r="B63" s="924"/>
      <c r="C63" s="1425"/>
      <c r="D63" s="1425"/>
      <c r="E63" s="794">
        <v>0.2</v>
      </c>
      <c r="F63" s="919" cm="1" t="str">
        <f t="array" ref="F63:F63">F62</f>
        <v>1</v>
      </c>
      <c r="G63" s="1532"/>
      <c r="H63" s="1532"/>
      <c r="I63" s="1532"/>
      <c r="J63" s="1532"/>
      <c r="K63" s="1532"/>
      <c r="L63" s="1532"/>
      <c r="M63" s="1532"/>
      <c r="N63" s="1532"/>
      <c r="O63" s="1532"/>
      <c r="P63" s="1532"/>
      <c r="Q63" s="190"/>
      <c r="R63" s="190"/>
      <c r="S63" s="1532"/>
      <c r="T63" s="816" t="b">
        <v>0</v>
      </c>
      <c r="U63" s="1440"/>
      <c r="V63" s="1440"/>
      <c r="W63" s="1440"/>
      <c r="X63" s="1440"/>
      <c r="Y63" s="1440"/>
      <c r="Z63" s="1440"/>
      <c r="AA63" s="220"/>
      <c r="AB63" s="283"/>
      <c r="AC63" s="278"/>
      <c r="AD63" s="277"/>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c r="BC63" s="290"/>
      <c r="BD63" s="220"/>
      <c r="BE63" s="220"/>
      <c r="BF63" s="1221" t="str">
        <f>IF(AND(ISNUMBER(VALUE(TRIM(SUBSTITUTE(AB63,".","")))),TRIM(SUBSTITUTE(AB63,".",""))&lt;&gt;""),"P"&amp;SUBSTITUTE(AB63,".",""),"")</f>
        <v/>
      </c>
      <c r="BG63" s="1221"/>
      <c r="BH63" s="1221"/>
      <c r="BI63" s="1221"/>
      <c r="BJ63" s="1222"/>
      <c r="BK63" s="1222"/>
    </row>
    <row s="1619" customFormat="1" customHeight="1" ht="21.75" hidden="1">
      <c r="A64" s="1122" t="str">
        <f>"checkCosts_3."&amp;F64&amp;"."&amp;Y64</f>
        <v>checkCosts_3.1.0</v>
      </c>
      <c r="B64" s="924"/>
      <c r="C64" s="1425"/>
      <c r="D64" s="1425"/>
      <c r="E64" s="794">
        <v>22.8</v>
      </c>
      <c r="F64" s="919" cm="1" t="str">
        <f t="array" ref="F64:F64">OFFSET(G64,-1,-1)</f>
        <v>1</v>
      </c>
      <c r="G64" s="190" t="s">
        <v>1192</v>
      </c>
      <c r="H64" s="152" cm="1" t="str">
        <f t="array" ref="H64:H64">AC64</f>
        <v>0</v>
      </c>
      <c r="I64" s="1532"/>
      <c r="J64" s="1532"/>
      <c r="K64" s="1532"/>
      <c r="L64" s="1532"/>
      <c r="M64" s="1532"/>
      <c r="N64" s="1532"/>
      <c r="O64" s="1532"/>
      <c r="P64" s="1532"/>
      <c r="Q64" s="190"/>
      <c r="R64" s="190"/>
      <c r="S64" s="1532"/>
      <c r="T64" s="816">
        <f>AND(F64&gt;0,Y64&gt;0)</f>
        <v>0</v>
      </c>
      <c r="U64" s="1440"/>
      <c r="V64" s="1440"/>
      <c r="W64" s="156" t="s">
        <v>233</v>
      </c>
      <c r="X64" s="1440"/>
      <c r="Y64" s="156">
        <v>0</v>
      </c>
      <c r="Z64" s="1440"/>
      <c r="AA64" s="1533" t="s">
        <v>217</v>
      </c>
      <c r="AB64" s="285" t="str">
        <f>"3."&amp;Y64</f>
        <v>3.0</v>
      </c>
      <c r="AC64" s="54"/>
      <c r="AD64" s="277" t="s">
        <v>805</v>
      </c>
      <c r="AE64" s="332">
        <f>AE65*AE66</f>
        <v>0</v>
      </c>
      <c r="AF64" s="61"/>
      <c r="AG64" s="61"/>
      <c r="AH64" s="332">
        <f>AH65*AH66</f>
        <v>0</v>
      </c>
      <c r="AI64" s="280"/>
      <c r="AJ64" s="280"/>
      <c r="AK64" s="280"/>
      <c r="AL64" s="280"/>
      <c r="AM64" s="280"/>
      <c r="AN64" s="61"/>
      <c r="AO64" s="61"/>
      <c r="AP64" s="61"/>
      <c r="AQ64" s="61"/>
      <c r="AR64" s="61"/>
      <c r="AS64" s="332">
        <f>AS65*AS66</f>
        <v>0</v>
      </c>
      <c r="AT64" s="332">
        <f>AT65*AT66</f>
        <v>0</v>
      </c>
      <c r="AU64" s="332">
        <f>AU65*AU66</f>
        <v>0</v>
      </c>
      <c r="AV64" s="332">
        <f>AV65*AV66</f>
        <v>0</v>
      </c>
      <c r="AW64" s="332">
        <f>AW65*AW66</f>
        <v>0</v>
      </c>
      <c r="AX64" s="332">
        <f>AX65*AX66</f>
        <v>0</v>
      </c>
      <c r="AY64" s="332">
        <f>AY65*AY66</f>
        <v>0</v>
      </c>
      <c r="AZ64" s="332">
        <f>AZ65*AZ66</f>
        <v>0</v>
      </c>
      <c r="BA64" s="332">
        <f>BA65*BA66</f>
        <v>0</v>
      </c>
      <c r="BB64" s="332">
        <f>BB65*BB66</f>
        <v>0</v>
      </c>
      <c r="BC64" s="73"/>
      <c r="BD64" s="220"/>
      <c r="BE64" s="220"/>
      <c r="BF64" s="1221" t="s">
        <v>1195</v>
      </c>
      <c r="BG64" s="1221" t="s">
        <v>1196</v>
      </c>
      <c r="BH64" s="1221" cm="1" t="str">
        <f t="array" ref="BH64:BH64">AC64</f>
        <v>0</v>
      </c>
      <c r="BI64" s="1221" cm="1" t="str">
        <f t="array" ref="BI64:BI64">AD66</f>
        <v>0</v>
      </c>
      <c r="BJ64" s="1222"/>
      <c r="BK64" s="1222" t="b">
        <v>1</v>
      </c>
    </row>
    <row s="1387" customFormat="1" customHeight="1" ht="16.5" hidden="1">
      <c r="A65" s="1387"/>
      <c r="B65" s="1387"/>
      <c r="C65" s="1387"/>
      <c r="D65" s="1387"/>
      <c r="E65" s="794">
        <v>17</v>
      </c>
      <c r="F65" s="919" cm="1" t="str">
        <f t="array" ref="F65:F65">F63</f>
        <v>1</v>
      </c>
      <c r="G65" s="190" t="s">
        <v>267</v>
      </c>
      <c r="H65" s="152" cm="1" t="str">
        <f t="array" ref="H65:H65">H64</f>
        <v>0</v>
      </c>
      <c r="I65" s="1387"/>
      <c r="J65" s="1387"/>
      <c r="K65" s="1387"/>
      <c r="L65" s="1387"/>
      <c r="M65" s="1387"/>
      <c r="N65" s="1387"/>
      <c r="O65" s="1387"/>
      <c r="P65" s="1387"/>
      <c r="Q65" s="1387"/>
      <c r="R65" s="1387"/>
      <c r="S65" s="1387"/>
      <c r="T65" s="816" cm="1" t="str">
        <f t="array" ref="T65:T65">T64</f>
        <v>false</v>
      </c>
      <c r="U65" s="1387"/>
      <c r="V65" s="1387"/>
      <c r="W65" s="1387"/>
      <c r="X65" s="1387"/>
      <c r="Y65" s="1387"/>
      <c r="Z65" s="1387"/>
      <c r="AA65" s="1533"/>
      <c r="AB65" s="285" t="str">
        <f>AB64&amp;".1"</f>
        <v>3.0.1</v>
      </c>
      <c r="AC65" s="291" t="s">
        <v>942</v>
      </c>
      <c r="AD65" s="106" t="s">
        <v>152</v>
      </c>
      <c r="AE65" s="61"/>
      <c r="AF65" s="332">
        <f>IF(AF66=0,0,AF64/AF66)</f>
        <v>0</v>
      </c>
      <c r="AG65" s="332">
        <f>IF(AG66=0,0,AG64/AG66)</f>
        <v>0</v>
      </c>
      <c r="AH65" s="61"/>
      <c r="AI65" s="332">
        <f>IF(AI66=0,0,AI64/AI66)</f>
        <v>0</v>
      </c>
      <c r="AJ65" s="332">
        <f>IF(AJ66=0,0,AJ64/AJ66)</f>
        <v>0</v>
      </c>
      <c r="AK65" s="332">
        <f>IF(AK66=0,0,AK64/AK66)</f>
        <v>0</v>
      </c>
      <c r="AL65" s="332">
        <f>IF(AL66=0,0,AL64/AL66)</f>
        <v>0</v>
      </c>
      <c r="AM65" s="332">
        <f>IF(AM66=0,0,AM64/AM66)</f>
        <v>0</v>
      </c>
      <c r="AN65" s="332">
        <f>IF(AN66=0,0,AN64/AN66)</f>
        <v>0</v>
      </c>
      <c r="AO65" s="332">
        <f>IF(AO66=0,0,AO64/AO66)</f>
        <v>0</v>
      </c>
      <c r="AP65" s="332">
        <f>IF(AP66=0,0,AP64/AP66)</f>
        <v>0</v>
      </c>
      <c r="AQ65" s="332">
        <f>IF(AQ66=0,0,AQ64/AQ66)</f>
        <v>0</v>
      </c>
      <c r="AR65" s="332">
        <f>IF(AR66=0,0,AR64/AR66)</f>
        <v>0</v>
      </c>
      <c r="AS65" s="280"/>
      <c r="AT65" s="280"/>
      <c r="AU65" s="280"/>
      <c r="AV65" s="280"/>
      <c r="AW65" s="280"/>
      <c r="AX65" s="61"/>
      <c r="AY65" s="61"/>
      <c r="AZ65" s="61"/>
      <c r="BA65" s="61"/>
      <c r="BB65" s="61"/>
      <c r="BC65" s="73"/>
      <c r="BD65" s="1387"/>
      <c r="BE65" s="1387"/>
      <c r="BF65" s="1221" t="s">
        <v>1197</v>
      </c>
      <c r="BG65" s="1221" t="s">
        <v>1196</v>
      </c>
      <c r="BH65" s="1221" cm="1" t="str">
        <f t="array" ref="BH65:BH65">BH64</f>
        <v>0</v>
      </c>
      <c r="BI65" s="1221" cm="1" t="str">
        <f t="array" ref="BI65:BI65">BI64</f>
        <v>0</v>
      </c>
      <c r="BJ65" s="1222"/>
      <c r="BK65" s="1222"/>
    </row>
    <row s="1619" customFormat="1" customHeight="1" ht="16.5" hidden="1">
      <c r="A66" s="1122" t="str">
        <f>"checkVolume_3."&amp;F66&amp;"."&amp;Y64</f>
        <v>checkVolume_3.1.0</v>
      </c>
      <c r="B66" s="924"/>
      <c r="C66" s="1425"/>
      <c r="D66" s="1425"/>
      <c r="E66" s="794">
        <v>17</v>
      </c>
      <c r="F66" s="919" cm="1" t="str">
        <f t="array" ref="F66:F66">F64</f>
        <v>1</v>
      </c>
      <c r="G66" s="190" t="s">
        <v>267</v>
      </c>
      <c r="H66" s="152" cm="1" t="str">
        <f t="array" ref="H66:H66">H64</f>
        <v>0</v>
      </c>
      <c r="I66" s="1532"/>
      <c r="J66" s="1532"/>
      <c r="K66" s="1532"/>
      <c r="L66" s="1532"/>
      <c r="M66" s="1532"/>
      <c r="N66" s="1532"/>
      <c r="O66" s="1532"/>
      <c r="P66" s="1532"/>
      <c r="Q66" s="190"/>
      <c r="R66" s="190"/>
      <c r="S66" s="1532"/>
      <c r="T66" s="816" cm="1" t="str">
        <f t="array" ref="T66:T66">T64</f>
        <v>false</v>
      </c>
      <c r="U66" s="1440"/>
      <c r="V66" s="1440"/>
      <c r="W66" s="1440"/>
      <c r="X66" s="1440"/>
      <c r="Y66" s="1440"/>
      <c r="Z66" s="1440"/>
      <c r="AA66" s="1533"/>
      <c r="AB66" s="285" t="str">
        <f>AB64&amp;".2"</f>
        <v>3.0.2</v>
      </c>
      <c r="AC66" s="291" t="s">
        <v>1182</v>
      </c>
      <c r="AD66" s="106"/>
      <c r="AE66" s="61"/>
      <c r="AF66" s="61"/>
      <c r="AG66" s="61"/>
      <c r="AH66" s="61"/>
      <c r="AI66" s="280"/>
      <c r="AJ66" s="280"/>
      <c r="AK66" s="280"/>
      <c r="AL66" s="280"/>
      <c r="AM66" s="280"/>
      <c r="AN66" s="61"/>
      <c r="AO66" s="61"/>
      <c r="AP66" s="61"/>
      <c r="AQ66" s="61"/>
      <c r="AR66" s="61"/>
      <c r="AS66" s="280"/>
      <c r="AT66" s="280"/>
      <c r="AU66" s="280"/>
      <c r="AV66" s="280"/>
      <c r="AW66" s="280"/>
      <c r="AX66" s="61"/>
      <c r="AY66" s="61"/>
      <c r="AZ66" s="61"/>
      <c r="BA66" s="61"/>
      <c r="BB66" s="61"/>
      <c r="BC66" s="73"/>
      <c r="BD66" s="220"/>
      <c r="BE66" s="220"/>
      <c r="BF66" s="1221" t="s">
        <v>1198</v>
      </c>
      <c r="BG66" s="1221" t="s">
        <v>1196</v>
      </c>
      <c r="BH66" s="1221" cm="1" t="str">
        <f t="array" ref="BH66:BH66">BH64</f>
        <v>0</v>
      </c>
      <c r="BI66" s="1221" cm="1" t="str">
        <f t="array" ref="BI66:BI66">BI64</f>
        <v>0</v>
      </c>
      <c r="BJ66" s="1222"/>
      <c r="BK66" s="1222"/>
    </row>
    <row s="1619" customFormat="1" customHeight="1" ht="16.5">
      <c r="A67" s="1425"/>
      <c r="B67" s="924"/>
      <c r="C67" s="1425"/>
      <c r="D67" s="1425"/>
      <c r="E67" s="794">
        <v>17</v>
      </c>
      <c r="F67" s="919" cm="1" t="str">
        <f t="array" ref="F67:F67">F63</f>
        <v>1</v>
      </c>
      <c r="G67" s="190" t="str">
        <f>F67&amp;"pIns5"</f>
        <v>1pIns5</v>
      </c>
      <c r="H67" s="1532"/>
      <c r="I67" s="1532"/>
      <c r="J67" s="1532"/>
      <c r="K67" s="1532"/>
      <c r="L67" s="1532"/>
      <c r="M67" s="1532"/>
      <c r="N67" s="1532"/>
      <c r="O67" s="1532"/>
      <c r="P67" s="1532"/>
      <c r="Q67" s="190"/>
      <c r="R67" s="190"/>
      <c r="S67" s="1532"/>
      <c r="T67" s="816">
        <f>F67&gt;0</f>
        <v>1</v>
      </c>
      <c r="U67" s="1440"/>
      <c r="V67" s="1440"/>
      <c r="W67" s="371" t="s">
        <v>1199</v>
      </c>
      <c r="X67" s="1440"/>
      <c r="Y67" s="1440"/>
      <c r="Z67" s="1440"/>
      <c r="AA67" s="220"/>
      <c r="AB67" s="299"/>
      <c r="AC67" s="300" t="s">
        <v>978</v>
      </c>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D67" s="220"/>
      <c r="BE67" s="220"/>
      <c r="BF67" s="1221"/>
      <c r="BG67" s="1221"/>
      <c r="BH67" s="1221"/>
      <c r="BI67" s="1221"/>
      <c r="BJ67" s="1222" t="s">
        <v>1196</v>
      </c>
      <c r="BK67" s="1222"/>
    </row>
    <row s="1619" customFormat="1" customHeight="1" ht="10.5">
      <c r="A68" s="1425"/>
      <c r="B68" s="924"/>
      <c r="C68" s="1425"/>
      <c r="D68" s="1425"/>
      <c r="E68" s="794">
        <v>11.4</v>
      </c>
      <c r="F68" s="919" cm="1" t="str">
        <f t="array" ref="F68:F68">X68</f>
        <v>2</v>
      </c>
      <c r="G68" s="190" t="s">
        <v>1179</v>
      </c>
      <c r="H68" s="1532"/>
      <c r="I68" s="1532"/>
      <c r="J68" s="1532"/>
      <c r="K68" s="1532"/>
      <c r="L68" s="1532"/>
      <c r="M68" s="1532"/>
      <c r="N68" s="1532"/>
      <c r="O68" s="1532"/>
      <c r="P68" s="1532"/>
      <c r="Q68" s="190"/>
      <c r="R68" s="190"/>
      <c r="S68" s="1532"/>
      <c r="T68" s="816">
        <f>X68&gt;0</f>
        <v>1</v>
      </c>
      <c r="U68" s="1440"/>
      <c r="V68" s="172" cm="1" t="str">
        <f t="array" ref="V68:V68">Аренда!$AB$51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68" s="1440"/>
      <c r="X68" s="156" t="s">
        <v>343</v>
      </c>
      <c r="Y68" s="1440"/>
      <c r="Z68" s="1440"/>
      <c r="AA68" s="220"/>
      <c r="AB68" s="287" cm="1" t="str">
        <f t="array" ref="AB68:AB68">IF(ISBLANK(Аренда!$AB$51),"",Аренда!$AB$51)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68" s="257"/>
      <c r="AD68" s="257"/>
      <c r="AE68" s="377">
        <f>AE69+AE75+AE81</f>
        <v>0</v>
      </c>
      <c r="AF68" s="377">
        <f>AF69+AF75+AF81</f>
        <v>0</v>
      </c>
      <c r="AG68" s="377">
        <f>AG69+AG75+AG81</f>
        <v>0</v>
      </c>
      <c r="AH68" s="377">
        <f>AH69+AH75+AH81</f>
        <v>0</v>
      </c>
      <c r="AI68" s="377">
        <f>AI69+AI75+AI81</f>
        <v>0</v>
      </c>
      <c r="AJ68" s="377">
        <f>AJ69+AJ75+AJ81</f>
        <v>0</v>
      </c>
      <c r="AK68" s="377">
        <f>AK69+AK75+AK81</f>
        <v>0</v>
      </c>
      <c r="AL68" s="377">
        <f>AL69+AL75+AL81</f>
        <v>0</v>
      </c>
      <c r="AM68" s="377">
        <f>AM69+AM75+AM81</f>
        <v>0</v>
      </c>
      <c r="AN68" s="377">
        <f>AN69+AN75+AN81</f>
        <v>0</v>
      </c>
      <c r="AO68" s="377">
        <f>AO69+AO75+AO81</f>
        <v>0</v>
      </c>
      <c r="AP68" s="377">
        <f>AP69+AP75+AP81</f>
        <v>0</v>
      </c>
      <c r="AQ68" s="377">
        <f>AQ69+AQ75+AQ81</f>
        <v>0</v>
      </c>
      <c r="AR68" s="377">
        <f>AR69+AR75+AR81</f>
        <v>0</v>
      </c>
      <c r="AS68" s="377">
        <f>AS69+AS75+AS81</f>
        <v>0</v>
      </c>
      <c r="AT68" s="377">
        <f>AT69+AT75+AT81</f>
        <v>0</v>
      </c>
      <c r="AU68" s="377">
        <f>AU69+AU75+AU81</f>
        <v>0</v>
      </c>
      <c r="AV68" s="377">
        <f>AV69+AV75+AV81</f>
        <v>0</v>
      </c>
      <c r="AW68" s="377">
        <f>AW69+AW75+AW81</f>
        <v>0</v>
      </c>
      <c r="AX68" s="377">
        <f>AX69+AX75+AX81</f>
        <v>0</v>
      </c>
      <c r="AY68" s="377">
        <f>AY69+AY75+AY81</f>
        <v>0</v>
      </c>
      <c r="AZ68" s="377">
        <f>AZ69+AZ75+AZ81</f>
        <v>0</v>
      </c>
      <c r="BA68" s="377">
        <f>BA69+BA75+BA81</f>
        <v>0</v>
      </c>
      <c r="BB68" s="377">
        <f>BB69+BB75+BB81</f>
        <v>0</v>
      </c>
      <c r="BC68" s="289"/>
      <c r="BD68" s="220"/>
      <c r="BE68" s="220"/>
      <c r="BF68" s="1221"/>
      <c r="BG68" s="1221"/>
      <c r="BH68" s="1221"/>
      <c r="BI68" s="1221"/>
      <c r="BJ68" s="1222"/>
      <c r="BK68" s="1222"/>
    </row>
    <row s="1619" customFormat="1" customHeight="1" ht="10.5">
      <c r="A69" s="1425"/>
      <c r="B69" s="924"/>
      <c r="C69" s="1425"/>
      <c r="D69" s="1425"/>
      <c r="E69" s="794">
        <v>11.4</v>
      </c>
      <c r="F69" s="919" cm="1" t="str">
        <f t="array" ref="F69:F69">F68</f>
        <v>2</v>
      </c>
      <c r="G69" s="190" t="s">
        <v>437</v>
      </c>
      <c r="H69" s="1532"/>
      <c r="I69" s="1532"/>
      <c r="J69" s="1532"/>
      <c r="K69" s="1532"/>
      <c r="L69" s="1532"/>
      <c r="M69" s="1532"/>
      <c r="N69" s="1532"/>
      <c r="O69" s="1532"/>
      <c r="P69" s="1532"/>
      <c r="Q69" s="190"/>
      <c r="R69" s="190"/>
      <c r="S69" s="1532"/>
      <c r="T69" s="816" cm="1" t="str">
        <f t="array" ref="T69:T69">T68</f>
        <v>true</v>
      </c>
      <c r="U69" s="1440"/>
      <c r="V69" s="1440"/>
      <c r="W69" s="1440"/>
      <c r="X69" s="1440"/>
      <c r="Y69" s="1440"/>
      <c r="Z69" s="1440"/>
      <c r="AA69" s="220"/>
      <c r="AB69" s="283">
        <v>1</v>
      </c>
      <c r="AC69" s="278" t="s">
        <v>1180</v>
      </c>
      <c r="AD69" s="277" t="s">
        <v>805</v>
      </c>
      <c r="AE69" s="279">
        <f>SUMIF($AD70:$AD74,$AD69,AE70:AE74)</f>
        <v>0</v>
      </c>
      <c r="AF69" s="279">
        <f>SUMIF($AD70:$AD74,$AD69,AF70:AF74)</f>
        <v>0</v>
      </c>
      <c r="AG69" s="279">
        <f>SUMIF($AD70:$AD74,$AD69,AG70:AG74)</f>
        <v>0</v>
      </c>
      <c r="AH69" s="279">
        <f>SUMIF($AD70:$AD74,$AD69,AH70:AH74)</f>
        <v>0</v>
      </c>
      <c r="AI69" s="279">
        <f>SUMIF($AD70:$AD74,$AD69,AI70:AI74)</f>
        <v>0</v>
      </c>
      <c r="AJ69" s="292">
        <f>SUMIF($AD70:$AD74,$AD69,AJ70:AJ74)</f>
        <v>0</v>
      </c>
      <c r="AK69" s="292">
        <f>SUMIF($AD70:$AD74,$AD69,AK70:AK74)</f>
        <v>0</v>
      </c>
      <c r="AL69" s="292">
        <f>SUMIF($AD70:$AD74,$AD69,AL70:AL74)</f>
        <v>0</v>
      </c>
      <c r="AM69" s="292">
        <f>SUMIF($AD70:$AD74,$AD69,AM70:AM74)</f>
        <v>0</v>
      </c>
      <c r="AN69" s="1793">
        <f>SUMIF($AD70:$AD74,$AD69,AN70:AN74)</f>
        <v>0</v>
      </c>
      <c r="AO69" s="1793">
        <f>SUMIF($AD70:$AD74,$AD69,AO70:AO74)</f>
        <v>0</v>
      </c>
      <c r="AP69" s="1793">
        <f>SUMIF($AD70:$AD74,$AD69,AP70:AP74)</f>
        <v>0</v>
      </c>
      <c r="AQ69" s="1793">
        <f>SUMIF($AD70:$AD74,$AD69,AQ70:AQ74)</f>
        <v>0</v>
      </c>
      <c r="AR69" s="1793">
        <f>SUMIF($AD70:$AD74,$AD69,AR70:AR74)</f>
        <v>0</v>
      </c>
      <c r="AS69" s="279">
        <f>SUMIF($AD70:$AD74,$AD69,AS70:AS74)</f>
        <v>0</v>
      </c>
      <c r="AT69" s="292">
        <f>SUMIF($AD70:$AD74,$AD69,AT70:AT74)</f>
        <v>0</v>
      </c>
      <c r="AU69" s="292">
        <f>SUMIF($AD70:$AD74,$AD69,AU70:AU74)</f>
        <v>0</v>
      </c>
      <c r="AV69" s="292">
        <f>SUMIF($AD70:$AD74,$AD69,AV70:AV74)</f>
        <v>0</v>
      </c>
      <c r="AW69" s="292">
        <f>SUMIF($AD70:$AD74,$AD69,AW70:AW74)</f>
        <v>0</v>
      </c>
      <c r="AX69" s="1793">
        <f>SUMIF($AD70:$AD74,$AD69,AX70:AX74)</f>
        <v>0</v>
      </c>
      <c r="AY69" s="1793">
        <f>SUMIF($AD70:$AD74,$AD69,AY70:AY74)</f>
        <v>0</v>
      </c>
      <c r="AZ69" s="1793">
        <f>SUMIF($AD70:$AD74,$AD69,AZ70:AZ74)</f>
        <v>0</v>
      </c>
      <c r="BA69" s="1793">
        <f>SUMIF($AD70:$AD74,$AD69,BA70:BA74)</f>
        <v>0</v>
      </c>
      <c r="BB69" s="1793">
        <f>SUMIF($AD70:$AD74,$AD69,BB70:BB74)</f>
        <v>0</v>
      </c>
      <c r="BC69" s="1730"/>
      <c r="BD69" s="220"/>
      <c r="BE69" s="220"/>
      <c r="BF69" s="1221" t="s">
        <v>1005</v>
      </c>
      <c r="BG69" s="1221"/>
      <c r="BH69" s="1221"/>
      <c r="BI69" s="1221"/>
      <c r="BJ69" s="1222"/>
      <c r="BK69" s="1222"/>
    </row>
    <row s="1619" customFormat="1" customHeight="1" ht="0" hidden="1">
      <c r="A70" s="1425"/>
      <c r="B70" s="924"/>
      <c r="C70" s="1425"/>
      <c r="D70" s="1425"/>
      <c r="E70" s="794">
        <v>0.2</v>
      </c>
      <c r="F70" s="919" cm="1" t="str">
        <f t="array" ref="F70:F70">F69</f>
        <v>2</v>
      </c>
      <c r="G70" s="1532"/>
      <c r="H70" s="1532"/>
      <c r="I70" s="1532"/>
      <c r="J70" s="1532"/>
      <c r="K70" s="1532"/>
      <c r="L70" s="1532"/>
      <c r="M70" s="1532"/>
      <c r="N70" s="1532"/>
      <c r="O70" s="1532"/>
      <c r="P70" s="1532"/>
      <c r="Q70" s="190"/>
      <c r="R70" s="190"/>
      <c r="S70" s="1532"/>
      <c r="T70" s="816" t="b">
        <v>0</v>
      </c>
      <c r="U70" s="1440"/>
      <c r="V70" s="1440"/>
      <c r="W70" s="1440"/>
      <c r="X70" s="1440"/>
      <c r="Y70" s="1440"/>
      <c r="Z70" s="1440"/>
      <c r="AA70" s="220"/>
      <c r="AB70" s="283"/>
      <c r="AC70" s="278"/>
      <c r="AD70" s="277"/>
      <c r="AE70" s="281"/>
      <c r="AF70" s="281"/>
      <c r="AG70" s="281"/>
      <c r="AH70" s="281"/>
      <c r="AI70" s="281"/>
      <c r="AJ70" s="281"/>
      <c r="AK70" s="281"/>
      <c r="AL70" s="281"/>
      <c r="AM70" s="281"/>
      <c r="AN70" s="281"/>
      <c r="AO70" s="281"/>
      <c r="AP70" s="281"/>
      <c r="AQ70" s="281"/>
      <c r="AR70" s="281"/>
      <c r="AS70" s="281"/>
      <c r="AT70" s="281"/>
      <c r="AU70" s="281"/>
      <c r="AV70" s="281"/>
      <c r="AW70" s="281"/>
      <c r="AX70" s="281"/>
      <c r="AY70" s="281"/>
      <c r="AZ70" s="281"/>
      <c r="BA70" s="281"/>
      <c r="BB70" s="281"/>
      <c r="BC70" s="290"/>
      <c r="BD70" s="220"/>
      <c r="BE70" s="220"/>
      <c r="BF70" s="1221" t="str">
        <f>IF(AND(ISNUMBER(VALUE(TRIM(SUBSTITUTE(AB70,".","")))),TRIM(SUBSTITUTE(AB70,".",""))&lt;&gt;""),"P"&amp;SUBSTITUTE(AB70,".",""),"")</f>
        <v/>
      </c>
      <c r="BG70" s="1221"/>
      <c r="BH70" s="1221"/>
      <c r="BI70" s="1221"/>
      <c r="BJ70" s="1222"/>
      <c r="BK70" s="1222"/>
    </row>
    <row s="1619" customFormat="1" customHeight="1" ht="17.25" hidden="1">
      <c r="A71" s="1122" t="str">
        <f>"checkCosts_1."&amp;F71&amp;"."&amp;Y71</f>
        <v>checkCosts_1.2.0</v>
      </c>
      <c r="B71" s="924"/>
      <c r="C71" s="1425"/>
      <c r="D71" s="1425"/>
      <c r="E71" s="794">
        <v>18</v>
      </c>
      <c r="F71" s="919" cm="1" t="str">
        <f t="array" ref="F71:F71">OFFSET(G71,-1,-1)</f>
        <v>2</v>
      </c>
      <c r="G71" s="190" t="s">
        <v>437</v>
      </c>
      <c r="H71" s="152" cm="1" t="str">
        <f t="array" ref="H71:H71">AC71</f>
        <v>0</v>
      </c>
      <c r="I71" s="1532"/>
      <c r="J71" s="1532"/>
      <c r="K71" s="1532"/>
      <c r="L71" s="1532"/>
      <c r="M71" s="1532"/>
      <c r="N71" s="1532"/>
      <c r="O71" s="1532"/>
      <c r="P71" s="1532"/>
      <c r="Q71" s="190"/>
      <c r="R71" s="190"/>
      <c r="S71" s="1532"/>
      <c r="T71" s="816">
        <f>AND(F71&gt;0,Y71&gt;0)</f>
        <v>0</v>
      </c>
      <c r="U71" s="1440"/>
      <c r="V71" s="1440"/>
      <c r="W71" s="156" t="s">
        <v>233</v>
      </c>
      <c r="X71" s="1440"/>
      <c r="Y71" s="156">
        <v>0</v>
      </c>
      <c r="Z71" s="1440"/>
      <c r="AA71" s="1533" t="s">
        <v>217</v>
      </c>
      <c r="AB71" s="285" t="str">
        <f>"1."&amp;Y71</f>
        <v>1.0</v>
      </c>
      <c r="AC71" s="460"/>
      <c r="AD71" s="277" t="s">
        <v>805</v>
      </c>
      <c r="AE71" s="332">
        <f>AE72*AE73/1000</f>
        <v>0</v>
      </c>
      <c r="AF71" s="61"/>
      <c r="AG71" s="61"/>
      <c r="AH71" s="332">
        <f>AH72*AH73/1000</f>
        <v>0</v>
      </c>
      <c r="AI71" s="280"/>
      <c r="AJ71" s="280"/>
      <c r="AK71" s="280"/>
      <c r="AL71" s="280"/>
      <c r="AM71" s="280"/>
      <c r="AN71" s="61"/>
      <c r="AO71" s="61"/>
      <c r="AP71" s="61"/>
      <c r="AQ71" s="61"/>
      <c r="AR71" s="61"/>
      <c r="AS71" s="332">
        <f>AS72*AS73/1000</f>
        <v>0</v>
      </c>
      <c r="AT71" s="332">
        <f>AT72*AT73/1000</f>
        <v>0</v>
      </c>
      <c r="AU71" s="332">
        <f>AU72*AU73/1000</f>
        <v>0</v>
      </c>
      <c r="AV71" s="332">
        <f>AV72*AV73/1000</f>
        <v>0</v>
      </c>
      <c r="AW71" s="332">
        <f>AW72*AW73/1000</f>
        <v>0</v>
      </c>
      <c r="AX71" s="332">
        <f>AX72*AX73/1000</f>
        <v>0</v>
      </c>
      <c r="AY71" s="332">
        <f>AY72*AY73/1000</f>
        <v>0</v>
      </c>
      <c r="AZ71" s="332">
        <f>AZ72*AZ73/1000</f>
        <v>0</v>
      </c>
      <c r="BA71" s="332">
        <f>BA72*BA73/1000</f>
        <v>0</v>
      </c>
      <c r="BB71" s="332">
        <f>BB72*BB73/1000</f>
        <v>0</v>
      </c>
      <c r="BC71" s="73"/>
      <c r="BD71" s="220"/>
      <c r="BE71" s="220"/>
      <c r="BF71" s="1221" t="s">
        <v>1006</v>
      </c>
      <c r="BG71" s="1221" t="s">
        <v>1181</v>
      </c>
      <c r="BH71" s="1221" cm="1" t="str">
        <f t="array" ref="BH71:BH71">AC71</f>
        <v>0</v>
      </c>
      <c r="BI71" s="1221" cm="1" t="str">
        <f t="array" ref="BI71:BI71">AD73</f>
        <v>Гкал</v>
      </c>
      <c r="BJ71" s="1222"/>
      <c r="BK71" s="1222" t="b">
        <v>1</v>
      </c>
    </row>
    <row s="1387" customFormat="1" customHeight="1" ht="16.5" hidden="1">
      <c r="A72" s="1387"/>
      <c r="B72" s="1387"/>
      <c r="C72" s="1387"/>
      <c r="D72" s="1387"/>
      <c r="E72" s="794">
        <v>17</v>
      </c>
      <c r="F72" s="919" cm="1" t="str">
        <f t="array" ref="F72:F72">F70</f>
        <v>2</v>
      </c>
      <c r="G72" s="190" t="s">
        <v>190</v>
      </c>
      <c r="H72" s="152" cm="1" t="str">
        <f t="array" ref="H72:H72">H71</f>
        <v>0</v>
      </c>
      <c r="I72" s="1387"/>
      <c r="J72" s="1387"/>
      <c r="K72" s="1387"/>
      <c r="L72" s="1387"/>
      <c r="M72" s="1387"/>
      <c r="N72" s="1387"/>
      <c r="O72" s="1387"/>
      <c r="P72" s="1387"/>
      <c r="Q72" s="1387"/>
      <c r="R72" s="1387"/>
      <c r="S72" s="1387"/>
      <c r="T72" s="816" cm="1" t="str">
        <f t="array" ref="T72:T72">T71</f>
        <v>false</v>
      </c>
      <c r="U72" s="1387"/>
      <c r="V72" s="1387"/>
      <c r="W72" s="1387"/>
      <c r="X72" s="1387"/>
      <c r="Y72" s="1387"/>
      <c r="Z72" s="1387"/>
      <c r="AA72" s="1533"/>
      <c r="AB72" s="285" t="str">
        <f>AB71&amp;".1"</f>
        <v>1.0.1</v>
      </c>
      <c r="AC72" s="291" t="s">
        <v>942</v>
      </c>
      <c r="AD72" s="106" t="s">
        <v>152</v>
      </c>
      <c r="AE72" s="61"/>
      <c r="AF72" s="332">
        <f>IF(AF73=0,0,AF71/AF73)*1000</f>
        <v>0</v>
      </c>
      <c r="AG72" s="332">
        <f>IF(AG73=0,0,AG71/AG73)*1000</f>
        <v>0</v>
      </c>
      <c r="AH72" s="61"/>
      <c r="AI72" s="332">
        <f>IF(AI73=0,0,AI71/AI73)*1000</f>
        <v>0</v>
      </c>
      <c r="AJ72" s="332">
        <f>IF(AJ73=0,0,AJ71/AJ73)*1000</f>
        <v>0</v>
      </c>
      <c r="AK72" s="332">
        <f>IF(AK73=0,0,AK71/AK73)*1000</f>
        <v>0</v>
      </c>
      <c r="AL72" s="332">
        <f>IF(AL73=0,0,AL71/AL73)*1000</f>
        <v>0</v>
      </c>
      <c r="AM72" s="332">
        <f>IF(AM73=0,0,AM71/AM73)*1000</f>
        <v>0</v>
      </c>
      <c r="AN72" s="332">
        <f>IF(AN73=0,0,AN71/AN73)*1000</f>
        <v>0</v>
      </c>
      <c r="AO72" s="332">
        <f>IF(AO73=0,0,AO71/AO73)*1000</f>
        <v>0</v>
      </c>
      <c r="AP72" s="332">
        <f>IF(AP73=0,0,AP71/AP73)*1000</f>
        <v>0</v>
      </c>
      <c r="AQ72" s="332">
        <f>IF(AQ73=0,0,AQ71/AQ73)*1000</f>
        <v>0</v>
      </c>
      <c r="AR72" s="332">
        <f>IF(AR73=0,0,AR71/AR73)*1000</f>
        <v>0</v>
      </c>
      <c r="AS72" s="280"/>
      <c r="AT72" s="280"/>
      <c r="AU72" s="280"/>
      <c r="AV72" s="280"/>
      <c r="AW72" s="280"/>
      <c r="AX72" s="61"/>
      <c r="AY72" s="61"/>
      <c r="AZ72" s="61"/>
      <c r="BA72" s="61"/>
      <c r="BB72" s="61"/>
      <c r="BC72" s="73"/>
      <c r="BD72" s="1387"/>
      <c r="BE72" s="1387"/>
      <c r="BF72" s="1221" t="s">
        <v>1008</v>
      </c>
      <c r="BG72" s="1221" t="s">
        <v>1181</v>
      </c>
      <c r="BH72" s="1221" cm="1" t="str">
        <f t="array" ref="BH72:BH72">BH71</f>
        <v>0</v>
      </c>
      <c r="BI72" s="1221" cm="1" t="str">
        <f t="array" ref="BI72:BI72">BI71</f>
        <v>Гкал</v>
      </c>
      <c r="BJ72" s="1222"/>
      <c r="BK72" s="1222"/>
    </row>
    <row s="1619" customFormat="1" customHeight="1" ht="16.5" hidden="1">
      <c r="A73" s="1122" t="str">
        <f>"checkVolume_1."&amp;F73&amp;"."&amp;Y71</f>
        <v>checkVolume_1.2.0</v>
      </c>
      <c r="B73" s="924"/>
      <c r="C73" s="1425"/>
      <c r="D73" s="1425"/>
      <c r="E73" s="794">
        <v>17</v>
      </c>
      <c r="F73" s="919" cm="1" t="str">
        <f t="array" ref="F73:F73">F71</f>
        <v>2</v>
      </c>
      <c r="G73" s="190" t="s">
        <v>190</v>
      </c>
      <c r="H73" s="152" cm="1" t="str">
        <f t="array" ref="H73:H73">H71</f>
        <v>0</v>
      </c>
      <c r="I73" s="1532"/>
      <c r="J73" s="1532"/>
      <c r="K73" s="1532"/>
      <c r="L73" s="1532"/>
      <c r="M73" s="1532"/>
      <c r="N73" s="1532"/>
      <c r="O73" s="1532"/>
      <c r="P73" s="1532"/>
      <c r="Q73" s="190"/>
      <c r="R73" s="190"/>
      <c r="S73" s="1532"/>
      <c r="T73" s="816" cm="1" t="str">
        <f t="array" ref="T73:T73">T71</f>
        <v>false</v>
      </c>
      <c r="U73" s="1440"/>
      <c r="V73" s="1440"/>
      <c r="W73" s="1440"/>
      <c r="X73" s="1440"/>
      <c r="Y73" s="1440"/>
      <c r="Z73" s="1440"/>
      <c r="AA73" s="1533"/>
      <c r="AB73" s="285" t="str">
        <f>AB71&amp;".2"</f>
        <v>1.0.2</v>
      </c>
      <c r="AC73" s="291" t="s">
        <v>1182</v>
      </c>
      <c r="AD73" s="106" t="s">
        <v>591</v>
      </c>
      <c r="AE73" s="61"/>
      <c r="AF73" s="61"/>
      <c r="AG73" s="61"/>
      <c r="AH73" s="61"/>
      <c r="AI73" s="280"/>
      <c r="AJ73" s="280"/>
      <c r="AK73" s="280"/>
      <c r="AL73" s="280"/>
      <c r="AM73" s="280"/>
      <c r="AN73" s="61"/>
      <c r="AO73" s="61"/>
      <c r="AP73" s="61"/>
      <c r="AQ73" s="61"/>
      <c r="AR73" s="61"/>
      <c r="AS73" s="280"/>
      <c r="AT73" s="280"/>
      <c r="AU73" s="280"/>
      <c r="AV73" s="280"/>
      <c r="AW73" s="280"/>
      <c r="AX73" s="61"/>
      <c r="AY73" s="61"/>
      <c r="AZ73" s="61"/>
      <c r="BA73" s="61"/>
      <c r="BB73" s="61"/>
      <c r="BC73" s="73"/>
      <c r="BD73" s="220"/>
      <c r="BE73" s="220"/>
      <c r="BF73" s="1221" t="s">
        <v>1010</v>
      </c>
      <c r="BG73" s="1221" t="s">
        <v>1181</v>
      </c>
      <c r="BH73" s="1221" cm="1" t="str">
        <f t="array" ref="BH73:BH73">BH71</f>
        <v>0</v>
      </c>
      <c r="BI73" s="1221" cm="1" t="str">
        <f t="array" ref="BI73:BI73">BI71</f>
        <v>Гкал</v>
      </c>
      <c r="BJ73" s="1222"/>
      <c r="BK73" s="1222"/>
    </row>
    <row s="1619" customFormat="1" customHeight="1" ht="16.5">
      <c r="A74" s="1425"/>
      <c r="B74" s="924"/>
      <c r="C74" s="1425"/>
      <c r="D74" s="1425"/>
      <c r="E74" s="794">
        <v>17</v>
      </c>
      <c r="F74" s="919" cm="1" t="str">
        <f t="array" ref="F74:F74">F70</f>
        <v>2</v>
      </c>
      <c r="G74" s="190" t="str">
        <f>F74&amp;"pIns3"</f>
        <v>2pIns3</v>
      </c>
      <c r="H74" s="1532"/>
      <c r="I74" s="1532"/>
      <c r="J74" s="1532"/>
      <c r="K74" s="1532"/>
      <c r="L74" s="1532"/>
      <c r="M74" s="1532"/>
      <c r="N74" s="1532"/>
      <c r="O74" s="1532"/>
      <c r="P74" s="1532"/>
      <c r="Q74" s="190"/>
      <c r="R74" s="190"/>
      <c r="S74" s="1532"/>
      <c r="T74" s="816">
        <f>F74&gt;0</f>
        <v>1</v>
      </c>
      <c r="U74" s="1440"/>
      <c r="V74" s="1440"/>
      <c r="W74" s="371" t="s">
        <v>1183</v>
      </c>
      <c r="X74" s="1440"/>
      <c r="Y74" s="1440"/>
      <c r="Z74" s="1440"/>
      <c r="AA74" s="220"/>
      <c r="AB74" s="299"/>
      <c r="AC74" s="300" t="s">
        <v>978</v>
      </c>
      <c r="AD74" s="300"/>
      <c r="AE74" s="300"/>
      <c r="AF74" s="300"/>
      <c r="AG74" s="300"/>
      <c r="AH74" s="300"/>
      <c r="AI74" s="300"/>
      <c r="AJ74" s="300"/>
      <c r="AK74" s="300"/>
      <c r="AL74" s="300"/>
      <c r="AM74" s="300"/>
      <c r="AN74" s="300"/>
      <c r="AO74" s="300"/>
      <c r="AP74" s="300"/>
      <c r="AQ74" s="300"/>
      <c r="AR74" s="300"/>
      <c r="AS74" s="300"/>
      <c r="AT74" s="300"/>
      <c r="AU74" s="300"/>
      <c r="AV74" s="300"/>
      <c r="AW74" s="300"/>
      <c r="AX74" s="300"/>
      <c r="AY74" s="300"/>
      <c r="AZ74" s="300"/>
      <c r="BA74" s="300"/>
      <c r="BB74" s="300"/>
      <c r="BC74" s="1098"/>
      <c r="BD74" s="220"/>
      <c r="BE74" s="220"/>
      <c r="BF74" s="1221" t="str">
        <f>IF(AND(ISNUMBER(VALUE(TRIM(SUBSTITUTE(AB74,".","")))),TRIM(SUBSTITUTE(AB74,".",""))&lt;&gt;""),"P"&amp;SUBSTITUTE(AB74,".",""),"")</f>
        <v/>
      </c>
      <c r="BG74" s="1221"/>
      <c r="BH74" s="1221"/>
      <c r="BI74" s="1221"/>
      <c r="BJ74" s="1222" t="s">
        <v>1181</v>
      </c>
      <c r="BK74" s="1222"/>
    </row>
    <row s="1619" customFormat="1" customHeight="1" ht="16.5">
      <c r="A75" s="1425"/>
      <c r="B75" s="924"/>
      <c r="C75" s="1425"/>
      <c r="D75" s="1425"/>
      <c r="E75" s="794">
        <v>17</v>
      </c>
      <c r="F75" s="919" cm="1" t="str">
        <f t="array" ref="F75:F75">F74</f>
        <v>2</v>
      </c>
      <c r="G75" s="190" t="s">
        <v>1184</v>
      </c>
      <c r="H75" s="1532"/>
      <c r="I75" s="1532"/>
      <c r="J75" s="1532"/>
      <c r="K75" s="1532"/>
      <c r="L75" s="1532"/>
      <c r="M75" s="1532"/>
      <c r="N75" s="1532"/>
      <c r="O75" s="1532"/>
      <c r="P75" s="1532"/>
      <c r="Q75" s="190"/>
      <c r="R75" s="190"/>
      <c r="S75" s="1532"/>
      <c r="T75" s="816">
        <f>F75&gt;0</f>
        <v>1</v>
      </c>
      <c r="U75" s="1440"/>
      <c r="V75" s="1440"/>
      <c r="W75" s="1440"/>
      <c r="X75" s="1440"/>
      <c r="Y75" s="1440"/>
      <c r="Z75" s="1440"/>
      <c r="AA75" s="220"/>
      <c r="AB75" s="283">
        <v>2</v>
      </c>
      <c r="AC75" s="278" t="s">
        <v>1185</v>
      </c>
      <c r="AD75" s="277" t="s">
        <v>805</v>
      </c>
      <c r="AE75" s="279">
        <f>SUMIF($AD76:$AD80,$AD75,AE76:AE80)</f>
        <v>0</v>
      </c>
      <c r="AF75" s="279">
        <f>SUMIF($AD76:$AD80,$AD75,AF76:AF80)</f>
        <v>0</v>
      </c>
      <c r="AG75" s="279">
        <f>SUMIF($AD76:$AD80,$AD75,AG76:AG80)</f>
        <v>0</v>
      </c>
      <c r="AH75" s="279">
        <f>SUMIF($AD76:$AD80,$AD75,AH76:AH80)</f>
        <v>0</v>
      </c>
      <c r="AI75" s="279">
        <f>SUMIF($AD76:$AD80,$AD75,AI76:AI80)</f>
        <v>0</v>
      </c>
      <c r="AJ75" s="292">
        <f>SUMIF($AD76:$AD80,$AD75,AJ76:AJ80)</f>
        <v>0</v>
      </c>
      <c r="AK75" s="292">
        <f>SUMIF($AD76:$AD80,$AD75,AK76:AK80)</f>
        <v>0</v>
      </c>
      <c r="AL75" s="292">
        <f>SUMIF($AD76:$AD80,$AD75,AL76:AL80)</f>
        <v>0</v>
      </c>
      <c r="AM75" s="292">
        <f>SUMIF($AD76:$AD80,$AD75,AM76:AM80)</f>
        <v>0</v>
      </c>
      <c r="AN75" s="1793">
        <f>SUMIF($AD76:$AD80,$AD75,AN76:AN80)</f>
        <v>0</v>
      </c>
      <c r="AO75" s="1793">
        <f>SUMIF($AD76:$AD80,$AD75,AO76:AO80)</f>
        <v>0</v>
      </c>
      <c r="AP75" s="1793">
        <f>SUMIF($AD76:$AD80,$AD75,AP76:AP80)</f>
        <v>0</v>
      </c>
      <c r="AQ75" s="1793">
        <f>SUMIF($AD76:$AD80,$AD75,AQ76:AQ80)</f>
        <v>0</v>
      </c>
      <c r="AR75" s="1793">
        <f>SUMIF($AD76:$AD80,$AD75,AR76:AR80)</f>
        <v>0</v>
      </c>
      <c r="AS75" s="279">
        <f>SUMIF($AD76:$AD80,$AD75,AS76:AS80)</f>
        <v>0</v>
      </c>
      <c r="AT75" s="292">
        <f>SUMIF($AD76:$AD80,$AD75,AT76:AT80)</f>
        <v>0</v>
      </c>
      <c r="AU75" s="292">
        <f>SUMIF($AD76:$AD80,$AD75,AU76:AU80)</f>
        <v>0</v>
      </c>
      <c r="AV75" s="292">
        <f>SUMIF($AD76:$AD80,$AD75,AV76:AV80)</f>
        <v>0</v>
      </c>
      <c r="AW75" s="292">
        <f>SUMIF($AD76:$AD80,$AD75,AW76:AW80)</f>
        <v>0</v>
      </c>
      <c r="AX75" s="1793">
        <f>SUMIF($AD76:$AD80,$AD75,AX76:AX80)</f>
        <v>0</v>
      </c>
      <c r="AY75" s="1793">
        <f>SUMIF($AD76:$AD80,$AD75,AY76:AY80)</f>
        <v>0</v>
      </c>
      <c r="AZ75" s="1793">
        <f>SUMIF($AD76:$AD80,$AD75,AZ76:AZ80)</f>
        <v>0</v>
      </c>
      <c r="BA75" s="1793">
        <f>SUMIF($AD76:$AD80,$AD75,BA76:BA80)</f>
        <v>0</v>
      </c>
      <c r="BB75" s="1793">
        <f>SUMIF($AD76:$AD80,$AD75,BB76:BB80)</f>
        <v>0</v>
      </c>
      <c r="BC75" s="1730"/>
      <c r="BD75" s="220"/>
      <c r="BE75" s="220"/>
      <c r="BF75" s="1221" t="s">
        <v>1186</v>
      </c>
      <c r="BG75" s="1221"/>
      <c r="BH75" s="1221"/>
      <c r="BI75" s="1221"/>
      <c r="BJ75" s="1222"/>
      <c r="BK75" s="1222"/>
    </row>
    <row s="1619" customFormat="1" customHeight="1" ht="0" hidden="1">
      <c r="A76" s="1425"/>
      <c r="B76" s="924"/>
      <c r="C76" s="1425"/>
      <c r="D76" s="1425"/>
      <c r="E76" s="794">
        <v>0.2</v>
      </c>
      <c r="F76" s="919" cm="1" t="str">
        <f t="array" ref="F76:F76">F75</f>
        <v>2</v>
      </c>
      <c r="G76" s="1532"/>
      <c r="H76" s="1532"/>
      <c r="I76" s="1532"/>
      <c r="J76" s="1532"/>
      <c r="K76" s="1532"/>
      <c r="L76" s="1532"/>
      <c r="M76" s="1532"/>
      <c r="N76" s="1532"/>
      <c r="O76" s="1532"/>
      <c r="P76" s="1532"/>
      <c r="Q76" s="190"/>
      <c r="R76" s="190"/>
      <c r="S76" s="1532"/>
      <c r="T76" s="816" t="b">
        <v>0</v>
      </c>
      <c r="U76" s="1440"/>
      <c r="V76" s="1440"/>
      <c r="W76" s="1440"/>
      <c r="X76" s="1440"/>
      <c r="Y76" s="1440"/>
      <c r="Z76" s="1440"/>
      <c r="AA76" s="220"/>
      <c r="AB76" s="283"/>
      <c r="AC76" s="278"/>
      <c r="AD76" s="277"/>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c r="BC76" s="290"/>
      <c r="BD76" s="220"/>
      <c r="BE76" s="220"/>
      <c r="BF76" s="1221" t="str">
        <f>IF(AND(ISNUMBER(VALUE(TRIM(SUBSTITUTE(AB76,".","")))),TRIM(SUBSTITUTE(AB76,".",""))&lt;&gt;""),"P"&amp;SUBSTITUTE(AB76,".",""),"")</f>
        <v/>
      </c>
      <c r="BG76" s="1221"/>
      <c r="BH76" s="1221"/>
      <c r="BI76" s="1221"/>
      <c r="BJ76" s="1222"/>
      <c r="BK76" s="1222"/>
    </row>
    <row s="1619" customFormat="1" customHeight="1" ht="17.25" hidden="1">
      <c r="A77" s="1122" t="str">
        <f>"checkCosts_2."&amp;F77&amp;"."&amp;Y77</f>
        <v>checkCosts_2.2.0</v>
      </c>
      <c r="B77" s="924"/>
      <c r="C77" s="1425"/>
      <c r="D77" s="1425"/>
      <c r="E77" s="794">
        <v>18</v>
      </c>
      <c r="F77" s="919" cm="1" t="str">
        <f t="array" ref="F77:F77">OFFSET(G77,-1,-1)</f>
        <v>2</v>
      </c>
      <c r="G77" s="190" t="s">
        <v>1184</v>
      </c>
      <c r="H77" s="152" cm="1" t="str">
        <f t="array" ref="H77:H77">AC77</f>
        <v>0</v>
      </c>
      <c r="I77" s="1532"/>
      <c r="J77" s="1532"/>
      <c r="K77" s="1532"/>
      <c r="L77" s="1532"/>
      <c r="M77" s="1532"/>
      <c r="N77" s="1532"/>
      <c r="O77" s="1532"/>
      <c r="P77" s="1532"/>
      <c r="Q77" s="190"/>
      <c r="R77" s="190"/>
      <c r="S77" s="1532"/>
      <c r="T77" s="816">
        <f>AND(F77&gt;0,Y77&gt;0)</f>
        <v>0</v>
      </c>
      <c r="U77" s="1440"/>
      <c r="V77" s="1440"/>
      <c r="W77" s="156" t="s">
        <v>233</v>
      </c>
      <c r="X77" s="1440"/>
      <c r="Y77" s="156">
        <v>0</v>
      </c>
      <c r="Z77" s="1440"/>
      <c r="AA77" s="1533" t="s">
        <v>217</v>
      </c>
      <c r="AB77" s="285" t="str">
        <f>"2."&amp;Y77</f>
        <v>2.0</v>
      </c>
      <c r="AC77" s="460"/>
      <c r="AD77" s="277" t="s">
        <v>805</v>
      </c>
      <c r="AE77" s="332">
        <f>AE78*AE79</f>
        <v>0</v>
      </c>
      <c r="AF77" s="61"/>
      <c r="AG77" s="61"/>
      <c r="AH77" s="332">
        <f>AH78*AH79</f>
        <v>0</v>
      </c>
      <c r="AI77" s="280"/>
      <c r="AJ77" s="280"/>
      <c r="AK77" s="280"/>
      <c r="AL77" s="280"/>
      <c r="AM77" s="280"/>
      <c r="AN77" s="61"/>
      <c r="AO77" s="61"/>
      <c r="AP77" s="61"/>
      <c r="AQ77" s="61"/>
      <c r="AR77" s="61"/>
      <c r="AS77" s="332">
        <f>AS78*AS79</f>
        <v>0</v>
      </c>
      <c r="AT77" s="332">
        <f>AT78*AT79</f>
        <v>0</v>
      </c>
      <c r="AU77" s="332">
        <f>AU78*AU79</f>
        <v>0</v>
      </c>
      <c r="AV77" s="332">
        <f>AV78*AV79</f>
        <v>0</v>
      </c>
      <c r="AW77" s="332">
        <f>AW78*AW79</f>
        <v>0</v>
      </c>
      <c r="AX77" s="332">
        <f>AX78*AX79</f>
        <v>0</v>
      </c>
      <c r="AY77" s="332">
        <f>AY78*AY79</f>
        <v>0</v>
      </c>
      <c r="AZ77" s="332">
        <f>AZ78*AZ79</f>
        <v>0</v>
      </c>
      <c r="BA77" s="332">
        <f>BA78*BA79</f>
        <v>0</v>
      </c>
      <c r="BB77" s="332">
        <f>BB78*BB79</f>
        <v>0</v>
      </c>
      <c r="BC77" s="73"/>
      <c r="BD77" s="220"/>
      <c r="BE77" s="220"/>
      <c r="BF77" s="1221" t="s">
        <v>1187</v>
      </c>
      <c r="BG77" s="1221" t="s">
        <v>1188</v>
      </c>
      <c r="BH77" s="1221" cm="1" t="str">
        <f t="array" ref="BH77:BH77">AC77</f>
        <v>0</v>
      </c>
      <c r="BI77" s="1221" cm="1" t="str">
        <f t="array" ref="BI77:BI77">AD79</f>
        <v>тыс.куб.м</v>
      </c>
      <c r="BJ77" s="1222"/>
      <c r="BK77" s="1222" t="b">
        <v>1</v>
      </c>
    </row>
    <row s="1387" customFormat="1" customHeight="1" ht="16.5" hidden="1">
      <c r="A78" s="1387"/>
      <c r="B78" s="1387"/>
      <c r="C78" s="1387"/>
      <c r="D78" s="1387"/>
      <c r="E78" s="794">
        <v>17</v>
      </c>
      <c r="F78" s="919" cm="1" t="str">
        <f t="array" ref="F78:F78">F76</f>
        <v>2</v>
      </c>
      <c r="G78" s="190" t="s">
        <v>199</v>
      </c>
      <c r="H78" s="152" cm="1" t="str">
        <f t="array" ref="H78:H78">H77</f>
        <v>0</v>
      </c>
      <c r="I78" s="1387"/>
      <c r="J78" s="1387"/>
      <c r="K78" s="1387"/>
      <c r="L78" s="1387"/>
      <c r="M78" s="1387"/>
      <c r="N78" s="1387"/>
      <c r="O78" s="1387"/>
      <c r="P78" s="1387"/>
      <c r="Q78" s="1387"/>
      <c r="R78" s="1387"/>
      <c r="S78" s="1387"/>
      <c r="T78" s="816" cm="1" t="str">
        <f t="array" ref="T78:T78">T77</f>
        <v>false</v>
      </c>
      <c r="U78" s="1387"/>
      <c r="V78" s="1387"/>
      <c r="W78" s="1387"/>
      <c r="X78" s="1387"/>
      <c r="Y78" s="1387"/>
      <c r="Z78" s="1387"/>
      <c r="AA78" s="1533"/>
      <c r="AB78" s="285" t="str">
        <f>AB77&amp;".1"</f>
        <v>2.0.1</v>
      </c>
      <c r="AC78" s="291" t="s">
        <v>942</v>
      </c>
      <c r="AD78" s="106" t="s">
        <v>152</v>
      </c>
      <c r="AE78" s="61"/>
      <c r="AF78" s="332">
        <f>IF(AF79=0,0,AF77/AF79)</f>
        <v>0</v>
      </c>
      <c r="AG78" s="332">
        <f>IF(AG79=0,0,AG77/AG79)</f>
        <v>0</v>
      </c>
      <c r="AH78" s="61"/>
      <c r="AI78" s="332">
        <f>IF(AI79=0,0,AI77/AI79)</f>
        <v>0</v>
      </c>
      <c r="AJ78" s="332">
        <f>IF(AJ79=0,0,AJ77/AJ79)</f>
        <v>0</v>
      </c>
      <c r="AK78" s="332">
        <f>IF(AK79=0,0,AK77/AK79)</f>
        <v>0</v>
      </c>
      <c r="AL78" s="332">
        <f>IF(AL79=0,0,AL77/AL79)</f>
        <v>0</v>
      </c>
      <c r="AM78" s="332">
        <f>IF(AM79=0,0,AM77/AM79)</f>
        <v>0</v>
      </c>
      <c r="AN78" s="332">
        <f>IF(AN79=0,0,AN77/AN79)</f>
        <v>0</v>
      </c>
      <c r="AO78" s="332">
        <f>IF(AO79=0,0,AO77/AO79)</f>
        <v>0</v>
      </c>
      <c r="AP78" s="332">
        <f>IF(AP79=0,0,AP77/AP79)</f>
        <v>0</v>
      </c>
      <c r="AQ78" s="332">
        <f>IF(AQ79=0,0,AQ77/AQ79)</f>
        <v>0</v>
      </c>
      <c r="AR78" s="332">
        <f>IF(AR79=0,0,AR77/AR79)</f>
        <v>0</v>
      </c>
      <c r="AS78" s="280"/>
      <c r="AT78" s="280"/>
      <c r="AU78" s="280"/>
      <c r="AV78" s="280"/>
      <c r="AW78" s="280"/>
      <c r="AX78" s="61"/>
      <c r="AY78" s="61"/>
      <c r="AZ78" s="61"/>
      <c r="BA78" s="61"/>
      <c r="BB78" s="61"/>
      <c r="BC78" s="73"/>
      <c r="BD78" s="1387"/>
      <c r="BE78" s="1387"/>
      <c r="BF78" s="1221" t="s">
        <v>1189</v>
      </c>
      <c r="BG78" s="1221" t="s">
        <v>1188</v>
      </c>
      <c r="BH78" s="1221" cm="1" t="str">
        <f t="array" ref="BH78:BH78">BH77</f>
        <v>0</v>
      </c>
      <c r="BI78" s="1221" cm="1" t="str">
        <f t="array" ref="BI78:BI78">BI77</f>
        <v>тыс.куб.м</v>
      </c>
      <c r="BJ78" s="1222"/>
      <c r="BK78" s="1222"/>
    </row>
    <row s="1619" customFormat="1" customHeight="1" ht="16.5" hidden="1">
      <c r="A79" s="1122" t="str">
        <f>"checkVolume_2."&amp;F79&amp;"."&amp;Y77</f>
        <v>checkVolume_2.2.0</v>
      </c>
      <c r="B79" s="924"/>
      <c r="C79" s="1425"/>
      <c r="D79" s="1425"/>
      <c r="E79" s="794">
        <v>17</v>
      </c>
      <c r="F79" s="919" cm="1" t="str">
        <f t="array" ref="F79:F79">F77</f>
        <v>2</v>
      </c>
      <c r="G79" s="190" t="s">
        <v>199</v>
      </c>
      <c r="H79" s="152" cm="1" t="str">
        <f t="array" ref="H79:H79">H77</f>
        <v>0</v>
      </c>
      <c r="I79" s="1532"/>
      <c r="J79" s="1532"/>
      <c r="K79" s="1532"/>
      <c r="L79" s="1532"/>
      <c r="M79" s="1532"/>
      <c r="N79" s="1532"/>
      <c r="O79" s="1532"/>
      <c r="P79" s="1532"/>
      <c r="Q79" s="190"/>
      <c r="R79" s="190"/>
      <c r="S79" s="1532"/>
      <c r="T79" s="816" cm="1" t="str">
        <f t="array" ref="T79:T79">T77</f>
        <v>false</v>
      </c>
      <c r="U79" s="1440"/>
      <c r="V79" s="1440"/>
      <c r="W79" s="1440"/>
      <c r="X79" s="1440"/>
      <c r="Y79" s="1440"/>
      <c r="Z79" s="1440"/>
      <c r="AA79" s="1533"/>
      <c r="AB79" s="285" t="str">
        <f>AB77&amp;".2"</f>
        <v>2.0.2</v>
      </c>
      <c r="AC79" s="291" t="s">
        <v>1182</v>
      </c>
      <c r="AD79" s="106" t="s">
        <v>1000</v>
      </c>
      <c r="AE79" s="61"/>
      <c r="AF79" s="61"/>
      <c r="AG79" s="61"/>
      <c r="AH79" s="61"/>
      <c r="AI79" s="280"/>
      <c r="AJ79" s="280"/>
      <c r="AK79" s="280"/>
      <c r="AL79" s="280"/>
      <c r="AM79" s="280"/>
      <c r="AN79" s="61"/>
      <c r="AO79" s="61"/>
      <c r="AP79" s="61"/>
      <c r="AQ79" s="61"/>
      <c r="AR79" s="61"/>
      <c r="AS79" s="280"/>
      <c r="AT79" s="280"/>
      <c r="AU79" s="280"/>
      <c r="AV79" s="280"/>
      <c r="AW79" s="280"/>
      <c r="AX79" s="61"/>
      <c r="AY79" s="61"/>
      <c r="AZ79" s="61"/>
      <c r="BA79" s="61"/>
      <c r="BB79" s="61"/>
      <c r="BC79" s="73"/>
      <c r="BD79" s="220"/>
      <c r="BE79" s="220"/>
      <c r="BF79" s="1221" t="s">
        <v>1190</v>
      </c>
      <c r="BG79" s="1221" t="s">
        <v>1188</v>
      </c>
      <c r="BH79" s="1221" cm="1" t="str">
        <f t="array" ref="BH79:BH79">BH77</f>
        <v>0</v>
      </c>
      <c r="BI79" s="1221" cm="1" t="str">
        <f t="array" ref="BI79:BI79">BI77</f>
        <v>тыс.куб.м</v>
      </c>
      <c r="BJ79" s="1222"/>
      <c r="BK79" s="1222"/>
    </row>
    <row s="1619" customFormat="1" customHeight="1" ht="16.5">
      <c r="A80" s="1425"/>
      <c r="B80" s="924"/>
      <c r="C80" s="1425"/>
      <c r="D80" s="1425"/>
      <c r="E80" s="794">
        <v>17</v>
      </c>
      <c r="F80" s="919" cm="1" t="str">
        <f t="array" ref="F80:F80">F76</f>
        <v>2</v>
      </c>
      <c r="G80" s="190" t="str">
        <f>F80&amp;"pIns5"</f>
        <v>2pIns5</v>
      </c>
      <c r="H80" s="1532"/>
      <c r="I80" s="1532"/>
      <c r="J80" s="1532"/>
      <c r="K80" s="1532"/>
      <c r="L80" s="1532"/>
      <c r="M80" s="1532"/>
      <c r="N80" s="1532"/>
      <c r="O80" s="1532"/>
      <c r="P80" s="1532"/>
      <c r="Q80" s="190"/>
      <c r="R80" s="190"/>
      <c r="S80" s="1532"/>
      <c r="T80" s="816">
        <f>F80&gt;0</f>
        <v>1</v>
      </c>
      <c r="U80" s="1440"/>
      <c r="V80" s="1440"/>
      <c r="W80" s="371" t="s">
        <v>1191</v>
      </c>
      <c r="X80" s="1440"/>
      <c r="Y80" s="1440"/>
      <c r="Z80" s="1440"/>
      <c r="AA80" s="220"/>
      <c r="AB80" s="299"/>
      <c r="AC80" s="300" t="s">
        <v>978</v>
      </c>
      <c r="AD80" s="300"/>
      <c r="AE80" s="300"/>
      <c r="AF80" s="300"/>
      <c r="AG80" s="300"/>
      <c r="AH80" s="300"/>
      <c r="AI80" s="300"/>
      <c r="AJ80" s="300"/>
      <c r="AK80" s="300"/>
      <c r="AL80" s="300"/>
      <c r="AM80" s="300"/>
      <c r="AN80" s="300"/>
      <c r="AO80" s="300"/>
      <c r="AP80" s="300"/>
      <c r="AQ80" s="300"/>
      <c r="AR80" s="300"/>
      <c r="AS80" s="300"/>
      <c r="AT80" s="300"/>
      <c r="AU80" s="300"/>
      <c r="AV80" s="300"/>
      <c r="AW80" s="300"/>
      <c r="AX80" s="300"/>
      <c r="AY80" s="300"/>
      <c r="AZ80" s="300"/>
      <c r="BA80" s="300"/>
      <c r="BB80" s="300"/>
      <c r="BC80" s="1098"/>
      <c r="BD80" s="220"/>
      <c r="BE80" s="220"/>
      <c r="BF80" s="1221" t="str">
        <f>IF(AND(ISNUMBER(VALUE(TRIM(SUBSTITUTE(AB80,".","")))),TRIM(SUBSTITUTE(AB80,".",""))&lt;&gt;""),"P"&amp;SUBSTITUTE(AB80,".",""),"")</f>
        <v/>
      </c>
      <c r="BG80" s="1221"/>
      <c r="BH80" s="1221"/>
      <c r="BI80" s="1221"/>
      <c r="BJ80" s="1222" t="s">
        <v>1188</v>
      </c>
      <c r="BK80" s="1222"/>
    </row>
    <row s="1619" customFormat="1" customHeight="1" ht="16.5">
      <c r="A81" s="1425"/>
      <c r="B81" s="924"/>
      <c r="C81" s="1425"/>
      <c r="D81" s="1425"/>
      <c r="E81" s="794">
        <v>17</v>
      </c>
      <c r="F81" s="919" cm="1" t="str">
        <f t="array" ref="F81:F81">F80</f>
        <v>2</v>
      </c>
      <c r="G81" s="190" t="s">
        <v>1192</v>
      </c>
      <c r="H81" s="1532"/>
      <c r="I81" s="1532"/>
      <c r="J81" s="1532"/>
      <c r="K81" s="1532"/>
      <c r="L81" s="1532"/>
      <c r="M81" s="1532"/>
      <c r="N81" s="1532"/>
      <c r="O81" s="1532"/>
      <c r="P81" s="1532"/>
      <c r="Q81" s="190"/>
      <c r="R81" s="190"/>
      <c r="S81" s="1532"/>
      <c r="T81" s="816">
        <f>F81&gt;0</f>
        <v>1</v>
      </c>
      <c r="U81" s="1440"/>
      <c r="V81" s="1440"/>
      <c r="W81" s="1440"/>
      <c r="X81" s="1440"/>
      <c r="Y81" s="1440"/>
      <c r="Z81" s="1440"/>
      <c r="AA81" s="220"/>
      <c r="AB81" s="283">
        <v>3</v>
      </c>
      <c r="AC81" s="278" t="s">
        <v>1193</v>
      </c>
      <c r="AD81" s="277" t="s">
        <v>805</v>
      </c>
      <c r="AE81" s="279">
        <f>SUMIF($AD82:$AD86,$AD81,AE82:AE86)</f>
        <v>0</v>
      </c>
      <c r="AF81" s="279">
        <f>SUMIF($AD82:$AD86,$AD81,AF82:AF86)</f>
        <v>0</v>
      </c>
      <c r="AG81" s="279">
        <f>SUMIF($AD82:$AD86,$AD81,AG82:AG86)</f>
        <v>0</v>
      </c>
      <c r="AH81" s="279">
        <f>SUMIF($AD82:$AD86,$AD81,AH82:AH86)</f>
        <v>0</v>
      </c>
      <c r="AI81" s="279">
        <f>SUMIF($AD82:$AD86,$AD81,AI82:AI86)</f>
        <v>0</v>
      </c>
      <c r="AJ81" s="292">
        <f>SUMIF($AD82:$AD86,$AD81,AJ82:AJ86)</f>
        <v>0</v>
      </c>
      <c r="AK81" s="292">
        <f>SUMIF($AD82:$AD86,$AD81,AK82:AK86)</f>
        <v>0</v>
      </c>
      <c r="AL81" s="292">
        <f>SUMIF($AD82:$AD86,$AD81,AL82:AL86)</f>
        <v>0</v>
      </c>
      <c r="AM81" s="292">
        <f>SUMIF($AD82:$AD86,$AD81,AM82:AM86)</f>
        <v>0</v>
      </c>
      <c r="AN81" s="1793">
        <f>SUMIF($AD82:$AD86,$AD81,AN82:AN86)</f>
        <v>0</v>
      </c>
      <c r="AO81" s="1793">
        <f>SUMIF($AD82:$AD86,$AD81,AO82:AO86)</f>
        <v>0</v>
      </c>
      <c r="AP81" s="1793">
        <f>SUMIF($AD82:$AD86,$AD81,AP82:AP86)</f>
        <v>0</v>
      </c>
      <c r="AQ81" s="1793">
        <f>SUMIF($AD82:$AD86,$AD81,AQ82:AQ86)</f>
        <v>0</v>
      </c>
      <c r="AR81" s="1793">
        <f>SUMIF($AD82:$AD86,$AD81,AR82:AR86)</f>
        <v>0</v>
      </c>
      <c r="AS81" s="279">
        <f>SUMIF($AD82:$AD86,$AD81,AS82:AS86)</f>
        <v>0</v>
      </c>
      <c r="AT81" s="292">
        <f>SUMIF($AD82:$AD86,$AD81,AT82:AT86)</f>
        <v>0</v>
      </c>
      <c r="AU81" s="292">
        <f>SUMIF($AD82:$AD86,$AD81,AU82:AU86)</f>
        <v>0</v>
      </c>
      <c r="AV81" s="292">
        <f>SUMIF($AD82:$AD86,$AD81,AV82:AV86)</f>
        <v>0</v>
      </c>
      <c r="AW81" s="292">
        <f>SUMIF($AD82:$AD86,$AD81,AW82:AW86)</f>
        <v>0</v>
      </c>
      <c r="AX81" s="1793">
        <f>SUMIF($AD82:$AD86,$AD81,AX82:AX86)</f>
        <v>0</v>
      </c>
      <c r="AY81" s="1793">
        <f>SUMIF($AD82:$AD86,$AD81,AY82:AY86)</f>
        <v>0</v>
      </c>
      <c r="AZ81" s="1793">
        <f>SUMIF($AD82:$AD86,$AD81,AZ82:AZ86)</f>
        <v>0</v>
      </c>
      <c r="BA81" s="1793">
        <f>SUMIF($AD82:$AD86,$AD81,BA82:BA86)</f>
        <v>0</v>
      </c>
      <c r="BB81" s="1793">
        <f>SUMIF($AD82:$AD86,$AD81,BB82:BB86)</f>
        <v>0</v>
      </c>
      <c r="BC81" s="1730"/>
      <c r="BD81" s="220"/>
      <c r="BE81" s="220"/>
      <c r="BF81" s="1221" t="s">
        <v>1194</v>
      </c>
      <c r="BG81" s="1221"/>
      <c r="BH81" s="1221"/>
      <c r="BI81" s="1221"/>
      <c r="BJ81" s="1222"/>
      <c r="BK81" s="1222"/>
    </row>
    <row s="1619" customFormat="1" customHeight="1" ht="0" hidden="1">
      <c r="A82" s="1425"/>
      <c r="B82" s="924"/>
      <c r="C82" s="1425"/>
      <c r="D82" s="1425"/>
      <c r="E82" s="794">
        <v>0.2</v>
      </c>
      <c r="F82" s="919" cm="1" t="str">
        <f t="array" ref="F82:F82">F81</f>
        <v>2</v>
      </c>
      <c r="G82" s="1532"/>
      <c r="H82" s="1532"/>
      <c r="I82" s="1532"/>
      <c r="J82" s="1532"/>
      <c r="K82" s="1532"/>
      <c r="L82" s="1532"/>
      <c r="M82" s="1532"/>
      <c r="N82" s="1532"/>
      <c r="O82" s="1532"/>
      <c r="P82" s="1532"/>
      <c r="Q82" s="190"/>
      <c r="R82" s="190"/>
      <c r="S82" s="1532"/>
      <c r="T82" s="816" t="b">
        <v>0</v>
      </c>
      <c r="U82" s="1440"/>
      <c r="V82" s="1440"/>
      <c r="W82" s="1440"/>
      <c r="X82" s="1440"/>
      <c r="Y82" s="1440"/>
      <c r="Z82" s="1440"/>
      <c r="AA82" s="220"/>
      <c r="AB82" s="283"/>
      <c r="AC82" s="278"/>
      <c r="AD82" s="277"/>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c r="BC82" s="290"/>
      <c r="BD82" s="220"/>
      <c r="BE82" s="220"/>
      <c r="BF82" s="1221" t="str">
        <f>IF(AND(ISNUMBER(VALUE(TRIM(SUBSTITUTE(AB82,".","")))),TRIM(SUBSTITUTE(AB82,".",""))&lt;&gt;""),"P"&amp;SUBSTITUTE(AB82,".",""),"")</f>
        <v/>
      </c>
      <c r="BG82" s="1221"/>
      <c r="BH82" s="1221"/>
      <c r="BI82" s="1221"/>
      <c r="BJ82" s="1222"/>
      <c r="BK82" s="1222"/>
    </row>
    <row s="1619" customFormat="1" customHeight="1" ht="21.75" hidden="1">
      <c r="A83" s="1122" t="str">
        <f>"checkCosts_3."&amp;F83&amp;"."&amp;Y83</f>
        <v>checkCosts_3.2.0</v>
      </c>
      <c r="B83" s="924"/>
      <c r="C83" s="1425"/>
      <c r="D83" s="1425"/>
      <c r="E83" s="794">
        <v>22.8</v>
      </c>
      <c r="F83" s="919" cm="1" t="str">
        <f t="array" ref="F83:F83">OFFSET(G83,-1,-1)</f>
        <v>2</v>
      </c>
      <c r="G83" s="190" t="s">
        <v>1192</v>
      </c>
      <c r="H83" s="152" cm="1" t="str">
        <f t="array" ref="H83:H83">AC83</f>
        <v>0</v>
      </c>
      <c r="I83" s="1532"/>
      <c r="J83" s="1532"/>
      <c r="K83" s="1532"/>
      <c r="L83" s="1532"/>
      <c r="M83" s="1532"/>
      <c r="N83" s="1532"/>
      <c r="O83" s="1532"/>
      <c r="P83" s="1532"/>
      <c r="Q83" s="190"/>
      <c r="R83" s="190"/>
      <c r="S83" s="1532"/>
      <c r="T83" s="816">
        <f>AND(F83&gt;0,Y83&gt;0)</f>
        <v>0</v>
      </c>
      <c r="U83" s="1440"/>
      <c r="V83" s="1440"/>
      <c r="W83" s="156" t="s">
        <v>233</v>
      </c>
      <c r="X83" s="1440"/>
      <c r="Y83" s="156">
        <v>0</v>
      </c>
      <c r="Z83" s="1440"/>
      <c r="AA83" s="1533" t="s">
        <v>217</v>
      </c>
      <c r="AB83" s="285" t="str">
        <f>"3."&amp;Y83</f>
        <v>3.0</v>
      </c>
      <c r="AC83" s="54"/>
      <c r="AD83" s="277" t="s">
        <v>805</v>
      </c>
      <c r="AE83" s="332">
        <f>AE84*AE85</f>
        <v>0</v>
      </c>
      <c r="AF83" s="61"/>
      <c r="AG83" s="61"/>
      <c r="AH83" s="332">
        <f>AH84*AH85</f>
        <v>0</v>
      </c>
      <c r="AI83" s="280"/>
      <c r="AJ83" s="280"/>
      <c r="AK83" s="280"/>
      <c r="AL83" s="280"/>
      <c r="AM83" s="280"/>
      <c r="AN83" s="61"/>
      <c r="AO83" s="61"/>
      <c r="AP83" s="61"/>
      <c r="AQ83" s="61"/>
      <c r="AR83" s="61"/>
      <c r="AS83" s="332">
        <f>AS84*AS85</f>
        <v>0</v>
      </c>
      <c r="AT83" s="332">
        <f>AT84*AT85</f>
        <v>0</v>
      </c>
      <c r="AU83" s="332">
        <f>AU84*AU85</f>
        <v>0</v>
      </c>
      <c r="AV83" s="332">
        <f>AV84*AV85</f>
        <v>0</v>
      </c>
      <c r="AW83" s="332">
        <f>AW84*AW85</f>
        <v>0</v>
      </c>
      <c r="AX83" s="332">
        <f>AX84*AX85</f>
        <v>0</v>
      </c>
      <c r="AY83" s="332">
        <f>AY84*AY85</f>
        <v>0</v>
      </c>
      <c r="AZ83" s="332">
        <f>AZ84*AZ85</f>
        <v>0</v>
      </c>
      <c r="BA83" s="332">
        <f>BA84*BA85</f>
        <v>0</v>
      </c>
      <c r="BB83" s="332">
        <f>BB84*BB85</f>
        <v>0</v>
      </c>
      <c r="BC83" s="73"/>
      <c r="BD83" s="220"/>
      <c r="BE83" s="220"/>
      <c r="BF83" s="1221" t="s">
        <v>1195</v>
      </c>
      <c r="BG83" s="1221" t="s">
        <v>1196</v>
      </c>
      <c r="BH83" s="1221" cm="1" t="str">
        <f t="array" ref="BH83:BH83">AC83</f>
        <v>0</v>
      </c>
      <c r="BI83" s="1221" cm="1" t="str">
        <f t="array" ref="BI83:BI83">AD85</f>
        <v>0</v>
      </c>
      <c r="BJ83" s="1222"/>
      <c r="BK83" s="1222" t="b">
        <v>1</v>
      </c>
    </row>
    <row s="1387" customFormat="1" customHeight="1" ht="16.5" hidden="1">
      <c r="A84" s="1387"/>
      <c r="B84" s="1387"/>
      <c r="C84" s="1387"/>
      <c r="D84" s="1387"/>
      <c r="E84" s="794">
        <v>17</v>
      </c>
      <c r="F84" s="919" cm="1" t="str">
        <f t="array" ref="F84:F84">F82</f>
        <v>2</v>
      </c>
      <c r="G84" s="190" t="s">
        <v>267</v>
      </c>
      <c r="H84" s="152" cm="1" t="str">
        <f t="array" ref="H84:H84">H83</f>
        <v>0</v>
      </c>
      <c r="I84" s="1387"/>
      <c r="J84" s="1387"/>
      <c r="K84" s="1387"/>
      <c r="L84" s="1387"/>
      <c r="M84" s="1387"/>
      <c r="N84" s="1387"/>
      <c r="O84" s="1387"/>
      <c r="P84" s="1387"/>
      <c r="Q84" s="1387"/>
      <c r="R84" s="1387"/>
      <c r="S84" s="1387"/>
      <c r="T84" s="816" cm="1" t="str">
        <f t="array" ref="T84:T84">T83</f>
        <v>false</v>
      </c>
      <c r="U84" s="1387"/>
      <c r="V84" s="1387"/>
      <c r="W84" s="1387"/>
      <c r="X84" s="1387"/>
      <c r="Y84" s="1387"/>
      <c r="Z84" s="1387"/>
      <c r="AA84" s="1533"/>
      <c r="AB84" s="285" t="str">
        <f>AB83&amp;".1"</f>
        <v>3.0.1</v>
      </c>
      <c r="AC84" s="291" t="s">
        <v>942</v>
      </c>
      <c r="AD84" s="106" t="s">
        <v>152</v>
      </c>
      <c r="AE84" s="61"/>
      <c r="AF84" s="332">
        <f>IF(AF85=0,0,AF83/AF85)</f>
        <v>0</v>
      </c>
      <c r="AG84" s="332">
        <f>IF(AG85=0,0,AG83/AG85)</f>
        <v>0</v>
      </c>
      <c r="AH84" s="61"/>
      <c r="AI84" s="332">
        <f>IF(AI85=0,0,AI83/AI85)</f>
        <v>0</v>
      </c>
      <c r="AJ84" s="332">
        <f>IF(AJ85=0,0,AJ83/AJ85)</f>
        <v>0</v>
      </c>
      <c r="AK84" s="332">
        <f>IF(AK85=0,0,AK83/AK85)</f>
        <v>0</v>
      </c>
      <c r="AL84" s="332">
        <f>IF(AL85=0,0,AL83/AL85)</f>
        <v>0</v>
      </c>
      <c r="AM84" s="332">
        <f>IF(AM85=0,0,AM83/AM85)</f>
        <v>0</v>
      </c>
      <c r="AN84" s="332">
        <f>IF(AN85=0,0,AN83/AN85)</f>
        <v>0</v>
      </c>
      <c r="AO84" s="332">
        <f>IF(AO85=0,0,AO83/AO85)</f>
        <v>0</v>
      </c>
      <c r="AP84" s="332">
        <f>IF(AP85=0,0,AP83/AP85)</f>
        <v>0</v>
      </c>
      <c r="AQ84" s="332">
        <f>IF(AQ85=0,0,AQ83/AQ85)</f>
        <v>0</v>
      </c>
      <c r="AR84" s="332">
        <f>IF(AR85=0,0,AR83/AR85)</f>
        <v>0</v>
      </c>
      <c r="AS84" s="280"/>
      <c r="AT84" s="280"/>
      <c r="AU84" s="280"/>
      <c r="AV84" s="280"/>
      <c r="AW84" s="280"/>
      <c r="AX84" s="61"/>
      <c r="AY84" s="61"/>
      <c r="AZ84" s="61"/>
      <c r="BA84" s="61"/>
      <c r="BB84" s="61"/>
      <c r="BC84" s="73"/>
      <c r="BD84" s="1387"/>
      <c r="BE84" s="1387"/>
      <c r="BF84" s="1221" t="s">
        <v>1197</v>
      </c>
      <c r="BG84" s="1221" t="s">
        <v>1196</v>
      </c>
      <c r="BH84" s="1221" cm="1" t="str">
        <f t="array" ref="BH84:BH84">BH83</f>
        <v>0</v>
      </c>
      <c r="BI84" s="1221" cm="1" t="str">
        <f t="array" ref="BI84:BI84">BI83</f>
        <v>0</v>
      </c>
      <c r="BJ84" s="1222"/>
      <c r="BK84" s="1222"/>
    </row>
    <row s="1619" customFormat="1" customHeight="1" ht="16.5" hidden="1">
      <c r="A85" s="1122" t="str">
        <f>"checkVolume_3."&amp;F85&amp;"."&amp;Y83</f>
        <v>checkVolume_3.2.0</v>
      </c>
      <c r="B85" s="924"/>
      <c r="C85" s="1425"/>
      <c r="D85" s="1425"/>
      <c r="E85" s="794">
        <v>17</v>
      </c>
      <c r="F85" s="919" cm="1" t="str">
        <f t="array" ref="F85:F85">F83</f>
        <v>2</v>
      </c>
      <c r="G85" s="190" t="s">
        <v>267</v>
      </c>
      <c r="H85" s="152" cm="1" t="str">
        <f t="array" ref="H85:H85">H83</f>
        <v>0</v>
      </c>
      <c r="I85" s="1532"/>
      <c r="J85" s="1532"/>
      <c r="K85" s="1532"/>
      <c r="L85" s="1532"/>
      <c r="M85" s="1532"/>
      <c r="N85" s="1532"/>
      <c r="O85" s="1532"/>
      <c r="P85" s="1532"/>
      <c r="Q85" s="190"/>
      <c r="R85" s="190"/>
      <c r="S85" s="1532"/>
      <c r="T85" s="816" cm="1" t="str">
        <f t="array" ref="T85:T85">T83</f>
        <v>false</v>
      </c>
      <c r="U85" s="1440"/>
      <c r="V85" s="1440"/>
      <c r="W85" s="1440"/>
      <c r="X85" s="1440"/>
      <c r="Y85" s="1440"/>
      <c r="Z85" s="1440"/>
      <c r="AA85" s="1533"/>
      <c r="AB85" s="285" t="str">
        <f>AB83&amp;".2"</f>
        <v>3.0.2</v>
      </c>
      <c r="AC85" s="291" t="s">
        <v>1182</v>
      </c>
      <c r="AD85" s="106"/>
      <c r="AE85" s="61"/>
      <c r="AF85" s="61"/>
      <c r="AG85" s="61"/>
      <c r="AH85" s="61"/>
      <c r="AI85" s="280"/>
      <c r="AJ85" s="280"/>
      <c r="AK85" s="280"/>
      <c r="AL85" s="280"/>
      <c r="AM85" s="280"/>
      <c r="AN85" s="61"/>
      <c r="AO85" s="61"/>
      <c r="AP85" s="61"/>
      <c r="AQ85" s="61"/>
      <c r="AR85" s="61"/>
      <c r="AS85" s="280"/>
      <c r="AT85" s="280"/>
      <c r="AU85" s="280"/>
      <c r="AV85" s="280"/>
      <c r="AW85" s="280"/>
      <c r="AX85" s="61"/>
      <c r="AY85" s="61"/>
      <c r="AZ85" s="61"/>
      <c r="BA85" s="61"/>
      <c r="BB85" s="61"/>
      <c r="BC85" s="73"/>
      <c r="BD85" s="220"/>
      <c r="BE85" s="220"/>
      <c r="BF85" s="1221" t="s">
        <v>1198</v>
      </c>
      <c r="BG85" s="1221" t="s">
        <v>1196</v>
      </c>
      <c r="BH85" s="1221" cm="1" t="str">
        <f t="array" ref="BH85:BH85">BH83</f>
        <v>0</v>
      </c>
      <c r="BI85" s="1221" cm="1" t="str">
        <f t="array" ref="BI85:BI85">BI83</f>
        <v>0</v>
      </c>
      <c r="BJ85" s="1222"/>
      <c r="BK85" s="1222"/>
    </row>
    <row s="1619" customFormat="1" customHeight="1" ht="16.5">
      <c r="A86" s="1425"/>
      <c r="B86" s="924"/>
      <c r="C86" s="1425"/>
      <c r="D86" s="1425"/>
      <c r="E86" s="794">
        <v>17</v>
      </c>
      <c r="F86" s="919" cm="1" t="str">
        <f t="array" ref="F86:F86">F82</f>
        <v>2</v>
      </c>
      <c r="G86" s="190" t="str">
        <f>F86&amp;"pIns5"</f>
        <v>2pIns5</v>
      </c>
      <c r="H86" s="1532"/>
      <c r="I86" s="1532"/>
      <c r="J86" s="1532"/>
      <c r="K86" s="1532"/>
      <c r="L86" s="1532"/>
      <c r="M86" s="1532"/>
      <c r="N86" s="1532"/>
      <c r="O86" s="1532"/>
      <c r="P86" s="1532"/>
      <c r="Q86" s="190"/>
      <c r="R86" s="190"/>
      <c r="S86" s="1532"/>
      <c r="T86" s="816">
        <f>F86&gt;0</f>
        <v>1</v>
      </c>
      <c r="U86" s="1440"/>
      <c r="V86" s="1440"/>
      <c r="W86" s="371" t="s">
        <v>1199</v>
      </c>
      <c r="X86" s="1440"/>
      <c r="Y86" s="1440"/>
      <c r="Z86" s="1440"/>
      <c r="AA86" s="220"/>
      <c r="AB86" s="299"/>
      <c r="AC86" s="300" t="s">
        <v>978</v>
      </c>
      <c r="AD86" s="300"/>
      <c r="AE86" s="300"/>
      <c r="AF86" s="300"/>
      <c r="AG86" s="300"/>
      <c r="AH86" s="300"/>
      <c r="AI86" s="300"/>
      <c r="AJ86" s="300"/>
      <c r="AK86" s="300"/>
      <c r="AL86" s="300"/>
      <c r="AM86" s="300"/>
      <c r="AN86" s="300"/>
      <c r="AO86" s="300"/>
      <c r="AP86" s="300"/>
      <c r="AQ86" s="300"/>
      <c r="AR86" s="300"/>
      <c r="AS86" s="300"/>
      <c r="AT86" s="300"/>
      <c r="AU86" s="300"/>
      <c r="AV86" s="300"/>
      <c r="AW86" s="300"/>
      <c r="AX86" s="300"/>
      <c r="AY86" s="300"/>
      <c r="AZ86" s="300"/>
      <c r="BA86" s="300"/>
      <c r="BB86" s="300"/>
      <c r="BC86" s="1098"/>
      <c r="BD86" s="220"/>
      <c r="BE86" s="220"/>
      <c r="BF86" s="1221"/>
      <c r="BG86" s="1221"/>
      <c r="BH86" s="1221"/>
      <c r="BI86" s="1221"/>
      <c r="BJ86" s="1222" t="s">
        <v>1196</v>
      </c>
      <c r="BK86" s="1222"/>
    </row>
    <row customHeight="1" ht="16.575">
      <c r="E87" s="794">
        <v>17</v>
      </c>
      <c r="U87" s="176" t="s">
        <v>235</v>
      </c>
      <c r="V87" s="168" t="s">
        <v>1201</v>
      </c>
      <c r="AI87" s="220"/>
      <c r="AJ87" s="220"/>
      <c r="AK87" s="220"/>
      <c r="AL87" s="220"/>
      <c r="AM87" s="220"/>
      <c r="AN87" s="220"/>
      <c r="AO87" s="220"/>
      <c r="AP87" s="220"/>
      <c r="AQ87" s="220"/>
      <c r="AR87" s="220"/>
      <c r="AS87" s="220"/>
      <c r="AT87" s="220"/>
      <c r="AU87" s="220"/>
      <c r="AV87" s="220"/>
      <c r="AW87" s="220"/>
      <c r="AX87" s="220"/>
      <c r="AY87" s="220"/>
      <c r="AZ87" s="220"/>
      <c r="BA87" s="220"/>
      <c r="BB87" s="220"/>
    </row>
    <row customHeight="1" ht="11.25" hidden="1">
      <c r="E88" s="794">
        <v>0</v>
      </c>
      <c r="AB88" s="199"/>
      <c r="AC88" s="184"/>
      <c r="AD88" s="184"/>
      <c r="AE88" s="184"/>
      <c r="AF88" s="184"/>
      <c r="AG88" s="184"/>
      <c r="AH88" s="184"/>
      <c r="AI88" s="184"/>
      <c r="AJ88" s="184"/>
      <c r="AK88" s="184"/>
      <c r="AL88" s="184"/>
      <c r="AM88" s="184"/>
      <c r="AN88" s="184"/>
      <c r="AO88" s="184"/>
      <c r="AP88" s="184"/>
      <c r="AQ88" s="184"/>
      <c r="AR88" s="184"/>
      <c r="AS88" s="184"/>
      <c r="AT88" s="184"/>
      <c r="AU88" s="184"/>
      <c r="AV88" s="184"/>
      <c r="AW88" s="184"/>
      <c r="AX88" s="184"/>
      <c r="AY88" s="184"/>
      <c r="AZ88" s="184"/>
      <c r="BA88" s="184"/>
      <c r="BB88" s="184"/>
      <c r="BC88" s="184"/>
    </row>
    <row s="497" customFormat="1" customHeight="1" ht="14.625">
      <c r="A89" s="172"/>
      <c r="B89" s="785"/>
      <c r="C89" s="172"/>
      <c r="D89" s="172"/>
      <c r="E89" s="794">
        <v>15</v>
      </c>
      <c r="F89" s="172"/>
      <c r="Q89" s="736"/>
      <c r="R89" s="736"/>
      <c r="T89" s="172"/>
      <c r="U89" s="172"/>
      <c r="V89" s="172"/>
      <c r="W89" s="172"/>
      <c r="X89" s="172"/>
      <c r="Y89" s="172"/>
      <c r="Z89" s="172"/>
      <c r="AB89" s="1527" t="s">
        <v>700</v>
      </c>
      <c r="AC89" s="1527"/>
      <c r="AD89" s="1527"/>
      <c r="AE89" s="1527"/>
      <c r="AF89" s="1527"/>
      <c r="AG89" s="1527"/>
      <c r="AH89" s="1527"/>
      <c r="AI89" s="1528"/>
      <c r="AJ89" s="1528"/>
      <c r="AK89" s="1528"/>
      <c r="AL89" s="1528"/>
      <c r="AM89" s="1528"/>
      <c r="AN89" s="1528"/>
      <c r="AO89" s="1528"/>
      <c r="AP89" s="1528"/>
      <c r="AQ89" s="1528"/>
      <c r="AR89" s="1528"/>
      <c r="AS89" s="1528"/>
      <c r="AT89" s="1528"/>
      <c r="AU89" s="1528"/>
      <c r="AV89" s="1528"/>
      <c r="AW89" s="1528"/>
      <c r="AX89" s="1528"/>
      <c r="AY89" s="1528"/>
      <c r="AZ89" s="1528"/>
      <c r="BA89" s="1528"/>
      <c r="BB89" s="1528"/>
      <c r="BC89" s="1528"/>
      <c r="BF89" s="1225"/>
      <c r="BG89" s="1225"/>
      <c r="BH89" s="1225"/>
      <c r="BI89" s="1225"/>
      <c r="BJ89" s="1226"/>
      <c r="BK89" s="1226"/>
    </row>
    <row s="497" customFormat="1" customHeight="1" ht="14.625">
      <c r="A90" s="172"/>
      <c r="B90" s="785"/>
      <c r="C90" s="172"/>
      <c r="D90" s="172"/>
      <c r="E90" s="794">
        <v>15</v>
      </c>
      <c r="F90" s="172"/>
      <c r="Q90" s="736"/>
      <c r="R90" s="736"/>
      <c r="T90" s="172"/>
      <c r="U90" s="172"/>
      <c r="V90" s="172"/>
      <c r="W90" s="172"/>
      <c r="X90" s="172"/>
      <c r="Y90" s="172"/>
      <c r="Z90" s="172"/>
      <c r="AA90" s="918"/>
      <c r="AB90" s="1529"/>
      <c r="AC90" s="1529"/>
      <c r="AD90" s="1529"/>
      <c r="AE90" s="1529"/>
      <c r="AF90" s="1529"/>
      <c r="AG90" s="1529"/>
      <c r="AH90" s="1529"/>
      <c r="AI90" s="1530"/>
      <c r="AJ90" s="1530"/>
      <c r="AK90" s="1530"/>
      <c r="AL90" s="1530"/>
      <c r="AM90" s="1530"/>
      <c r="AN90" s="1796"/>
      <c r="AO90" s="1796"/>
      <c r="AP90" s="1796"/>
      <c r="AQ90" s="1796"/>
      <c r="AR90" s="1796"/>
      <c r="AS90" s="1530"/>
      <c r="AT90" s="1530"/>
      <c r="AU90" s="1530"/>
      <c r="AV90" s="1530"/>
      <c r="AW90" s="1530"/>
      <c r="AX90" s="1796"/>
      <c r="AY90" s="1796"/>
      <c r="AZ90" s="1796"/>
      <c r="BA90" s="1796"/>
      <c r="BB90" s="1796"/>
      <c r="BC90" s="1530"/>
      <c r="BF90" s="1225"/>
      <c r="BG90" s="1225"/>
      <c r="BH90" s="1225"/>
      <c r="BI90" s="1225"/>
      <c r="BJ90" s="1226"/>
      <c r="BK90" s="1226"/>
    </row>
    <row s="497" customFormat="1" customHeight="1" ht="14.625" hidden="1">
      <c r="A91" s="172"/>
      <c r="B91" s="785"/>
      <c r="C91" s="172"/>
      <c r="D91" s="172"/>
      <c r="E91" s="794">
        <v>15</v>
      </c>
      <c r="F91" s="172"/>
      <c r="G91" s="497"/>
      <c r="H91" s="497"/>
      <c r="I91" s="497"/>
      <c r="J91" s="497"/>
      <c r="K91" s="497"/>
      <c r="L91" s="497"/>
      <c r="M91" s="497"/>
      <c r="N91" s="497"/>
      <c r="O91" s="497"/>
      <c r="P91" s="497"/>
      <c r="Q91" s="736"/>
      <c r="R91" s="736"/>
      <c r="S91" s="497"/>
      <c r="T91" s="805">
        <f>ROW(W91)&gt;ROW(W$91)</f>
        <v>0</v>
      </c>
      <c r="U91" s="172"/>
      <c r="V91" s="176"/>
      <c r="W91" s="172" t="s">
        <v>233</v>
      </c>
      <c r="X91" s="172"/>
      <c r="Y91" s="172"/>
      <c r="Z91" s="172"/>
      <c r="AA91" s="914" t="s">
        <v>217</v>
      </c>
      <c r="AB91" s="1797"/>
      <c r="AC91" s="1797"/>
      <c r="AD91" s="1797"/>
      <c r="AE91" s="1797"/>
      <c r="AF91" s="1797"/>
      <c r="AG91" s="1797"/>
      <c r="AH91" s="1797"/>
      <c r="AI91" s="1530"/>
      <c r="AJ91" s="1530"/>
      <c r="AK91" s="1530"/>
      <c r="AL91" s="1530"/>
      <c r="AM91" s="1530"/>
      <c r="AN91" s="1796"/>
      <c r="AO91" s="1796"/>
      <c r="AP91" s="1796"/>
      <c r="AQ91" s="1796"/>
      <c r="AR91" s="1796"/>
      <c r="AS91" s="1530"/>
      <c r="AT91" s="1530"/>
      <c r="AU91" s="1530"/>
      <c r="AV91" s="1530"/>
      <c r="AW91" s="1530"/>
      <c r="AX91" s="1796"/>
      <c r="AY91" s="1796"/>
      <c r="AZ91" s="1796"/>
      <c r="BA91" s="1796"/>
      <c r="BB91" s="1796"/>
      <c r="BC91" s="1796"/>
      <c r="BD91" s="497"/>
      <c r="BE91" s="497"/>
      <c r="BF91" s="1225"/>
      <c r="BG91" s="1225"/>
      <c r="BH91" s="1225"/>
      <c r="BI91" s="1225"/>
      <c r="BJ91" s="1226"/>
      <c r="BK91" s="1226"/>
    </row>
    <row s="497" customFormat="1" customHeight="1" ht="14.625">
      <c r="A92" s="172"/>
      <c r="B92" s="785"/>
      <c r="C92" s="172"/>
      <c r="D92" s="172"/>
      <c r="E92" s="794">
        <v>15</v>
      </c>
      <c r="F92" s="172"/>
      <c r="Q92" s="736"/>
      <c r="R92" s="736"/>
      <c r="T92" s="172"/>
      <c r="U92" s="172"/>
      <c r="V92" s="172"/>
      <c r="W92" s="168" t="s">
        <v>1202</v>
      </c>
      <c r="X92" s="172"/>
      <c r="Y92" s="172"/>
      <c r="Z92" s="172"/>
      <c r="AB92" s="1475" t="s">
        <v>701</v>
      </c>
      <c r="AC92" s="1476"/>
      <c r="AD92" s="380"/>
      <c r="AE92" s="380"/>
      <c r="AF92" s="381"/>
      <c r="AG92" s="381"/>
      <c r="AH92" s="381"/>
      <c r="AI92" s="381"/>
      <c r="AJ92" s="381"/>
      <c r="AK92" s="381"/>
      <c r="AL92" s="381"/>
      <c r="AM92" s="381"/>
      <c r="AN92" s="381"/>
      <c r="AO92" s="381"/>
      <c r="AP92" s="381"/>
      <c r="AQ92" s="381"/>
      <c r="AR92" s="381"/>
      <c r="AS92" s="381"/>
      <c r="AT92" s="381"/>
      <c r="AU92" s="381"/>
      <c r="AV92" s="381"/>
      <c r="AW92" s="381"/>
      <c r="AX92" s="381"/>
      <c r="AY92" s="381"/>
      <c r="AZ92" s="381"/>
      <c r="BA92" s="381"/>
      <c r="BB92" s="381"/>
      <c r="BC92" s="382"/>
      <c r="BF92" s="1225"/>
      <c r="BG92" s="1225"/>
      <c r="BH92" s="1225"/>
      <c r="BI92" s="1225"/>
      <c r="BJ92" s="1226"/>
      <c r="BK92" s="1226"/>
    </row>
    <row customHeight="1" ht="11.25">
      <c r="AI93" s="220"/>
      <c r="AJ93" s="220"/>
      <c r="AK93" s="220"/>
      <c r="AL93" s="220"/>
      <c r="AM93" s="220"/>
      <c r="AN93" s="220"/>
      <c r="AO93" s="220"/>
      <c r="AP93" s="220"/>
      <c r="AQ93" s="220"/>
      <c r="AR93" s="220"/>
      <c r="AS93" s="220"/>
      <c r="AT93" s="220"/>
      <c r="AU93" s="220"/>
      <c r="AV93" s="220"/>
      <c r="AW93" s="220"/>
      <c r="AX93" s="220"/>
      <c r="AY93" s="220"/>
      <c r="AZ93" s="220"/>
      <c r="BA93" s="220"/>
      <c r="BB93" s="220"/>
      <c r="BD93" s="220"/>
    </row>
  </sheetData>
  <sheetProtection formatColumns="0" formatRows="0" insertRows="0" deleteColumns="0" deleteRows="0" sort="0" autoFilter="0" insertColumns="1"/>
  <mergeCells count="34">
    <mergeCell ref="X27:X45"/>
    <mergeCell ref="Y30:Y32"/>
    <mergeCell ref="Y36:Y38"/>
    <mergeCell ref="Y42:Y44"/>
    <mergeCell ref="Z27:Z45"/>
    <mergeCell ref="AB91:BC91"/>
    <mergeCell ref="AB92:AC92"/>
    <mergeCell ref="AB89:BC89"/>
    <mergeCell ref="AB90:BC90"/>
    <mergeCell ref="AA36:AA38"/>
    <mergeCell ref="AA42:AA44"/>
    <mergeCell ref="AB24:AB25"/>
    <mergeCell ref="AC24:AC25"/>
    <mergeCell ref="AD24:AD25"/>
    <mergeCell ref="BC24:BC25"/>
    <mergeCell ref="AA30:AA32"/>
    <mergeCell ref="X46:X67"/>
    <mergeCell ref="Y49:Y51"/>
    <mergeCell ref="Y58:Y60"/>
    <mergeCell ref="Y64:Y66"/>
    <mergeCell ref="Z46:Z67"/>
    <mergeCell ref="AA58:AA60"/>
    <mergeCell ref="AA64:AA66"/>
    <mergeCell ref="AA49:AA51"/>
    <mergeCell ref="X68:X86"/>
    <mergeCell ref="Y71:Y73"/>
    <mergeCell ref="Y77:Y79"/>
    <mergeCell ref="Y83:Y85"/>
    <mergeCell ref="Z68:Z86"/>
    <mergeCell ref="AA77:AA79"/>
    <mergeCell ref="AA83:AA85"/>
    <mergeCell ref="AA71:AA73"/>
    <mergeCell ref="Y52:Y54"/>
    <mergeCell ref="AA52:AA5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AE54 AF51:AF54 AG51:AG54 AH51:AH54 AI51:AI54 AJ51:AJ54 AK51:AK54 AL51:AL54 AM51:AM54 AN51:AN54 AO51:AO54 AP51:AP54 AQ51:AQ54 AR51:AR54 AS51:AS54 AT51:AT54 AU51:AU54 AV51:AV54 AW51:AW54 AX51:AX54 AY51:AY54 AZ51:AZ54 BA51:BA54 BB51:BB54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AE71 AF71 AG71 AH71 AI71 AJ71 AK71 AL71 AM71 AN71 AO71 AP71 AQ71 AR71 AS71 AT71 AU71 AV71 AW71 AX71 AY71 AZ71 BA71 BB71 AE72 AF72 AG72 AH72 AI72 AJ72 AK72 AL72 AM72 AN72 AO72 AP72 AQ72 AR72 AS72 AT72 AU72 AV72 AW72 AX72 AY72 AZ72 BA72 BB72 AE73 AF73 AG73 AH73 AI73 AJ73 AK73 AL73 AM73 AN73 AO73 AP73 AQ73 AR73 AS73 AT73 AU73 AV73 AW73 AX73 AY73 AZ73 BA73 BB73 AE77 AF77 AG77 AH77 AI77 AJ77 AK77 AL77 AM77 AN77 AO77 AP77 AQ77 AR77 AS77 AT77 AU77 AV77 AW77 AX77 AY77 AZ77 BA77 BB77 AE78 AF78 AG78 AH78 AI78 AJ78 AK78 AL78 AM78 AN78 AO78 AP78 AQ78 AR78 AS78 AT78 AU78 AV78 AW78 AX78 AY78 AZ78 BA78 BB78 AE79 AF79 AG79 AH79 AI79 AJ79 AK79 AL79 AM79 AN79 AO79 AP79 AQ79 AR79 AS79 AT79 AU79 AV79 AW79 AX79 AY79 AZ79 BA79 BB79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E758F-B936-1CD5-F7B6-31AA1FDF021F}" mc:Ignorable="x14ac xr xr2 xr3">
  <sheetPr>
    <tabColor rgb="FF002060"/>
    <outlinePr summaryBelow="0"/>
    <pageSetUpPr fitToPage="1"/>
  </sheetPr>
  <dimension ref="A1:AR114"/>
  <sheetViews>
    <sheetView showGridLines="0" workbookViewId="0">
      <pane xSplit="30" ySplit="26" topLeftCell="AE52" activePane="bottomRight" state="frozen"/>
      <selection pane="bottomLeft" activeCell="A27" sqref="A27"/>
      <selection pane="topRight" activeCell="AE1" sqref="AE1"/>
      <selection pane="bottomRight" activeCell="AD62" sqref="AD62"/>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376</v>
      </c>
      <c r="Z1" s="805" t="s">
        <v>93</v>
      </c>
      <c r="AA1" s="816" t="s">
        <v>90</v>
      </c>
      <c r="AB1" s="816" t="s">
        <v>92</v>
      </c>
      <c r="AC1" s="816" t="s">
        <v>92</v>
      </c>
      <c r="AI1" s="1461"/>
      <c r="AJ1" s="1461"/>
      <c r="AN1" s="1181" t="s">
        <v>377</v>
      </c>
      <c r="AO1" s="1181" t="s">
        <v>378</v>
      </c>
      <c r="AP1" s="1181" t="s">
        <v>379</v>
      </c>
      <c r="AQ1" s="1184" t="s">
        <v>382</v>
      </c>
      <c r="AR1" s="1184" t="s">
        <v>383</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430</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431</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432</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388</v>
      </c>
      <c r="B12" s="1151"/>
      <c r="E12" s="1151"/>
      <c r="G12" s="1167"/>
      <c r="H12" s="1167"/>
      <c r="I12" s="1167"/>
      <c r="J12" s="1167"/>
      <c r="K12" s="1167"/>
      <c r="L12" s="1167"/>
      <c r="M12" s="1167"/>
      <c r="N12" s="1167"/>
      <c r="O12" s="1167"/>
      <c r="P12" s="1167"/>
      <c r="Q12" s="1182"/>
      <c r="R12" s="1182"/>
      <c r="S12" s="1167"/>
      <c r="AC12" s="1159" t="s">
        <v>379</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487</v>
      </c>
      <c r="B18" s="785"/>
      <c r="E18" s="794"/>
      <c r="G18" s="210"/>
      <c r="H18" s="210"/>
      <c r="I18" s="210"/>
      <c r="J18" s="210"/>
      <c r="K18" s="210"/>
      <c r="L18" s="210"/>
      <c r="M18" s="210"/>
      <c r="N18" s="210"/>
      <c r="O18" s="210"/>
      <c r="P18" s="210"/>
      <c r="Q18" s="736"/>
      <c r="R18" s="736"/>
      <c r="S18" s="210"/>
      <c r="AC18" s="172" t="s">
        <v>224</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991</v>
      </c>
      <c r="AC24" s="1535" t="s">
        <v>224</v>
      </c>
      <c r="AD24" s="1527" t="s">
        <v>434</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587</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407</v>
      </c>
      <c r="AF25" s="1355" t="s">
        <v>588</v>
      </c>
      <c r="AG25" s="166" t="s">
        <v>589</v>
      </c>
      <c r="AH25" s="166" t="s">
        <v>407</v>
      </c>
      <c r="AI25" s="1354" t="s">
        <v>408</v>
      </c>
      <c r="AJ25" s="410" t="s">
        <v>407</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309</v>
      </c>
      <c r="X27" s="168">
        <v>0</v>
      </c>
      <c r="AB27" s="317" cm="1" t="str">
        <f t="array" ref="AB27:AB27">INDEX('Общие сведения'!$AG$169:$AG$218,MATCH($F27,'Общие сведения'!$Z$169:$Z$218,0))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1203</v>
      </c>
      <c r="H28" s="210" t="s">
        <v>1204</v>
      </c>
      <c r="T28" s="816">
        <f>F28&gt;0</f>
        <v>0</v>
      </c>
      <c r="AB28" s="403">
        <v>1</v>
      </c>
      <c r="AC28" s="404" t="s">
        <v>1205</v>
      </c>
      <c r="AD28" s="154" t="s">
        <v>805</v>
      </c>
      <c r="AE28" s="107"/>
      <c r="AF28" s="107"/>
      <c r="AG28" s="107"/>
      <c r="AH28" s="107"/>
      <c r="AI28" s="279">
        <f>_xlfn.SUMIFS(AI29:AI33,$AD29:$AD33,$AD28)</f>
        <v>0</v>
      </c>
      <c r="AJ28" s="279">
        <f>_xlfn.SUMIFS(AJ29:AJ33,$AD29:$AD33,$AD28)</f>
        <v>0</v>
      </c>
      <c r="AK28" s="79"/>
      <c r="AN28" s="1181" t="s">
        <v>1206</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152</v>
      </c>
      <c r="AO29" s="1187"/>
      <c r="AP29" s="1187"/>
      <c r="AQ29" s="1188"/>
      <c r="AR29" s="1188"/>
    </row>
    <row s="1459" customFormat="1" customHeight="1" ht="16.575" hidden="1">
      <c r="E30" s="800">
        <v>17</v>
      </c>
      <c r="F30" s="919" cm="1" t="str">
        <f t="array" ref="F30:F30">OFFSET(G30,-1,-1)</f>
        <v>0</v>
      </c>
      <c r="H30" s="210" t="s">
        <v>1204</v>
      </c>
      <c r="I30" s="210" cm="1" t="str">
        <f t="array" ref="I30:I30">AC30</f>
        <v>0</v>
      </c>
      <c r="T30" s="816">
        <f>AND(F30&gt;0,Y30&gt;0)</f>
        <v>0</v>
      </c>
      <c r="W30" s="156" t="s">
        <v>233</v>
      </c>
      <c r="Y30" s="168">
        <v>0</v>
      </c>
      <c r="AA30" s="1533" t="s">
        <v>217</v>
      </c>
      <c r="AB30" s="403" t="str">
        <f>"1."&amp;Y30</f>
        <v>1.0</v>
      </c>
      <c r="AC30" s="54"/>
      <c r="AD30" s="154" t="s">
        <v>805</v>
      </c>
      <c r="AE30" s="166"/>
      <c r="AF30" s="166"/>
      <c r="AG30" s="166"/>
      <c r="AH30" s="166"/>
      <c r="AI30" s="280">
        <f>AI31*AI32*12/1000</f>
        <v>0</v>
      </c>
      <c r="AJ30" s="280">
        <f>AJ31*AJ32*12/1000</f>
        <v>0</v>
      </c>
      <c r="AK30" s="79"/>
      <c r="AN30" s="1181" t="s">
        <v>1207</v>
      </c>
      <c r="AO30" s="1187" t="s">
        <v>1208</v>
      </c>
      <c r="AP30" s="1187" cm="1" t="str">
        <f t="array" ref="AP30:AP30">AC30</f>
        <v>0</v>
      </c>
      <c r="AQ30" s="1188"/>
      <c r="AR30" s="1188" t="b">
        <v>1</v>
      </c>
    </row>
    <row s="1459" customFormat="1" customHeight="1" ht="16.575" hidden="1">
      <c r="E31" s="800">
        <v>17</v>
      </c>
      <c r="F31" s="919" cm="1" t="str">
        <f t="array" ref="F31:F31">OFFSET(G31,-1,-1)</f>
        <v>0</v>
      </c>
      <c r="G31" s="736" t="s">
        <v>1209</v>
      </c>
      <c r="H31" s="210" t="str">
        <f>H30&amp;"_1"</f>
        <v>L1_1</v>
      </c>
      <c r="I31" s="210" cm="1" t="str">
        <f t="array" ref="I31:I31">I30</f>
        <v>0</v>
      </c>
      <c r="T31" s="816" cm="1" t="str">
        <f t="array" ref="T31:T31">T30</f>
        <v>false</v>
      </c>
      <c r="AA31" s="1533"/>
      <c r="AB31" s="403" t="str">
        <f>AB30&amp;".1"</f>
        <v>1.0.1</v>
      </c>
      <c r="AC31" s="291" t="s">
        <v>1210</v>
      </c>
      <c r="AD31" s="154" t="s">
        <v>1211</v>
      </c>
      <c r="AE31" s="166"/>
      <c r="AF31" s="166"/>
      <c r="AG31" s="166"/>
      <c r="AH31" s="166"/>
      <c r="AI31" s="297"/>
      <c r="AJ31" s="297"/>
      <c r="AK31" s="79"/>
      <c r="AN31" s="1181" t="s">
        <v>1212</v>
      </c>
      <c r="AO31" s="1187" t="s">
        <v>1208</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1213</v>
      </c>
      <c r="AD32" s="154" t="s">
        <v>1214</v>
      </c>
      <c r="AE32" s="166"/>
      <c r="AF32" s="166"/>
      <c r="AG32" s="166"/>
      <c r="AH32" s="166"/>
      <c r="AI32" s="297"/>
      <c r="AJ32" s="297"/>
      <c r="AK32" s="79"/>
      <c r="AN32" s="1181" t="s">
        <v>1215</v>
      </c>
      <c r="AO32" s="1187" t="s">
        <v>1208</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947</v>
      </c>
      <c r="AB33" s="299"/>
      <c r="AC33" s="300" t="s">
        <v>235</v>
      </c>
      <c r="AD33" s="300"/>
      <c r="AE33" s="300"/>
      <c r="AF33" s="300"/>
      <c r="AG33" s="300"/>
      <c r="AH33" s="300"/>
      <c r="AI33" s="300"/>
      <c r="AJ33" s="300"/>
      <c r="AK33" s="1098"/>
      <c r="AN33" s="1181" t="s">
        <v>152</v>
      </c>
      <c r="AO33" s="1187"/>
      <c r="AP33" s="1187"/>
      <c r="AQ33" s="1188" t="s">
        <v>1208</v>
      </c>
      <c r="AR33" s="1188"/>
    </row>
    <row s="1459" customFormat="1" customHeight="1" ht="24.180000000000003" hidden="1">
      <c r="E34" s="800">
        <v>24.8</v>
      </c>
      <c r="F34" s="919" cm="1" t="str">
        <f t="array" ref="F34:F34">OFFSET(G34,-1,-1)</f>
        <v>0</v>
      </c>
      <c r="G34" s="736" t="s">
        <v>1216</v>
      </c>
      <c r="H34" s="210" t="s">
        <v>1192</v>
      </c>
      <c r="T34" s="816">
        <f>F34&gt;0</f>
        <v>0</v>
      </c>
      <c r="AB34" s="403" t="s">
        <v>343</v>
      </c>
      <c r="AC34" s="404" t="s">
        <v>1217</v>
      </c>
      <c r="AD34" s="154" t="s">
        <v>805</v>
      </c>
      <c r="AE34" s="107"/>
      <c r="AF34" s="107"/>
      <c r="AG34" s="107"/>
      <c r="AH34" s="107"/>
      <c r="AI34" s="279">
        <f>_xlfn.SUMIFS(AI35:AI39,$AD35:$AD39,$AD34)</f>
        <v>0</v>
      </c>
      <c r="AJ34" s="279">
        <f>_xlfn.SUMIFS(AJ35:AJ39,$AD35:$AD39,$AD34)</f>
        <v>0</v>
      </c>
      <c r="AK34" s="79"/>
      <c r="AN34" s="1181" t="s">
        <v>1218</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1192</v>
      </c>
      <c r="I36" s="210" cm="1" t="str">
        <f t="array" ref="I36:I36">AC36</f>
        <v>0</v>
      </c>
      <c r="T36" s="816">
        <f>AND(F36&gt;0,Y36&gt;0)</f>
        <v>0</v>
      </c>
      <c r="W36" s="156" t="s">
        <v>233</v>
      </c>
      <c r="Y36" s="168">
        <v>0</v>
      </c>
      <c r="AA36" s="1533" t="s">
        <v>217</v>
      </c>
      <c r="AB36" s="403" t="str">
        <f>"2."&amp;Y36</f>
        <v>2.0</v>
      </c>
      <c r="AC36" s="54"/>
      <c r="AD36" s="154" t="s">
        <v>805</v>
      </c>
      <c r="AE36" s="166"/>
      <c r="AF36" s="166"/>
      <c r="AG36" s="166"/>
      <c r="AH36" s="166"/>
      <c r="AI36" s="280">
        <f>AI37*AI38*12/1000</f>
        <v>0</v>
      </c>
      <c r="AJ36" s="280">
        <f>AJ37*AJ38*12/1000</f>
        <v>0</v>
      </c>
      <c r="AK36" s="79"/>
      <c r="AN36" s="1181" t="s">
        <v>1219</v>
      </c>
      <c r="AO36" s="1187" t="s">
        <v>1220</v>
      </c>
      <c r="AP36" s="1187" cm="1" t="str">
        <f t="array" ref="AP36:AP36">AC36</f>
        <v>0</v>
      </c>
      <c r="AQ36" s="1188"/>
      <c r="AR36" s="1188" t="b">
        <v>1</v>
      </c>
    </row>
    <row s="1459" customFormat="1" customHeight="1" ht="16.575" hidden="1">
      <c r="E37" s="800">
        <v>17</v>
      </c>
      <c r="F37" s="919" cm="1" t="str">
        <f t="array" ref="F37:F37">OFFSET(G37,-1,-1)</f>
        <v>0</v>
      </c>
      <c r="G37" s="736" t="s">
        <v>1221</v>
      </c>
      <c r="H37" s="210" t="str">
        <f>H36&amp;"_1"</f>
        <v>L5_1</v>
      </c>
      <c r="I37" s="210" cm="1" t="str">
        <f t="array" ref="I37:I37">I36</f>
        <v>0</v>
      </c>
      <c r="T37" s="816" cm="1" t="str">
        <f t="array" ref="T37:T37">T36</f>
        <v>false</v>
      </c>
      <c r="AA37" s="1533"/>
      <c r="AB37" s="403" t="str">
        <f>AB36&amp;".1"</f>
        <v>2.0.1</v>
      </c>
      <c r="AC37" s="291" t="s">
        <v>1210</v>
      </c>
      <c r="AD37" s="154" t="s">
        <v>1211</v>
      </c>
      <c r="AE37" s="166"/>
      <c r="AF37" s="166"/>
      <c r="AG37" s="166"/>
      <c r="AH37" s="166"/>
      <c r="AI37" s="297"/>
      <c r="AJ37" s="297"/>
      <c r="AK37" s="79"/>
      <c r="AN37" s="1181" t="s">
        <v>1222</v>
      </c>
      <c r="AO37" s="1187" t="s">
        <v>1220</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1213</v>
      </c>
      <c r="AD38" s="154" t="s">
        <v>1214</v>
      </c>
      <c r="AE38" s="166"/>
      <c r="AF38" s="166"/>
      <c r="AG38" s="166"/>
      <c r="AH38" s="166"/>
      <c r="AI38" s="297"/>
      <c r="AJ38" s="297"/>
      <c r="AK38" s="79"/>
      <c r="AN38" s="1181" t="s">
        <v>1223</v>
      </c>
      <c r="AO38" s="1187" t="s">
        <v>1220</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958</v>
      </c>
      <c r="AB39" s="299"/>
      <c r="AC39" s="300" t="s">
        <v>235</v>
      </c>
      <c r="AD39" s="300"/>
      <c r="AE39" s="300"/>
      <c r="AF39" s="300"/>
      <c r="AG39" s="300"/>
      <c r="AH39" s="300"/>
      <c r="AI39" s="300"/>
      <c r="AJ39" s="300"/>
      <c r="AK39" s="1098"/>
      <c r="AN39" s="1181" t="s">
        <v>152</v>
      </c>
      <c r="AO39" s="1187"/>
      <c r="AP39" s="1187"/>
      <c r="AQ39" s="1188" t="s">
        <v>1220</v>
      </c>
      <c r="AR39" s="1188"/>
    </row>
    <row s="1459" customFormat="1" customHeight="1" ht="24.180000000000003" hidden="1">
      <c r="E40" s="800">
        <v>24.8</v>
      </c>
      <c r="F40" s="919" cm="1" t="str">
        <f t="array" ref="F40:F40">OFFSET(G40,-1,-1)</f>
        <v>0</v>
      </c>
      <c r="G40" s="736" t="s">
        <v>1224</v>
      </c>
      <c r="H40" s="210" t="s">
        <v>1192</v>
      </c>
      <c r="T40" s="816">
        <f>F40&gt;0</f>
        <v>0</v>
      </c>
      <c r="AB40" s="403" t="s">
        <v>614</v>
      </c>
      <c r="AC40" s="404" t="s">
        <v>1225</v>
      </c>
      <c r="AD40" s="154" t="s">
        <v>805</v>
      </c>
      <c r="AE40" s="107"/>
      <c r="AF40" s="107"/>
      <c r="AG40" s="107"/>
      <c r="AH40" s="107"/>
      <c r="AI40" s="279">
        <f>_xlfn.SUMIFS(AI41:AI45,$AD41:$AD45,$AD40)</f>
        <v>0</v>
      </c>
      <c r="AJ40" s="279">
        <f>_xlfn.SUMIFS(AJ41:AJ45,$AD41:$AD45,$AD40)</f>
        <v>0</v>
      </c>
      <c r="AK40" s="79"/>
      <c r="AN40" s="1181" t="s">
        <v>1226</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1192</v>
      </c>
      <c r="I42" s="210" cm="1" t="str">
        <f t="array" ref="I42:I42">AC42</f>
        <v>0</v>
      </c>
      <c r="T42" s="816">
        <f>AND(F42&gt;0,Y42&gt;0)</f>
        <v>0</v>
      </c>
      <c r="W42" s="156" t="s">
        <v>233</v>
      </c>
      <c r="Y42" s="168">
        <v>0</v>
      </c>
      <c r="AA42" s="1533" t="s">
        <v>217</v>
      </c>
      <c r="AB42" s="403" t="str">
        <f>"3."&amp;Y42</f>
        <v>3.0</v>
      </c>
      <c r="AC42" s="54"/>
      <c r="AD42" s="154" t="s">
        <v>805</v>
      </c>
      <c r="AE42" s="166"/>
      <c r="AF42" s="166"/>
      <c r="AG42" s="166"/>
      <c r="AH42" s="166"/>
      <c r="AI42" s="280">
        <f>AI43*AI44*12/1000</f>
        <v>0</v>
      </c>
      <c r="AJ42" s="280">
        <f>AJ43*AJ44*12/1000</f>
        <v>0</v>
      </c>
      <c r="AK42" s="79"/>
      <c r="AN42" s="1181" t="s">
        <v>1227</v>
      </c>
      <c r="AO42" s="1187" t="s">
        <v>1228</v>
      </c>
      <c r="AP42" s="1187" cm="1" t="str">
        <f t="array" ref="AP42:AP42">AC42</f>
        <v>0</v>
      </c>
      <c r="AQ42" s="1188"/>
      <c r="AR42" s="1188" t="b">
        <v>1</v>
      </c>
    </row>
    <row s="1459" customFormat="1" customHeight="1" ht="16.575" hidden="1">
      <c r="E43" s="800">
        <v>17</v>
      </c>
      <c r="F43" s="919" cm="1" t="str">
        <f t="array" ref="F43:F43">OFFSET(G43,-1,-1)</f>
        <v>0</v>
      </c>
      <c r="G43" s="736" t="s">
        <v>1229</v>
      </c>
      <c r="H43" s="210" t="str">
        <f>H42&amp;"_1"</f>
        <v>L5_1</v>
      </c>
      <c r="I43" s="210" cm="1" t="str">
        <f t="array" ref="I43:I43">I42</f>
        <v>0</v>
      </c>
      <c r="T43" s="816" cm="1" t="str">
        <f t="array" ref="T43:T43">T42</f>
        <v>false</v>
      </c>
      <c r="AA43" s="1533"/>
      <c r="AB43" s="403" t="str">
        <f>AB42&amp;".1"</f>
        <v>3.0.1</v>
      </c>
      <c r="AC43" s="291" t="s">
        <v>1210</v>
      </c>
      <c r="AD43" s="154" t="s">
        <v>1211</v>
      </c>
      <c r="AE43" s="166"/>
      <c r="AF43" s="166"/>
      <c r="AG43" s="166"/>
      <c r="AH43" s="166"/>
      <c r="AI43" s="297"/>
      <c r="AJ43" s="297"/>
      <c r="AK43" s="79"/>
      <c r="AN43" s="1181" t="s">
        <v>1230</v>
      </c>
      <c r="AO43" s="1187" t="s">
        <v>1228</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1213</v>
      </c>
      <c r="AD44" s="154" t="s">
        <v>1214</v>
      </c>
      <c r="AE44" s="166"/>
      <c r="AF44" s="166"/>
      <c r="AG44" s="166"/>
      <c r="AH44" s="166"/>
      <c r="AI44" s="297"/>
      <c r="AJ44" s="297"/>
      <c r="AK44" s="79"/>
      <c r="AN44" s="1181" t="s">
        <v>1231</v>
      </c>
      <c r="AO44" s="1187" t="s">
        <v>1228</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1199</v>
      </c>
      <c r="AB45" s="299"/>
      <c r="AC45" s="300" t="s">
        <v>235</v>
      </c>
      <c r="AD45" s="300"/>
      <c r="AE45" s="300"/>
      <c r="AF45" s="300"/>
      <c r="AG45" s="300"/>
      <c r="AH45" s="300"/>
      <c r="AI45" s="300"/>
      <c r="AJ45" s="300"/>
      <c r="AK45" s="1098"/>
      <c r="AN45" s="1181" t="s">
        <v>152</v>
      </c>
      <c r="AO45" s="1187"/>
      <c r="AP45" s="1187"/>
      <c r="AQ45" s="1188" t="s">
        <v>1228</v>
      </c>
      <c r="AR45" s="1188"/>
    </row>
    <row s="1459" customFormat="1" customHeight="1" ht="24.180000000000003" hidden="1">
      <c r="E46" s="800">
        <v>24.8</v>
      </c>
      <c r="F46" s="919" cm="1" t="str">
        <f t="array" ref="F46:F46">OFFSET(G46,-1,-1)</f>
        <v>0</v>
      </c>
      <c r="G46" s="736" t="s">
        <v>1232</v>
      </c>
      <c r="H46" s="210" t="s">
        <v>1192</v>
      </c>
      <c r="T46" s="816">
        <f>F46&gt;0</f>
        <v>0</v>
      </c>
      <c r="AB46" s="403" t="s">
        <v>624</v>
      </c>
      <c r="AC46" s="404" t="s">
        <v>1233</v>
      </c>
      <c r="AD46" s="154" t="s">
        <v>805</v>
      </c>
      <c r="AE46" s="107"/>
      <c r="AF46" s="107"/>
      <c r="AG46" s="107"/>
      <c r="AH46" s="107"/>
      <c r="AI46" s="279">
        <f>_xlfn.SUMIFS(AI47:AI51,$AD47:$AD51,$AD46)</f>
        <v>0</v>
      </c>
      <c r="AJ46" s="279">
        <f>_xlfn.SUMIFS(AJ47:AJ51,$AD47:$AD51,$AD46)</f>
        <v>0</v>
      </c>
      <c r="AK46" s="79"/>
      <c r="AN46" s="1181" t="s">
        <v>1234</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1192</v>
      </c>
      <c r="I48" s="210" cm="1" t="str">
        <f t="array" ref="I48:I48">AC48</f>
        <v>0</v>
      </c>
      <c r="T48" s="816">
        <f>AND(F48&gt;0,Y48&gt;0)</f>
        <v>0</v>
      </c>
      <c r="W48" s="156" t="s">
        <v>233</v>
      </c>
      <c r="Y48" s="168">
        <v>0</v>
      </c>
      <c r="AA48" s="1533" t="s">
        <v>217</v>
      </c>
      <c r="AB48" s="403" t="str">
        <f>"4."&amp;Y48</f>
        <v>4.0</v>
      </c>
      <c r="AC48" s="54"/>
      <c r="AD48" s="154" t="s">
        <v>805</v>
      </c>
      <c r="AE48" s="166"/>
      <c r="AF48" s="166"/>
      <c r="AG48" s="166"/>
      <c r="AH48" s="166"/>
      <c r="AI48" s="280">
        <f>AI49*AI50*12/1000</f>
        <v>0</v>
      </c>
      <c r="AJ48" s="280">
        <f>AJ49*AJ50*12/1000</f>
        <v>0</v>
      </c>
      <c r="AK48" s="79"/>
      <c r="AN48" s="1181" t="s">
        <v>1235</v>
      </c>
      <c r="AO48" s="1187" t="s">
        <v>1236</v>
      </c>
      <c r="AP48" s="1187" cm="1" t="str">
        <f t="array" ref="AP48:AP48">AC48</f>
        <v>0</v>
      </c>
      <c r="AQ48" s="1188"/>
      <c r="AR48" s="1188" t="b">
        <v>1</v>
      </c>
    </row>
    <row s="1459" customFormat="1" customHeight="1" ht="16.575" hidden="1">
      <c r="E49" s="800">
        <v>17</v>
      </c>
      <c r="F49" s="919" cm="1" t="str">
        <f t="array" ref="F49:F49">OFFSET(G49,-1,-1)</f>
        <v>0</v>
      </c>
      <c r="G49" s="736" t="s">
        <v>1237</v>
      </c>
      <c r="H49" s="210" t="str">
        <f>H48&amp;"_1"</f>
        <v>L5_1</v>
      </c>
      <c r="I49" s="210" cm="1" t="str">
        <f t="array" ref="I49:I49">I48</f>
        <v>0</v>
      </c>
      <c r="T49" s="816" cm="1" t="str">
        <f t="array" ref="T49:T49">T48</f>
        <v>false</v>
      </c>
      <c r="AA49" s="1533"/>
      <c r="AB49" s="403" t="str">
        <f>AB48&amp;".1"</f>
        <v>4.0.1</v>
      </c>
      <c r="AC49" s="291" t="s">
        <v>1210</v>
      </c>
      <c r="AD49" s="154" t="s">
        <v>1211</v>
      </c>
      <c r="AE49" s="166"/>
      <c r="AF49" s="166"/>
      <c r="AG49" s="166"/>
      <c r="AH49" s="166"/>
      <c r="AI49" s="297"/>
      <c r="AJ49" s="297"/>
      <c r="AK49" s="79"/>
      <c r="AN49" s="1181" t="s">
        <v>1238</v>
      </c>
      <c r="AO49" s="1187" t="s">
        <v>1236</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1213</v>
      </c>
      <c r="AD50" s="154" t="s">
        <v>1214</v>
      </c>
      <c r="AE50" s="166"/>
      <c r="AF50" s="166"/>
      <c r="AG50" s="166"/>
      <c r="AH50" s="166"/>
      <c r="AI50" s="297"/>
      <c r="AJ50" s="297"/>
      <c r="AK50" s="79"/>
      <c r="AN50" s="1181" t="s">
        <v>1239</v>
      </c>
      <c r="AO50" s="1187" t="s">
        <v>1236</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1240</v>
      </c>
      <c r="AB51" s="299"/>
      <c r="AC51" s="300" t="s">
        <v>235</v>
      </c>
      <c r="AD51" s="300"/>
      <c r="AE51" s="300"/>
      <c r="AF51" s="300"/>
      <c r="AG51" s="300"/>
      <c r="AH51" s="300"/>
      <c r="AI51" s="300"/>
      <c r="AJ51" s="300"/>
      <c r="AK51" s="301"/>
      <c r="AN51" s="1181"/>
      <c r="AO51" s="1187"/>
      <c r="AP51" s="1187"/>
      <c r="AQ51" s="1188" t="s">
        <v>1236</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W52" s="1459"/>
      <c r="X52" s="168" t="s">
        <v>335</v>
      </c>
      <c r="Y52" s="1459"/>
      <c r="Z52" s="1459"/>
      <c r="AA52" s="1459"/>
      <c r="AB52" s="317" cm="1" t="str">
        <f t="array" ref="AB52:AB52">IF(ISBLANK('Покупка услуг'!$AB$46),"",'Покупка услуг'!$AB$46)</f>
        <v>Тариф 1 (Теплоснабжение) - Тариф на тепловую энергию (мощность), поставляемую потребителям (Тариф: Носитель - горячая вода (Т); Носитель - горячая вода (Т))</v>
      </c>
      <c r="AC52" s="257"/>
      <c r="AD52" s="257"/>
      <c r="AE52" s="377">
        <f>AE53+AE62+AE68+AE74</f>
        <v>0</v>
      </c>
      <c r="AF52" s="377">
        <f>AF53+AF62+AF68+AF74</f>
        <v>0</v>
      </c>
      <c r="AG52" s="377">
        <f>AG53+AG62+AG68+AG74</f>
        <v>0</v>
      </c>
      <c r="AH52" s="377">
        <f>AH53+AH62+AH68+AH74</f>
        <v>0</v>
      </c>
      <c r="AI52" s="377">
        <f>AI53+AI62+AI68+AI74</f>
        <v>1081.99992</v>
      </c>
      <c r="AJ52" s="377">
        <f>AJ53+AJ62+AJ68+AJ74</f>
        <v>601.99992</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1203</v>
      </c>
      <c r="H53" s="210" t="s">
        <v>1204</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1205</v>
      </c>
      <c r="AD53" s="154" t="s">
        <v>805</v>
      </c>
      <c r="AE53" s="1823"/>
      <c r="AF53" s="1823"/>
      <c r="AG53" s="1823"/>
      <c r="AH53" s="1823"/>
      <c r="AI53" s="279">
        <f>_xlfn.SUMIFS(AI54:AI61,$AD54:$AD61,$AD53)</f>
        <v>1081.99992</v>
      </c>
      <c r="AJ53" s="279">
        <f>_xlfn.SUMIFS(AJ54:AJ61,$AD54:$AD61,$AD53)</f>
        <v>601.99992</v>
      </c>
      <c r="AK53" s="1742"/>
      <c r="AL53" s="1459"/>
      <c r="AM53" s="1459"/>
      <c r="AN53" s="1181" t="s">
        <v>1206</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152</v>
      </c>
      <c r="AO54" s="1187"/>
      <c r="AP54" s="1187"/>
      <c r="AQ54" s="1188"/>
      <c r="AR54" s="1188"/>
    </row>
    <row s="789" customFormat="1" customHeight="1" ht="16.5" hidden="1">
      <c r="E55" s="800">
        <v>17</v>
      </c>
      <c r="F55" s="919" cm="1" t="str">
        <f t="array" ref="F55:F55">OFFSET(G55,-1,-1)</f>
        <v>1</v>
      </c>
      <c r="H55" s="210" t="s">
        <v>1204</v>
      </c>
      <c r="I55" s="210" cm="1" t="str">
        <f t="array" ref="I55:I55">AC55</f>
        <v>0</v>
      </c>
      <c r="T55" s="816">
        <f>AND(F55&gt;0,Y55&gt;0)</f>
        <v>0</v>
      </c>
      <c r="W55" s="156" t="s">
        <v>233</v>
      </c>
      <c r="Y55" s="168">
        <v>0</v>
      </c>
      <c r="AA55" s="1533" t="s">
        <v>217</v>
      </c>
      <c r="AB55" s="403" t="str">
        <f>"1."&amp;Y55</f>
        <v>1.0</v>
      </c>
      <c r="AC55" s="54"/>
      <c r="AD55" s="154" t="s">
        <v>805</v>
      </c>
      <c r="AE55" s="166"/>
      <c r="AF55" s="166"/>
      <c r="AG55" s="166"/>
      <c r="AH55" s="166"/>
      <c r="AI55" s="280">
        <f>AI56*AI57*12/1000</f>
        <v>0</v>
      </c>
      <c r="AJ55" s="280">
        <f>AJ56*AJ57*12/1000</f>
        <v>0</v>
      </c>
      <c r="AK55" s="79"/>
      <c r="AN55" s="1181" t="s">
        <v>1207</v>
      </c>
      <c r="AO55" s="1187" t="s">
        <v>1208</v>
      </c>
      <c r="AP55" s="1187" cm="1" t="str">
        <f t="array" ref="AP55:AP55">AC55</f>
        <v>0</v>
      </c>
      <c r="AQ55" s="1188"/>
      <c r="AR55" s="1188" t="b">
        <v>1</v>
      </c>
    </row>
    <row s="789" customFormat="1" customHeight="1" ht="16.5" hidden="1">
      <c r="E56" s="800">
        <v>17</v>
      </c>
      <c r="F56" s="919" cm="1" t="str">
        <f t="array" ref="F56:F56">OFFSET(G56,-1,-1)</f>
        <v>1</v>
      </c>
      <c r="G56" s="736" t="s">
        <v>1209</v>
      </c>
      <c r="H56" s="210" t="str">
        <f>H55&amp;"_1"</f>
        <v>L1_1</v>
      </c>
      <c r="I56" s="210" cm="1" t="str">
        <f t="array" ref="I56:I56">I55</f>
        <v>0</v>
      </c>
      <c r="T56" s="816" cm="1" t="str">
        <f t="array" ref="T56:T56">T55</f>
        <v>false</v>
      </c>
      <c r="AA56" s="1533"/>
      <c r="AB56" s="403" t="str">
        <f>AB55&amp;".1"</f>
        <v>1.0.1</v>
      </c>
      <c r="AC56" s="291" t="s">
        <v>1210</v>
      </c>
      <c r="AD56" s="154" t="s">
        <v>1211</v>
      </c>
      <c r="AE56" s="166"/>
      <c r="AF56" s="166"/>
      <c r="AG56" s="166"/>
      <c r="AH56" s="166"/>
      <c r="AI56" s="297"/>
      <c r="AJ56" s="297"/>
      <c r="AK56" s="79"/>
      <c r="AN56" s="1181" t="s">
        <v>1212</v>
      </c>
      <c r="AO56" s="1187" t="s">
        <v>1208</v>
      </c>
      <c r="AP56" s="1187" cm="1" t="str">
        <f t="array" ref="AP56:AP56">AP55</f>
        <v>0</v>
      </c>
      <c r="AQ56" s="1188"/>
      <c r="AR56" s="1188"/>
    </row>
    <row s="789" customFormat="1" customHeight="1" ht="16.5" hidden="1">
      <c r="E57" s="800">
        <v>17</v>
      </c>
      <c r="F57" s="919" cm="1" t="str">
        <f t="array" ref="F57:F57">OFFSET(G57,-1,-1)</f>
        <v>1</v>
      </c>
      <c r="H57" s="210" t="str">
        <f>H55&amp;"_2"</f>
        <v>L1_2</v>
      </c>
      <c r="I57" s="210" cm="1" t="str">
        <f t="array" ref="I57:I57">I56</f>
        <v>0</v>
      </c>
      <c r="T57" s="816" cm="1" t="str">
        <f t="array" ref="T57:T57">T56</f>
        <v>false</v>
      </c>
      <c r="AA57" s="1533"/>
      <c r="AB57" s="403" t="str">
        <f>AB55&amp;".2"</f>
        <v>1.0.2</v>
      </c>
      <c r="AC57" s="291" t="s">
        <v>1213</v>
      </c>
      <c r="AD57" s="154" t="s">
        <v>1214</v>
      </c>
      <c r="AE57" s="166"/>
      <c r="AF57" s="166"/>
      <c r="AG57" s="166"/>
      <c r="AH57" s="166"/>
      <c r="AI57" s="297"/>
      <c r="AJ57" s="297"/>
      <c r="AK57" s="79"/>
      <c r="AN57" s="1181" t="s">
        <v>1215</v>
      </c>
      <c r="AO57" s="1187" t="s">
        <v>1208</v>
      </c>
      <c r="AP57" s="1187" cm="1" t="str">
        <f t="array" ref="AP57:AP57">AP56</f>
        <v>0</v>
      </c>
      <c r="AQ57" s="1188"/>
      <c r="AR57" s="1188"/>
    </row>
    <row s="789" customFormat="1" customHeight="1" ht="16.5">
      <c r="A58" s="789"/>
      <c r="B58" s="789"/>
      <c r="C58" s="789"/>
      <c r="D58" s="789"/>
      <c r="E58" s="800">
        <v>17</v>
      </c>
      <c r="F58" s="919" cm="1" t="str">
        <f t="array" ref="F58:F58">OFFSET(G58,-1,-1)</f>
        <v>1</v>
      </c>
      <c r="G58" s="789"/>
      <c r="H58" s="210" t="s">
        <v>1204</v>
      </c>
      <c r="I58" s="210" cm="1" t="str">
        <f t="array" ref="I58:I58">AC58</f>
        <v>Всего ФОТ</v>
      </c>
      <c r="J58" s="789"/>
      <c r="K58" s="789"/>
      <c r="L58" s="789"/>
      <c r="M58" s="789"/>
      <c r="N58" s="789"/>
      <c r="O58" s="789"/>
      <c r="P58" s="789"/>
      <c r="Q58" s="789"/>
      <c r="R58" s="789"/>
      <c r="S58" s="789"/>
      <c r="T58" s="816">
        <f>AND(F58&gt;0,Y58&gt;0)</f>
        <v>1</v>
      </c>
      <c r="U58" s="789"/>
      <c r="V58" s="789"/>
      <c r="W58" s="156"/>
      <c r="X58" s="789"/>
      <c r="Y58" s="168" t="s">
        <v>335</v>
      </c>
      <c r="Z58" s="789"/>
      <c r="AA58" s="1533" t="s">
        <v>217</v>
      </c>
      <c r="AB58" s="403" t="str">
        <f>"1."&amp;Y58</f>
        <v>1.1</v>
      </c>
      <c r="AC58" s="1627" t="s">
        <v>1241</v>
      </c>
      <c r="AD58" s="154" t="s">
        <v>805</v>
      </c>
      <c r="AE58" s="166"/>
      <c r="AF58" s="166"/>
      <c r="AG58" s="166"/>
      <c r="AH58" s="166"/>
      <c r="AI58" s="280">
        <f>AI59*AI60*12/1000</f>
        <v>1081.99992</v>
      </c>
      <c r="AJ58" s="280">
        <f>AJ59*AJ60*12/1000</f>
        <v>601.99992</v>
      </c>
      <c r="AK58" s="1742"/>
      <c r="AL58" s="789"/>
      <c r="AM58" s="789"/>
      <c r="AN58" s="1181" t="s">
        <v>1207</v>
      </c>
      <c r="AO58" s="1187" t="s">
        <v>1208</v>
      </c>
      <c r="AP58" s="1187" cm="1" t="str">
        <f t="array" ref="AP58:AP58">AC58</f>
        <v>Всего ФОТ</v>
      </c>
      <c r="AQ58" s="1188"/>
      <c r="AR58" s="1188" t="b">
        <v>1</v>
      </c>
    </row>
    <row s="789" customFormat="1" customHeight="1" ht="16.5">
      <c r="A59" s="789"/>
      <c r="B59" s="789"/>
      <c r="C59" s="789"/>
      <c r="D59" s="789"/>
      <c r="E59" s="800">
        <v>17</v>
      </c>
      <c r="F59" s="919" cm="1" t="str">
        <f t="array" ref="F59:F59">OFFSET(G59,-1,-1)</f>
        <v>1</v>
      </c>
      <c r="G59" s="736" t="s">
        <v>1209</v>
      </c>
      <c r="H59" s="210" t="str">
        <f>H58&amp;"_1"</f>
        <v>L1_1</v>
      </c>
      <c r="I59" s="210" cm="1" t="str">
        <f t="array" ref="I59:I59">I58</f>
        <v>Всего ФОТ</v>
      </c>
      <c r="J59" s="789"/>
      <c r="K59" s="789"/>
      <c r="L59" s="789"/>
      <c r="M59" s="789"/>
      <c r="N59" s="789"/>
      <c r="O59" s="789"/>
      <c r="P59" s="789"/>
      <c r="Q59" s="789"/>
      <c r="R59" s="789"/>
      <c r="S59" s="789"/>
      <c r="T59" s="816" cm="1" t="str">
        <f t="array" ref="T59:T59">T58</f>
        <v>true</v>
      </c>
      <c r="U59" s="789"/>
      <c r="V59" s="789"/>
      <c r="W59" s="789"/>
      <c r="X59" s="789"/>
      <c r="Y59" s="789"/>
      <c r="Z59" s="789"/>
      <c r="AA59" s="1533"/>
      <c r="AB59" s="403" t="str">
        <f>AB58&amp;".1"</f>
        <v>1.1.1</v>
      </c>
      <c r="AC59" s="291" t="s">
        <v>1210</v>
      </c>
      <c r="AD59" s="154" t="s">
        <v>1211</v>
      </c>
      <c r="AE59" s="166"/>
      <c r="AF59" s="166"/>
      <c r="AG59" s="166"/>
      <c r="AH59" s="166"/>
      <c r="AI59" s="297">
        <v>1</v>
      </c>
      <c r="AJ59" s="297">
        <v>1</v>
      </c>
      <c r="AK59" s="1742"/>
      <c r="AL59" s="789"/>
      <c r="AM59" s="789"/>
      <c r="AN59" s="1181" t="s">
        <v>1212</v>
      </c>
      <c r="AO59" s="1187" t="s">
        <v>1208</v>
      </c>
      <c r="AP59" s="1187" cm="1" t="str">
        <f t="array" ref="AP59:AP59">AP58</f>
        <v>Всего ФОТ</v>
      </c>
      <c r="AQ59" s="1188"/>
      <c r="AR59" s="1188"/>
    </row>
    <row s="789" customFormat="1" customHeight="1" ht="16.5">
      <c r="A60" s="789"/>
      <c r="B60" s="789"/>
      <c r="C60" s="789"/>
      <c r="D60" s="789"/>
      <c r="E60" s="800">
        <v>17</v>
      </c>
      <c r="F60" s="919" cm="1" t="str">
        <f t="array" ref="F60:F60">OFFSET(G60,-1,-1)</f>
        <v>1</v>
      </c>
      <c r="G60" s="789"/>
      <c r="H60" s="210" t="str">
        <f>H58&amp;"_2"</f>
        <v>L1_2</v>
      </c>
      <c r="I60" s="210" cm="1" t="str">
        <f t="array" ref="I60:I60">I59</f>
        <v>Всего ФОТ</v>
      </c>
      <c r="J60" s="789"/>
      <c r="K60" s="789"/>
      <c r="L60" s="789"/>
      <c r="M60" s="789"/>
      <c r="N60" s="789"/>
      <c r="O60" s="789"/>
      <c r="P60" s="789"/>
      <c r="Q60" s="789"/>
      <c r="R60" s="789"/>
      <c r="S60" s="789"/>
      <c r="T60" s="816" cm="1" t="str">
        <f t="array" ref="T60:T60">T59</f>
        <v>true</v>
      </c>
      <c r="U60" s="789"/>
      <c r="V60" s="789"/>
      <c r="W60" s="789"/>
      <c r="X60" s="789"/>
      <c r="Y60" s="789"/>
      <c r="Z60" s="789"/>
      <c r="AA60" s="1533"/>
      <c r="AB60" s="403" t="str">
        <f>AB58&amp;".2"</f>
        <v>1.1.2</v>
      </c>
      <c r="AC60" s="291" t="s">
        <v>1213</v>
      </c>
      <c r="AD60" s="154" t="s">
        <v>1214</v>
      </c>
      <c r="AE60" s="166"/>
      <c r="AF60" s="166"/>
      <c r="AG60" s="166"/>
      <c r="AH60" s="166"/>
      <c r="AI60" s="297">
        <v>90166.66</v>
      </c>
      <c r="AJ60" s="297">
        <v>50166.66</v>
      </c>
      <c r="AK60" s="1742"/>
      <c r="AL60" s="789"/>
      <c r="AM60" s="789"/>
      <c r="AN60" s="1181" t="s">
        <v>1215</v>
      </c>
      <c r="AO60" s="1187" t="s">
        <v>1208</v>
      </c>
      <c r="AP60" s="1187" cm="1" t="str">
        <f t="array" ref="AP60:AP60">AP59</f>
        <v>Всего ФОТ</v>
      </c>
      <c r="AQ60" s="1188"/>
      <c r="AR60" s="1188"/>
    </row>
    <row s="789" customFormat="1" customHeight="1" ht="16.5">
      <c r="A61" s="1459"/>
      <c r="B61" s="1459"/>
      <c r="C61" s="1459"/>
      <c r="D61" s="1459"/>
      <c r="E61" s="800">
        <v>17</v>
      </c>
      <c r="F61" s="919" cm="1" t="str">
        <f t="array" ref="F61:F61">OFFSET(G61,-1,-1)</f>
        <v>1</v>
      </c>
      <c r="G61" s="1459"/>
      <c r="H61" s="210" t="str">
        <f>F61&amp;"pIns1"</f>
        <v>1pIns1</v>
      </c>
      <c r="I61" s="1459"/>
      <c r="J61" s="1459"/>
      <c r="K61" s="1459"/>
      <c r="L61" s="1459"/>
      <c r="M61" s="1459"/>
      <c r="N61" s="1459"/>
      <c r="O61" s="1459"/>
      <c r="P61" s="1459"/>
      <c r="Q61" s="1459"/>
      <c r="R61" s="1459"/>
      <c r="S61" s="1459"/>
      <c r="T61" s="816">
        <f>F61&gt;0</f>
        <v>1</v>
      </c>
      <c r="U61" s="1459"/>
      <c r="V61" s="1459"/>
      <c r="W61" s="371" t="s">
        <v>947</v>
      </c>
      <c r="X61" s="1459"/>
      <c r="Y61" s="1459"/>
      <c r="Z61" s="1459"/>
      <c r="AA61" s="1459"/>
      <c r="AB61" s="299"/>
      <c r="AC61" s="300" t="s">
        <v>235</v>
      </c>
      <c r="AD61" s="300"/>
      <c r="AE61" s="300"/>
      <c r="AF61" s="300"/>
      <c r="AG61" s="300"/>
      <c r="AH61" s="300"/>
      <c r="AI61" s="300"/>
      <c r="AJ61" s="300"/>
      <c r="AK61" s="1098"/>
      <c r="AL61" s="1459"/>
      <c r="AM61" s="1459"/>
      <c r="AN61" s="1181" t="s">
        <v>152</v>
      </c>
      <c r="AO61" s="1187"/>
      <c r="AP61" s="1187"/>
      <c r="AQ61" s="1188" t="s">
        <v>1208</v>
      </c>
      <c r="AR61" s="1188"/>
    </row>
    <row s="789" customFormat="1" customHeight="1" ht="24">
      <c r="A62" s="1459"/>
      <c r="B62" s="1459"/>
      <c r="C62" s="1459"/>
      <c r="D62" s="1459"/>
      <c r="E62" s="800">
        <v>24.8</v>
      </c>
      <c r="F62" s="919" cm="1" t="str">
        <f t="array" ref="F62:F62">OFFSET(G62,-1,-1)</f>
        <v>1</v>
      </c>
      <c r="G62" s="736" t="s">
        <v>1216</v>
      </c>
      <c r="H62" s="210" t="s">
        <v>1192</v>
      </c>
      <c r="I62" s="1459"/>
      <c r="J62" s="1459"/>
      <c r="K62" s="1459"/>
      <c r="L62" s="1459"/>
      <c r="M62" s="1459"/>
      <c r="N62" s="1459"/>
      <c r="O62" s="1459"/>
      <c r="P62" s="1459"/>
      <c r="Q62" s="1459"/>
      <c r="R62" s="1459"/>
      <c r="S62" s="1459"/>
      <c r="T62" s="816">
        <f>F62&gt;0</f>
        <v>1</v>
      </c>
      <c r="U62" s="1459"/>
      <c r="V62" s="1459"/>
      <c r="W62" s="1459"/>
      <c r="X62" s="1459"/>
      <c r="Y62" s="1459"/>
      <c r="Z62" s="1459"/>
      <c r="AA62" s="1459"/>
      <c r="AB62" s="403" t="s">
        <v>343</v>
      </c>
      <c r="AC62" s="404" t="s">
        <v>1217</v>
      </c>
      <c r="AD62" s="154" t="s">
        <v>805</v>
      </c>
      <c r="AE62" s="1823"/>
      <c r="AF62" s="1823"/>
      <c r="AG62" s="1823"/>
      <c r="AH62" s="1823"/>
      <c r="AI62" s="279">
        <f>_xlfn.SUMIFS(AI63:AI67,$AD63:$AD67,$AD62)</f>
        <v>0</v>
      </c>
      <c r="AJ62" s="279">
        <f>_xlfn.SUMIFS(AJ63:AJ67,$AD63:$AD67,$AD62)</f>
        <v>0</v>
      </c>
      <c r="AK62" s="1742"/>
      <c r="AL62" s="1459"/>
      <c r="AM62" s="1459"/>
      <c r="AN62" s="1181" t="s">
        <v>1218</v>
      </c>
      <c r="AO62" s="1187"/>
      <c r="AP62" s="1187"/>
      <c r="AQ62" s="1188"/>
      <c r="AR62" s="1188"/>
    </row>
    <row s="789" customFormat="1" customHeight="1" ht="9" hidden="1">
      <c r="A63" s="1459"/>
      <c r="B63" s="1459"/>
      <c r="C63" s="1459"/>
      <c r="D63" s="1459"/>
      <c r="E63" s="800">
        <v>0</v>
      </c>
      <c r="F63" s="919" cm="1" t="str">
        <f t="array" ref="F63:F63">OFFSET(G63,-1,-1)</f>
        <v>1</v>
      </c>
      <c r="G63" s="1459"/>
      <c r="H63" s="1459"/>
      <c r="I63" s="1459"/>
      <c r="J63" s="1459"/>
      <c r="K63" s="1459"/>
      <c r="L63" s="1459"/>
      <c r="M63" s="1459"/>
      <c r="N63" s="1459"/>
      <c r="O63" s="1459"/>
      <c r="P63" s="1459"/>
      <c r="Q63" s="1459"/>
      <c r="R63" s="1459"/>
      <c r="S63" s="1459"/>
      <c r="T63" s="816">
        <f>F63&gt;0</f>
        <v>1</v>
      </c>
      <c r="U63" s="1459"/>
      <c r="V63" s="1459"/>
      <c r="W63" s="1459"/>
      <c r="X63" s="1459"/>
      <c r="Y63" s="1459"/>
      <c r="Z63" s="1459"/>
      <c r="AA63" s="1459"/>
      <c r="AB63" s="403"/>
      <c r="AC63" s="404"/>
      <c r="AD63" s="154"/>
      <c r="AE63" s="166"/>
      <c r="AF63" s="166"/>
      <c r="AG63" s="166"/>
      <c r="AH63" s="166"/>
      <c r="AI63" s="281"/>
      <c r="AJ63" s="281"/>
      <c r="AK63" s="839"/>
      <c r="AL63" s="1459"/>
      <c r="AM63" s="1459"/>
      <c r="AN63" s="1181"/>
      <c r="AO63" s="1187"/>
      <c r="AP63" s="1187"/>
      <c r="AQ63" s="1188"/>
      <c r="AR63" s="1188"/>
    </row>
    <row s="789" customFormat="1" customHeight="1" ht="16.5" hidden="1">
      <c r="A64" s="1459"/>
      <c r="B64" s="1459"/>
      <c r="C64" s="1459"/>
      <c r="D64" s="1459"/>
      <c r="E64" s="800">
        <v>17</v>
      </c>
      <c r="F64" s="919" cm="1" t="str">
        <f t="array" ref="F64:F64">OFFSET(G64,-1,-1)</f>
        <v>1</v>
      </c>
      <c r="G64" s="1459"/>
      <c r="H64" s="210" t="s">
        <v>1192</v>
      </c>
      <c r="I64" s="210" cm="1" t="str">
        <f t="array" ref="I64:I64">AC64</f>
        <v>0</v>
      </c>
      <c r="J64" s="1459"/>
      <c r="K64" s="1459"/>
      <c r="L64" s="1459"/>
      <c r="M64" s="1459"/>
      <c r="N64" s="1459"/>
      <c r="O64" s="1459"/>
      <c r="P64" s="1459"/>
      <c r="Q64" s="1459"/>
      <c r="R64" s="1459"/>
      <c r="S64" s="1459"/>
      <c r="T64" s="816">
        <f>AND(F64&gt;0,Y64&gt;0)</f>
        <v>0</v>
      </c>
      <c r="U64" s="1459"/>
      <c r="V64" s="1459"/>
      <c r="W64" s="156" t="s">
        <v>233</v>
      </c>
      <c r="X64" s="1459"/>
      <c r="Y64" s="168">
        <v>0</v>
      </c>
      <c r="Z64" s="1459"/>
      <c r="AA64" s="1533" t="s">
        <v>217</v>
      </c>
      <c r="AB64" s="403" t="str">
        <f>"2."&amp;Y64</f>
        <v>2.0</v>
      </c>
      <c r="AC64" s="54"/>
      <c r="AD64" s="154" t="s">
        <v>805</v>
      </c>
      <c r="AE64" s="166"/>
      <c r="AF64" s="166"/>
      <c r="AG64" s="166"/>
      <c r="AH64" s="166"/>
      <c r="AI64" s="280">
        <f>AI65*AI66*12/1000</f>
        <v>0</v>
      </c>
      <c r="AJ64" s="280">
        <f>AJ65*AJ66*12/1000</f>
        <v>0</v>
      </c>
      <c r="AK64" s="79"/>
      <c r="AL64" s="1459"/>
      <c r="AM64" s="1459"/>
      <c r="AN64" s="1181" t="s">
        <v>1219</v>
      </c>
      <c r="AO64" s="1187" t="s">
        <v>1220</v>
      </c>
      <c r="AP64" s="1187" cm="1" t="str">
        <f t="array" ref="AP64:AP64">AC64</f>
        <v>0</v>
      </c>
      <c r="AQ64" s="1188"/>
      <c r="AR64" s="1188" t="b">
        <v>1</v>
      </c>
    </row>
    <row s="789" customFormat="1" customHeight="1" ht="16.5" hidden="1">
      <c r="A65" s="1459"/>
      <c r="B65" s="1459"/>
      <c r="C65" s="1459"/>
      <c r="D65" s="1459"/>
      <c r="E65" s="800">
        <v>17</v>
      </c>
      <c r="F65" s="919" cm="1" t="str">
        <f t="array" ref="F65:F65">OFFSET(G65,-1,-1)</f>
        <v>1</v>
      </c>
      <c r="G65" s="736" t="s">
        <v>1221</v>
      </c>
      <c r="H65" s="210" t="str">
        <f>H64&amp;"_1"</f>
        <v>L5_1</v>
      </c>
      <c r="I65" s="210" cm="1" t="str">
        <f t="array" ref="I65:I65">I64</f>
        <v>0</v>
      </c>
      <c r="J65" s="1459"/>
      <c r="K65" s="1459"/>
      <c r="L65" s="1459"/>
      <c r="M65" s="1459"/>
      <c r="N65" s="1459"/>
      <c r="O65" s="1459"/>
      <c r="P65" s="1459"/>
      <c r="Q65" s="1459"/>
      <c r="R65" s="1459"/>
      <c r="S65" s="1459"/>
      <c r="T65" s="816" cm="1" t="str">
        <f t="array" ref="T65:T65">T64</f>
        <v>false</v>
      </c>
      <c r="U65" s="1459"/>
      <c r="V65" s="1459"/>
      <c r="W65" s="1459"/>
      <c r="X65" s="1459"/>
      <c r="Y65" s="1459"/>
      <c r="Z65" s="1459"/>
      <c r="AA65" s="1533"/>
      <c r="AB65" s="403" t="str">
        <f>AB64&amp;".1"</f>
        <v>2.0.1</v>
      </c>
      <c r="AC65" s="291" t="s">
        <v>1210</v>
      </c>
      <c r="AD65" s="154" t="s">
        <v>1211</v>
      </c>
      <c r="AE65" s="166"/>
      <c r="AF65" s="166"/>
      <c r="AG65" s="166"/>
      <c r="AH65" s="166"/>
      <c r="AI65" s="297"/>
      <c r="AJ65" s="297"/>
      <c r="AK65" s="79"/>
      <c r="AL65" s="1459"/>
      <c r="AM65" s="1459"/>
      <c r="AN65" s="1181" t="s">
        <v>1222</v>
      </c>
      <c r="AO65" s="1187" t="s">
        <v>1220</v>
      </c>
      <c r="AP65" s="1187" cm="1" t="str">
        <f t="array" ref="AP65:AP65">AP64</f>
        <v>0</v>
      </c>
      <c r="AQ65" s="1188"/>
      <c r="AR65" s="1188"/>
    </row>
    <row s="789" customFormat="1" customHeight="1" ht="16.5" hidden="1">
      <c r="A66" s="1459"/>
      <c r="B66" s="1459"/>
      <c r="C66" s="1459"/>
      <c r="D66" s="1459"/>
      <c r="E66" s="800">
        <v>17</v>
      </c>
      <c r="F66" s="919" cm="1" t="str">
        <f t="array" ref="F66:F66">OFFSET(G66,-1,-1)</f>
        <v>1</v>
      </c>
      <c r="G66" s="1459"/>
      <c r="H66" s="210" t="str">
        <f>H64&amp;"_2"</f>
        <v>L5_2</v>
      </c>
      <c r="I66" s="210" cm="1" t="str">
        <f t="array" ref="I66:I66">I65</f>
        <v>0</v>
      </c>
      <c r="J66" s="1459"/>
      <c r="K66" s="1459"/>
      <c r="L66" s="1459"/>
      <c r="M66" s="1459"/>
      <c r="N66" s="1459"/>
      <c r="O66" s="1459"/>
      <c r="P66" s="1459"/>
      <c r="Q66" s="1459"/>
      <c r="R66" s="1459"/>
      <c r="S66" s="1459"/>
      <c r="T66" s="816" cm="1" t="str">
        <f t="array" ref="T66:T66">T65</f>
        <v>false</v>
      </c>
      <c r="U66" s="1459"/>
      <c r="V66" s="1459"/>
      <c r="W66" s="1459"/>
      <c r="X66" s="1459"/>
      <c r="Y66" s="1459"/>
      <c r="Z66" s="1459"/>
      <c r="AA66" s="1533"/>
      <c r="AB66" s="403" t="str">
        <f>AB64&amp;".2"</f>
        <v>2.0.2</v>
      </c>
      <c r="AC66" s="291" t="s">
        <v>1213</v>
      </c>
      <c r="AD66" s="154" t="s">
        <v>1214</v>
      </c>
      <c r="AE66" s="166"/>
      <c r="AF66" s="166"/>
      <c r="AG66" s="166"/>
      <c r="AH66" s="166"/>
      <c r="AI66" s="297"/>
      <c r="AJ66" s="297"/>
      <c r="AK66" s="79"/>
      <c r="AL66" s="1459"/>
      <c r="AM66" s="1459"/>
      <c r="AN66" s="1181" t="s">
        <v>1223</v>
      </c>
      <c r="AO66" s="1187" t="s">
        <v>1220</v>
      </c>
      <c r="AP66" s="1187" cm="1" t="str">
        <f t="array" ref="AP66:AP66">AP65</f>
        <v>0</v>
      </c>
      <c r="AQ66" s="1188"/>
      <c r="AR66" s="1188"/>
    </row>
    <row s="789" customFormat="1" customHeight="1" ht="16.5">
      <c r="A67" s="1459"/>
      <c r="B67" s="1459"/>
      <c r="C67" s="1459"/>
      <c r="D67" s="1459"/>
      <c r="E67" s="800">
        <v>17</v>
      </c>
      <c r="F67" s="919" cm="1" t="str">
        <f t="array" ref="F67:F67">OFFSET(G67,-1,-1)</f>
        <v>1</v>
      </c>
      <c r="G67" s="1459"/>
      <c r="H67" s="210" t="str">
        <f>F67&amp;"pIns3"</f>
        <v>1pIns3</v>
      </c>
      <c r="I67" s="1459"/>
      <c r="J67" s="1459"/>
      <c r="K67" s="1459"/>
      <c r="L67" s="1459"/>
      <c r="M67" s="1459"/>
      <c r="N67" s="1459"/>
      <c r="O67" s="1459"/>
      <c r="P67" s="1459"/>
      <c r="Q67" s="1459"/>
      <c r="R67" s="1459"/>
      <c r="S67" s="1459"/>
      <c r="T67" s="816">
        <f>F67&gt;0</f>
        <v>1</v>
      </c>
      <c r="U67" s="1459"/>
      <c r="V67" s="1459"/>
      <c r="W67" s="371" t="s">
        <v>958</v>
      </c>
      <c r="X67" s="1459"/>
      <c r="Y67" s="1459"/>
      <c r="Z67" s="1459"/>
      <c r="AA67" s="1459"/>
      <c r="AB67" s="299"/>
      <c r="AC67" s="300" t="s">
        <v>235</v>
      </c>
      <c r="AD67" s="300"/>
      <c r="AE67" s="300"/>
      <c r="AF67" s="300"/>
      <c r="AG67" s="300"/>
      <c r="AH67" s="300"/>
      <c r="AI67" s="300"/>
      <c r="AJ67" s="300"/>
      <c r="AK67" s="1098"/>
      <c r="AL67" s="1459"/>
      <c r="AM67" s="1459"/>
      <c r="AN67" s="1181" t="s">
        <v>152</v>
      </c>
      <c r="AO67" s="1187"/>
      <c r="AP67" s="1187"/>
      <c r="AQ67" s="1188" t="s">
        <v>1220</v>
      </c>
      <c r="AR67" s="1188"/>
    </row>
    <row s="789" customFormat="1" customHeight="1" ht="24">
      <c r="A68" s="1459"/>
      <c r="B68" s="1459"/>
      <c r="C68" s="1459"/>
      <c r="D68" s="1459"/>
      <c r="E68" s="800">
        <v>24.8</v>
      </c>
      <c r="F68" s="919" cm="1" t="str">
        <f t="array" ref="F68:F68">OFFSET(G68,-1,-1)</f>
        <v>1</v>
      </c>
      <c r="G68" s="736" t="s">
        <v>1224</v>
      </c>
      <c r="H68" s="210" t="s">
        <v>1192</v>
      </c>
      <c r="I68" s="1459"/>
      <c r="J68" s="1459"/>
      <c r="K68" s="1459"/>
      <c r="L68" s="1459"/>
      <c r="M68" s="1459"/>
      <c r="N68" s="1459"/>
      <c r="O68" s="1459"/>
      <c r="P68" s="1459"/>
      <c r="Q68" s="1459"/>
      <c r="R68" s="1459"/>
      <c r="S68" s="1459"/>
      <c r="T68" s="816">
        <f>F68&gt;0</f>
        <v>1</v>
      </c>
      <c r="U68" s="1459"/>
      <c r="V68" s="1459"/>
      <c r="W68" s="1459"/>
      <c r="X68" s="1459"/>
      <c r="Y68" s="1459"/>
      <c r="Z68" s="1459"/>
      <c r="AA68" s="1459"/>
      <c r="AB68" s="403" t="s">
        <v>614</v>
      </c>
      <c r="AC68" s="404" t="s">
        <v>1225</v>
      </c>
      <c r="AD68" s="154" t="s">
        <v>805</v>
      </c>
      <c r="AE68" s="1823"/>
      <c r="AF68" s="1823"/>
      <c r="AG68" s="1823"/>
      <c r="AH68" s="1823"/>
      <c r="AI68" s="279">
        <f>_xlfn.SUMIFS(AI69:AI73,$AD69:$AD73,$AD68)</f>
        <v>0</v>
      </c>
      <c r="AJ68" s="279">
        <f>_xlfn.SUMIFS(AJ69:AJ73,$AD69:$AD73,$AD68)</f>
        <v>0</v>
      </c>
      <c r="AK68" s="1742"/>
      <c r="AL68" s="1459"/>
      <c r="AM68" s="1459"/>
      <c r="AN68" s="1181" t="s">
        <v>1226</v>
      </c>
      <c r="AO68" s="1187"/>
      <c r="AP68" s="1187"/>
      <c r="AQ68" s="1188"/>
      <c r="AR68" s="1188"/>
    </row>
    <row s="789" customFormat="1" customHeight="1" ht="9" hidden="1">
      <c r="A69" s="1459"/>
      <c r="B69" s="1459"/>
      <c r="C69" s="1459"/>
      <c r="D69" s="1459"/>
      <c r="E69" s="800">
        <v>0</v>
      </c>
      <c r="F69" s="919" cm="1" t="str">
        <f t="array" ref="F69:F69">OFFSET(G69,-1,-1)</f>
        <v>1</v>
      </c>
      <c r="G69" s="1459"/>
      <c r="H69" s="1459"/>
      <c r="I69" s="1459"/>
      <c r="J69" s="1459"/>
      <c r="K69" s="1459"/>
      <c r="L69" s="1459"/>
      <c r="M69" s="1459"/>
      <c r="N69" s="1459"/>
      <c r="O69" s="1459"/>
      <c r="P69" s="1459"/>
      <c r="Q69" s="1459"/>
      <c r="R69" s="1459"/>
      <c r="S69" s="1459"/>
      <c r="T69" s="816">
        <f>F69&gt;0</f>
        <v>1</v>
      </c>
      <c r="U69" s="1459"/>
      <c r="V69" s="1459"/>
      <c r="W69" s="1459"/>
      <c r="X69" s="1459"/>
      <c r="Y69" s="1459"/>
      <c r="Z69" s="1459"/>
      <c r="AA69" s="1459"/>
      <c r="AB69" s="403"/>
      <c r="AC69" s="404"/>
      <c r="AD69" s="154"/>
      <c r="AE69" s="166"/>
      <c r="AF69" s="166"/>
      <c r="AG69" s="166"/>
      <c r="AH69" s="166"/>
      <c r="AI69" s="281"/>
      <c r="AJ69" s="281"/>
      <c r="AK69" s="839"/>
      <c r="AL69" s="1459"/>
      <c r="AM69" s="1459"/>
      <c r="AN69" s="1181"/>
      <c r="AO69" s="1187"/>
      <c r="AP69" s="1187"/>
      <c r="AQ69" s="1188"/>
      <c r="AR69" s="1188"/>
    </row>
    <row s="789" customFormat="1" customHeight="1" ht="16.5" hidden="1">
      <c r="A70" s="1459"/>
      <c r="B70" s="1459"/>
      <c r="C70" s="1459"/>
      <c r="D70" s="1459"/>
      <c r="E70" s="800">
        <v>17</v>
      </c>
      <c r="F70" s="919" cm="1" t="str">
        <f t="array" ref="F70:F70">OFFSET(G70,-1,-1)</f>
        <v>1</v>
      </c>
      <c r="G70" s="1459"/>
      <c r="H70" s="210" t="s">
        <v>1192</v>
      </c>
      <c r="I70" s="210" cm="1" t="str">
        <f t="array" ref="I70:I70">AC70</f>
        <v>0</v>
      </c>
      <c r="J70" s="1459"/>
      <c r="K70" s="1459"/>
      <c r="L70" s="1459"/>
      <c r="M70" s="1459"/>
      <c r="N70" s="1459"/>
      <c r="O70" s="1459"/>
      <c r="P70" s="1459"/>
      <c r="Q70" s="1459"/>
      <c r="R70" s="1459"/>
      <c r="S70" s="1459"/>
      <c r="T70" s="816">
        <f>AND(F70&gt;0,Y70&gt;0)</f>
        <v>0</v>
      </c>
      <c r="U70" s="1459"/>
      <c r="V70" s="1459"/>
      <c r="W70" s="156" t="s">
        <v>233</v>
      </c>
      <c r="X70" s="1459"/>
      <c r="Y70" s="168">
        <v>0</v>
      </c>
      <c r="Z70" s="1459"/>
      <c r="AA70" s="1533" t="s">
        <v>217</v>
      </c>
      <c r="AB70" s="403" t="str">
        <f>"3."&amp;Y70</f>
        <v>3.0</v>
      </c>
      <c r="AC70" s="54"/>
      <c r="AD70" s="154" t="s">
        <v>805</v>
      </c>
      <c r="AE70" s="166"/>
      <c r="AF70" s="166"/>
      <c r="AG70" s="166"/>
      <c r="AH70" s="166"/>
      <c r="AI70" s="280">
        <f>AI71*AI72*12/1000</f>
        <v>0</v>
      </c>
      <c r="AJ70" s="280">
        <f>AJ71*AJ72*12/1000</f>
        <v>0</v>
      </c>
      <c r="AK70" s="79"/>
      <c r="AL70" s="1459"/>
      <c r="AM70" s="1459"/>
      <c r="AN70" s="1181" t="s">
        <v>1227</v>
      </c>
      <c r="AO70" s="1187" t="s">
        <v>1228</v>
      </c>
      <c r="AP70" s="1187" cm="1" t="str">
        <f t="array" ref="AP70:AP70">AC70</f>
        <v>0</v>
      </c>
      <c r="AQ70" s="1188"/>
      <c r="AR70" s="1188" t="b">
        <v>1</v>
      </c>
    </row>
    <row s="789" customFormat="1" customHeight="1" ht="16.5" hidden="1">
      <c r="A71" s="1459"/>
      <c r="B71" s="1459"/>
      <c r="C71" s="1459"/>
      <c r="D71" s="1459"/>
      <c r="E71" s="800">
        <v>17</v>
      </c>
      <c r="F71" s="919" cm="1" t="str">
        <f t="array" ref="F71:F71">OFFSET(G71,-1,-1)</f>
        <v>1</v>
      </c>
      <c r="G71" s="736" t="s">
        <v>1229</v>
      </c>
      <c r="H71" s="210" t="str">
        <f>H70&amp;"_1"</f>
        <v>L5_1</v>
      </c>
      <c r="I71" s="210" cm="1" t="str">
        <f t="array" ref="I71:I71">I70</f>
        <v>0</v>
      </c>
      <c r="J71" s="1459"/>
      <c r="K71" s="1459"/>
      <c r="L71" s="1459"/>
      <c r="M71" s="1459"/>
      <c r="N71" s="1459"/>
      <c r="O71" s="1459"/>
      <c r="P71" s="1459"/>
      <c r="Q71" s="1459"/>
      <c r="R71" s="1459"/>
      <c r="S71" s="1459"/>
      <c r="T71" s="816" cm="1" t="str">
        <f t="array" ref="T71:T71">T70</f>
        <v>false</v>
      </c>
      <c r="U71" s="1459"/>
      <c r="V71" s="1459"/>
      <c r="W71" s="1459"/>
      <c r="X71" s="1459"/>
      <c r="Y71" s="1459"/>
      <c r="Z71" s="1459"/>
      <c r="AA71" s="1533"/>
      <c r="AB71" s="403" t="str">
        <f>AB70&amp;".1"</f>
        <v>3.0.1</v>
      </c>
      <c r="AC71" s="291" t="s">
        <v>1210</v>
      </c>
      <c r="AD71" s="154" t="s">
        <v>1211</v>
      </c>
      <c r="AE71" s="166"/>
      <c r="AF71" s="166"/>
      <c r="AG71" s="166"/>
      <c r="AH71" s="166"/>
      <c r="AI71" s="297"/>
      <c r="AJ71" s="297"/>
      <c r="AK71" s="79"/>
      <c r="AL71" s="1459"/>
      <c r="AM71" s="1459"/>
      <c r="AN71" s="1181" t="s">
        <v>1230</v>
      </c>
      <c r="AO71" s="1187" t="s">
        <v>1228</v>
      </c>
      <c r="AP71" s="1187" cm="1" t="str">
        <f t="array" ref="AP71:AP71">AP70</f>
        <v>0</v>
      </c>
      <c r="AQ71" s="1188"/>
      <c r="AR71" s="1188"/>
    </row>
    <row s="789" customFormat="1" customHeight="1" ht="16.5" hidden="1">
      <c r="A72" s="1459"/>
      <c r="B72" s="1459"/>
      <c r="C72" s="1459"/>
      <c r="D72" s="1459"/>
      <c r="E72" s="800">
        <v>17</v>
      </c>
      <c r="F72" s="919" cm="1" t="str">
        <f t="array" ref="F72:F72">OFFSET(G72,-1,-1)</f>
        <v>1</v>
      </c>
      <c r="G72" s="1459"/>
      <c r="H72" s="210" t="str">
        <f>H70&amp;"_2"</f>
        <v>L5_2</v>
      </c>
      <c r="I72" s="210" cm="1" t="str">
        <f t="array" ref="I72:I72">I71</f>
        <v>0</v>
      </c>
      <c r="J72" s="1459"/>
      <c r="K72" s="1459"/>
      <c r="L72" s="1459"/>
      <c r="M72" s="1459"/>
      <c r="N72" s="1459"/>
      <c r="O72" s="1459"/>
      <c r="P72" s="1459"/>
      <c r="Q72" s="1459"/>
      <c r="R72" s="1459"/>
      <c r="S72" s="1459"/>
      <c r="T72" s="816" cm="1" t="str">
        <f t="array" ref="T72:T72">T71</f>
        <v>false</v>
      </c>
      <c r="U72" s="1459"/>
      <c r="V72" s="1459"/>
      <c r="W72" s="1459"/>
      <c r="X72" s="1459"/>
      <c r="Y72" s="1459"/>
      <c r="Z72" s="1459"/>
      <c r="AA72" s="1533"/>
      <c r="AB72" s="403" t="str">
        <f>AB70&amp;".2"</f>
        <v>3.0.2</v>
      </c>
      <c r="AC72" s="291" t="s">
        <v>1213</v>
      </c>
      <c r="AD72" s="154" t="s">
        <v>1214</v>
      </c>
      <c r="AE72" s="166"/>
      <c r="AF72" s="166"/>
      <c r="AG72" s="166"/>
      <c r="AH72" s="166"/>
      <c r="AI72" s="297"/>
      <c r="AJ72" s="297"/>
      <c r="AK72" s="79"/>
      <c r="AL72" s="1459"/>
      <c r="AM72" s="1459"/>
      <c r="AN72" s="1181" t="s">
        <v>1231</v>
      </c>
      <c r="AO72" s="1187" t="s">
        <v>1228</v>
      </c>
      <c r="AP72" s="1187" cm="1" t="str">
        <f t="array" ref="AP72:AP72">AP71</f>
        <v>0</v>
      </c>
      <c r="AQ72" s="1188"/>
      <c r="AR72" s="1188"/>
    </row>
    <row s="789" customFormat="1" customHeight="1" ht="16.5">
      <c r="A73" s="1459"/>
      <c r="B73" s="1459"/>
      <c r="C73" s="1459"/>
      <c r="D73" s="1459"/>
      <c r="E73" s="800">
        <v>17</v>
      </c>
      <c r="F73" s="919" cm="1" t="str">
        <f t="array" ref="F73:F73">OFFSET(G73,-1,-1)</f>
        <v>1</v>
      </c>
      <c r="G73" s="1459"/>
      <c r="H73" s="210" t="str">
        <f>F73&amp;"pIns3"</f>
        <v>1pIns3</v>
      </c>
      <c r="I73" s="1459"/>
      <c r="J73" s="1459"/>
      <c r="K73" s="1459"/>
      <c r="L73" s="1459"/>
      <c r="M73" s="1459"/>
      <c r="N73" s="1459"/>
      <c r="O73" s="1459"/>
      <c r="P73" s="1459"/>
      <c r="Q73" s="1459"/>
      <c r="R73" s="1459"/>
      <c r="S73" s="1459"/>
      <c r="T73" s="816">
        <f>F73&gt;0</f>
        <v>1</v>
      </c>
      <c r="U73" s="1459"/>
      <c r="V73" s="1459"/>
      <c r="W73" s="371" t="s">
        <v>1199</v>
      </c>
      <c r="X73" s="1459"/>
      <c r="Y73" s="1459"/>
      <c r="Z73" s="1459"/>
      <c r="AA73" s="1459"/>
      <c r="AB73" s="299"/>
      <c r="AC73" s="300" t="s">
        <v>235</v>
      </c>
      <c r="AD73" s="300"/>
      <c r="AE73" s="300"/>
      <c r="AF73" s="300"/>
      <c r="AG73" s="300"/>
      <c r="AH73" s="300"/>
      <c r="AI73" s="300"/>
      <c r="AJ73" s="300"/>
      <c r="AK73" s="1098"/>
      <c r="AL73" s="1459"/>
      <c r="AM73" s="1459"/>
      <c r="AN73" s="1181" t="s">
        <v>152</v>
      </c>
      <c r="AO73" s="1187"/>
      <c r="AP73" s="1187"/>
      <c r="AQ73" s="1188" t="s">
        <v>1228</v>
      </c>
      <c r="AR73" s="1188"/>
    </row>
    <row s="789" customFormat="1" customHeight="1" ht="24">
      <c r="A74" s="1459"/>
      <c r="B74" s="1459"/>
      <c r="C74" s="1459"/>
      <c r="D74" s="1459"/>
      <c r="E74" s="800">
        <v>24.8</v>
      </c>
      <c r="F74" s="919" cm="1" t="str">
        <f t="array" ref="F74:F74">OFFSET(G74,-1,-1)</f>
        <v>1</v>
      </c>
      <c r="G74" s="736" t="s">
        <v>1232</v>
      </c>
      <c r="H74" s="210" t="s">
        <v>1192</v>
      </c>
      <c r="I74" s="1459"/>
      <c r="J74" s="1459"/>
      <c r="K74" s="1459"/>
      <c r="L74" s="1459"/>
      <c r="M74" s="1459"/>
      <c r="N74" s="1459"/>
      <c r="O74" s="1459"/>
      <c r="P74" s="1459"/>
      <c r="Q74" s="1459"/>
      <c r="R74" s="1459"/>
      <c r="S74" s="1459"/>
      <c r="T74" s="816">
        <f>F74&gt;0</f>
        <v>1</v>
      </c>
      <c r="U74" s="1459"/>
      <c r="V74" s="1459"/>
      <c r="W74" s="1459"/>
      <c r="X74" s="1459"/>
      <c r="Y74" s="1459"/>
      <c r="Z74" s="1459"/>
      <c r="AA74" s="1459"/>
      <c r="AB74" s="403" t="s">
        <v>624</v>
      </c>
      <c r="AC74" s="404" t="s">
        <v>1233</v>
      </c>
      <c r="AD74" s="154" t="s">
        <v>805</v>
      </c>
      <c r="AE74" s="1823"/>
      <c r="AF74" s="1823"/>
      <c r="AG74" s="1823"/>
      <c r="AH74" s="1823"/>
      <c r="AI74" s="279">
        <f>_xlfn.SUMIFS(AI75:AI79,$AD75:$AD79,$AD74)</f>
        <v>0</v>
      </c>
      <c r="AJ74" s="279">
        <f>_xlfn.SUMIFS(AJ75:AJ79,$AD75:$AD79,$AD74)</f>
        <v>0</v>
      </c>
      <c r="AK74" s="1742"/>
      <c r="AL74" s="1459"/>
      <c r="AM74" s="1459"/>
      <c r="AN74" s="1181" t="s">
        <v>1234</v>
      </c>
      <c r="AO74" s="1187"/>
      <c r="AP74" s="1187"/>
      <c r="AQ74" s="1188"/>
      <c r="AR74" s="1188"/>
    </row>
    <row s="789" customFormat="1" customHeight="1" ht="9" hidden="1">
      <c r="A75" s="1459"/>
      <c r="B75" s="1459"/>
      <c r="C75" s="1459"/>
      <c r="D75" s="1459"/>
      <c r="E75" s="800">
        <v>0</v>
      </c>
      <c r="F75" s="919" cm="1" t="str">
        <f t="array" ref="F75:F75">OFFSET(G75,-1,-1)</f>
        <v>1</v>
      </c>
      <c r="G75" s="1459"/>
      <c r="H75" s="1459"/>
      <c r="I75" s="1459"/>
      <c r="J75" s="1459"/>
      <c r="K75" s="1459"/>
      <c r="L75" s="1459"/>
      <c r="M75" s="1459"/>
      <c r="N75" s="1459"/>
      <c r="O75" s="1459"/>
      <c r="P75" s="1459"/>
      <c r="Q75" s="1459"/>
      <c r="R75" s="1459"/>
      <c r="S75" s="1459"/>
      <c r="T75" s="816">
        <f>F75&gt;0</f>
        <v>1</v>
      </c>
      <c r="U75" s="1459"/>
      <c r="V75" s="1459"/>
      <c r="W75" s="1459"/>
      <c r="X75" s="1459"/>
      <c r="Y75" s="1459"/>
      <c r="Z75" s="1459"/>
      <c r="AA75" s="1459"/>
      <c r="AB75" s="403"/>
      <c r="AC75" s="404"/>
      <c r="AD75" s="154"/>
      <c r="AE75" s="166"/>
      <c r="AF75" s="166"/>
      <c r="AG75" s="166"/>
      <c r="AH75" s="166"/>
      <c r="AI75" s="281"/>
      <c r="AJ75" s="281"/>
      <c r="AK75" s="839"/>
      <c r="AL75" s="1459"/>
      <c r="AM75" s="1459"/>
      <c r="AN75" s="1181"/>
      <c r="AO75" s="1187"/>
      <c r="AP75" s="1187"/>
      <c r="AQ75" s="1188"/>
      <c r="AR75" s="1188"/>
    </row>
    <row s="789" customFormat="1" customHeight="1" ht="16.5" hidden="1">
      <c r="A76" s="1459"/>
      <c r="B76" s="1459"/>
      <c r="C76" s="1459"/>
      <c r="D76" s="1459"/>
      <c r="E76" s="800">
        <v>17</v>
      </c>
      <c r="F76" s="919" cm="1" t="str">
        <f t="array" ref="F76:F76">OFFSET(G76,-1,-1)</f>
        <v>1</v>
      </c>
      <c r="G76" s="1459"/>
      <c r="H76" s="210" t="s">
        <v>1192</v>
      </c>
      <c r="I76" s="210" cm="1" t="str">
        <f t="array" ref="I76:I76">AC76</f>
        <v>0</v>
      </c>
      <c r="J76" s="1459"/>
      <c r="K76" s="1459"/>
      <c r="L76" s="1459"/>
      <c r="M76" s="1459"/>
      <c r="N76" s="1459"/>
      <c r="O76" s="1459"/>
      <c r="P76" s="1459"/>
      <c r="Q76" s="1459"/>
      <c r="R76" s="1459"/>
      <c r="S76" s="1459"/>
      <c r="T76" s="816">
        <f>AND(F76&gt;0,Y76&gt;0)</f>
        <v>0</v>
      </c>
      <c r="U76" s="1459"/>
      <c r="V76" s="1459"/>
      <c r="W76" s="156" t="s">
        <v>233</v>
      </c>
      <c r="X76" s="1459"/>
      <c r="Y76" s="168">
        <v>0</v>
      </c>
      <c r="Z76" s="1459"/>
      <c r="AA76" s="1533" t="s">
        <v>217</v>
      </c>
      <c r="AB76" s="403" t="str">
        <f>"4."&amp;Y76</f>
        <v>4.0</v>
      </c>
      <c r="AC76" s="54"/>
      <c r="AD76" s="154" t="s">
        <v>805</v>
      </c>
      <c r="AE76" s="166"/>
      <c r="AF76" s="166"/>
      <c r="AG76" s="166"/>
      <c r="AH76" s="166"/>
      <c r="AI76" s="280">
        <f>AI77*AI78*12/1000</f>
        <v>0</v>
      </c>
      <c r="AJ76" s="280">
        <f>AJ77*AJ78*12/1000</f>
        <v>0</v>
      </c>
      <c r="AK76" s="79"/>
      <c r="AL76" s="1459"/>
      <c r="AM76" s="1459"/>
      <c r="AN76" s="1181" t="s">
        <v>1235</v>
      </c>
      <c r="AO76" s="1187" t="s">
        <v>1236</v>
      </c>
      <c r="AP76" s="1187" cm="1" t="str">
        <f t="array" ref="AP76:AP76">AC76</f>
        <v>0</v>
      </c>
      <c r="AQ76" s="1188"/>
      <c r="AR76" s="1188" t="b">
        <v>1</v>
      </c>
    </row>
    <row s="789" customFormat="1" customHeight="1" ht="16.5" hidden="1">
      <c r="A77" s="1459"/>
      <c r="B77" s="1459"/>
      <c r="C77" s="1459"/>
      <c r="D77" s="1459"/>
      <c r="E77" s="800">
        <v>17</v>
      </c>
      <c r="F77" s="919" cm="1" t="str">
        <f t="array" ref="F77:F77">OFFSET(G77,-1,-1)</f>
        <v>1</v>
      </c>
      <c r="G77" s="736" t="s">
        <v>1237</v>
      </c>
      <c r="H77" s="210" t="str">
        <f>H76&amp;"_1"</f>
        <v>L5_1</v>
      </c>
      <c r="I77" s="210" cm="1" t="str">
        <f t="array" ref="I77:I77">I76</f>
        <v>0</v>
      </c>
      <c r="J77" s="1459"/>
      <c r="K77" s="1459"/>
      <c r="L77" s="1459"/>
      <c r="M77" s="1459"/>
      <c r="N77" s="1459"/>
      <c r="O77" s="1459"/>
      <c r="P77" s="1459"/>
      <c r="Q77" s="1459"/>
      <c r="R77" s="1459"/>
      <c r="S77" s="1459"/>
      <c r="T77" s="816" cm="1" t="str">
        <f t="array" ref="T77:T77">T76</f>
        <v>false</v>
      </c>
      <c r="U77" s="1459"/>
      <c r="V77" s="1459"/>
      <c r="W77" s="1459"/>
      <c r="X77" s="1459"/>
      <c r="Y77" s="1459"/>
      <c r="Z77" s="1459"/>
      <c r="AA77" s="1533"/>
      <c r="AB77" s="403" t="str">
        <f>AB76&amp;".1"</f>
        <v>4.0.1</v>
      </c>
      <c r="AC77" s="291" t="s">
        <v>1210</v>
      </c>
      <c r="AD77" s="154" t="s">
        <v>1211</v>
      </c>
      <c r="AE77" s="166"/>
      <c r="AF77" s="166"/>
      <c r="AG77" s="166"/>
      <c r="AH77" s="166"/>
      <c r="AI77" s="297"/>
      <c r="AJ77" s="297"/>
      <c r="AK77" s="79"/>
      <c r="AL77" s="1459"/>
      <c r="AM77" s="1459"/>
      <c r="AN77" s="1181" t="s">
        <v>1238</v>
      </c>
      <c r="AO77" s="1187" t="s">
        <v>1236</v>
      </c>
      <c r="AP77" s="1187" cm="1" t="str">
        <f t="array" ref="AP77:AP77">AP76</f>
        <v>0</v>
      </c>
      <c r="AQ77" s="1188"/>
      <c r="AR77" s="1188"/>
    </row>
    <row s="789" customFormat="1" customHeight="1" ht="16.5" hidden="1">
      <c r="A78" s="1459"/>
      <c r="B78" s="1459"/>
      <c r="C78" s="1459"/>
      <c r="D78" s="1459"/>
      <c r="E78" s="800">
        <v>17</v>
      </c>
      <c r="F78" s="919" cm="1" t="str">
        <f t="array" ref="F78:F78">OFFSET(G78,-1,-1)</f>
        <v>1</v>
      </c>
      <c r="G78" s="1459"/>
      <c r="H78" s="210" t="str">
        <f>H76&amp;"_2"</f>
        <v>L5_2</v>
      </c>
      <c r="I78" s="210" cm="1" t="str">
        <f t="array" ref="I78:I78">I77</f>
        <v>0</v>
      </c>
      <c r="J78" s="1459"/>
      <c r="K78" s="1459"/>
      <c r="L78" s="1459"/>
      <c r="M78" s="1459"/>
      <c r="N78" s="1459"/>
      <c r="O78" s="1459"/>
      <c r="P78" s="1459"/>
      <c r="Q78" s="1459"/>
      <c r="R78" s="1459"/>
      <c r="S78" s="1459"/>
      <c r="T78" s="816" cm="1" t="str">
        <f t="array" ref="T78:T78">T77</f>
        <v>false</v>
      </c>
      <c r="U78" s="1459"/>
      <c r="V78" s="1459"/>
      <c r="W78" s="1459"/>
      <c r="X78" s="1459"/>
      <c r="Y78" s="1459"/>
      <c r="Z78" s="1459"/>
      <c r="AA78" s="1533"/>
      <c r="AB78" s="403" t="str">
        <f>AB76&amp;".2"</f>
        <v>4.0.2</v>
      </c>
      <c r="AC78" s="291" t="s">
        <v>1213</v>
      </c>
      <c r="AD78" s="154" t="s">
        <v>1214</v>
      </c>
      <c r="AE78" s="166"/>
      <c r="AF78" s="166"/>
      <c r="AG78" s="166"/>
      <c r="AH78" s="166"/>
      <c r="AI78" s="297"/>
      <c r="AJ78" s="297"/>
      <c r="AK78" s="79"/>
      <c r="AL78" s="1459"/>
      <c r="AM78" s="1459"/>
      <c r="AN78" s="1181" t="s">
        <v>1239</v>
      </c>
      <c r="AO78" s="1187" t="s">
        <v>1236</v>
      </c>
      <c r="AP78" s="1187" cm="1" t="str">
        <f t="array" ref="AP78:AP78">AP77</f>
        <v>0</v>
      </c>
      <c r="AQ78" s="1188"/>
      <c r="AR78" s="1188"/>
    </row>
    <row s="789" customFormat="1" customHeight="1" ht="16.5">
      <c r="A79" s="1459"/>
      <c r="B79" s="1459"/>
      <c r="C79" s="1459"/>
      <c r="D79" s="1459"/>
      <c r="E79" s="800">
        <v>17</v>
      </c>
      <c r="F79" s="919" cm="1" t="str">
        <f t="array" ref="F79:F79">OFFSET(G79,-1,-1)</f>
        <v>1</v>
      </c>
      <c r="G79" s="1459"/>
      <c r="H79" s="210" t="str">
        <f>F79&amp;"pIns3"</f>
        <v>1pIns3</v>
      </c>
      <c r="I79" s="1459"/>
      <c r="J79" s="1459"/>
      <c r="K79" s="1459"/>
      <c r="L79" s="1459"/>
      <c r="M79" s="1459"/>
      <c r="N79" s="1459"/>
      <c r="O79" s="1459"/>
      <c r="P79" s="1459"/>
      <c r="Q79" s="1459"/>
      <c r="R79" s="1459"/>
      <c r="S79" s="1459"/>
      <c r="T79" s="816">
        <f>F79&gt;0</f>
        <v>1</v>
      </c>
      <c r="U79" s="1459"/>
      <c r="V79" s="1459"/>
      <c r="W79" s="371" t="s">
        <v>1240</v>
      </c>
      <c r="X79" s="1459"/>
      <c r="Y79" s="1459"/>
      <c r="Z79" s="1459"/>
      <c r="AA79" s="1459"/>
      <c r="AB79" s="299"/>
      <c r="AC79" s="300" t="s">
        <v>235</v>
      </c>
      <c r="AD79" s="300"/>
      <c r="AE79" s="300"/>
      <c r="AF79" s="300"/>
      <c r="AG79" s="300"/>
      <c r="AH79" s="300"/>
      <c r="AI79" s="300"/>
      <c r="AJ79" s="300"/>
      <c r="AK79" s="301"/>
      <c r="AL79" s="1459"/>
      <c r="AM79" s="1459"/>
      <c r="AN79" s="1181"/>
      <c r="AO79" s="1187"/>
      <c r="AP79" s="1187"/>
      <c r="AQ79" s="1188" t="s">
        <v>1236</v>
      </c>
      <c r="AR79" s="1188"/>
    </row>
    <row s="789" customFormat="1" customHeight="1" ht="10.5">
      <c r="A80" s="1459"/>
      <c r="B80" s="1459"/>
      <c r="C80" s="1459"/>
      <c r="D80" s="1459"/>
      <c r="E80" s="800">
        <v>11.4</v>
      </c>
      <c r="F80" s="919" cm="1" t="str">
        <f t="array" ref="F80:F80">X80</f>
        <v>2</v>
      </c>
      <c r="G80" s="736" t="s">
        <v>48</v>
      </c>
      <c r="H80" s="1459"/>
      <c r="I80" s="1459"/>
      <c r="J80" s="1459"/>
      <c r="K80" s="1459"/>
      <c r="L80" s="1459"/>
      <c r="M80" s="1459"/>
      <c r="N80" s="1459"/>
      <c r="O80" s="1459"/>
      <c r="P80" s="1459"/>
      <c r="Q80" s="1459"/>
      <c r="R80" s="1459"/>
      <c r="S80" s="1459"/>
      <c r="T80" s="816">
        <f>F80&gt;0</f>
        <v>1</v>
      </c>
      <c r="U80" s="1459"/>
      <c r="V80" s="168" cm="1" t="str">
        <f t="array" ref="V80:V80">'Покупка услуг'!$AB$68</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80" s="1459"/>
      <c r="X80" s="168" t="s">
        <v>343</v>
      </c>
      <c r="Y80" s="1459"/>
      <c r="Z80" s="1459"/>
      <c r="AA80" s="1459"/>
      <c r="AB80" s="317" cm="1" t="str">
        <f t="array" ref="AB80:AB80">IF(ISBLANK('Покупка услуг'!$AB$68),"",'Покупка услуг'!$AB$68)</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80" s="257"/>
      <c r="AD80" s="257"/>
      <c r="AE80" s="377">
        <f>AE81+AE90+AE96+AE102</f>
        <v>0</v>
      </c>
      <c r="AF80" s="377">
        <f>AF81+AF90+AF96+AF102</f>
        <v>0</v>
      </c>
      <c r="AG80" s="377">
        <f>AG81+AG90+AG96+AG102</f>
        <v>0</v>
      </c>
      <c r="AH80" s="377">
        <f>AH81+AH90+AH96+AH102</f>
        <v>0</v>
      </c>
      <c r="AI80" s="377">
        <f>AI81+AI90+AI96+AI102</f>
        <v>1081.99992</v>
      </c>
      <c r="AJ80" s="377">
        <f>AJ81+AJ90+AJ96+AJ102</f>
        <v>601.99992</v>
      </c>
      <c r="AK80" s="377"/>
      <c r="AL80" s="1459"/>
      <c r="AM80" s="1459"/>
      <c r="AN80" s="1181"/>
      <c r="AO80" s="1187"/>
      <c r="AP80" s="1187"/>
      <c r="AQ80" s="1188"/>
      <c r="AR80" s="1188"/>
    </row>
    <row s="789" customFormat="1" customHeight="1" ht="18">
      <c r="A81" s="1459"/>
      <c r="B81" s="1459"/>
      <c r="C81" s="1459"/>
      <c r="D81" s="1459"/>
      <c r="E81" s="800">
        <v>18.8</v>
      </c>
      <c r="F81" s="919" cm="1" t="str">
        <f t="array" ref="F81:F81">OFFSET(G81,-1,-1)</f>
        <v>2</v>
      </c>
      <c r="G81" s="736" t="s">
        <v>1203</v>
      </c>
      <c r="H81" s="210" t="s">
        <v>1204</v>
      </c>
      <c r="I81" s="1459"/>
      <c r="J81" s="1459"/>
      <c r="K81" s="1459"/>
      <c r="L81" s="1459"/>
      <c r="M81" s="1459"/>
      <c r="N81" s="1459"/>
      <c r="O81" s="1459"/>
      <c r="P81" s="1459"/>
      <c r="Q81" s="1459"/>
      <c r="R81" s="1459"/>
      <c r="S81" s="1459"/>
      <c r="T81" s="816">
        <f>F81&gt;0</f>
        <v>1</v>
      </c>
      <c r="U81" s="1459"/>
      <c r="V81" s="1459"/>
      <c r="W81" s="1459"/>
      <c r="X81" s="1459"/>
      <c r="Y81" s="1459"/>
      <c r="Z81" s="1459"/>
      <c r="AA81" s="1459"/>
      <c r="AB81" s="403">
        <v>1</v>
      </c>
      <c r="AC81" s="404" t="s">
        <v>1205</v>
      </c>
      <c r="AD81" s="154" t="s">
        <v>805</v>
      </c>
      <c r="AE81" s="1823"/>
      <c r="AF81" s="1823"/>
      <c r="AG81" s="1823"/>
      <c r="AH81" s="1823"/>
      <c r="AI81" s="279">
        <f>_xlfn.SUMIFS(AI82:AI89,$AD82:$AD89,$AD81)</f>
        <v>1081.99992</v>
      </c>
      <c r="AJ81" s="279">
        <f>_xlfn.SUMIFS(AJ82:AJ89,$AD82:$AD89,$AD81)</f>
        <v>601.99992</v>
      </c>
      <c r="AK81" s="1742"/>
      <c r="AL81" s="1459"/>
      <c r="AM81" s="1459"/>
      <c r="AN81" s="1181" t="s">
        <v>1206</v>
      </c>
      <c r="AO81" s="1187"/>
      <c r="AP81" s="1187"/>
      <c r="AQ81" s="1188"/>
      <c r="AR81" s="1188"/>
    </row>
    <row s="789" customFormat="1" customHeight="1" ht="11.25" hidden="1">
      <c r="A82" s="1459"/>
      <c r="B82" s="1459"/>
      <c r="C82" s="1459"/>
      <c r="D82" s="1459"/>
      <c r="E82" s="800">
        <v>0</v>
      </c>
      <c r="F82" s="919" cm="1" t="str">
        <f t="array" ref="F82:F82">OFFSET(G82,-1,-1)</f>
        <v>2</v>
      </c>
      <c r="G82" s="1459"/>
      <c r="H82" s="1459"/>
      <c r="I82" s="1459"/>
      <c r="J82" s="1459"/>
      <c r="K82" s="1459"/>
      <c r="L82" s="1459"/>
      <c r="M82" s="1459"/>
      <c r="N82" s="1459"/>
      <c r="O82" s="1459"/>
      <c r="P82" s="1459"/>
      <c r="Q82" s="1459"/>
      <c r="R82" s="1459"/>
      <c r="S82" s="1459"/>
      <c r="T82" s="816">
        <f>F82&gt;0</f>
        <v>1</v>
      </c>
      <c r="U82" s="1459"/>
      <c r="V82" s="1459"/>
      <c r="W82" s="1459"/>
      <c r="X82" s="1459"/>
      <c r="Y82" s="1459"/>
      <c r="Z82" s="1459"/>
      <c r="AA82" s="1459"/>
      <c r="AB82" s="403"/>
      <c r="AC82" s="404"/>
      <c r="AD82" s="154"/>
      <c r="AE82" s="166"/>
      <c r="AF82" s="166"/>
      <c r="AG82" s="166"/>
      <c r="AH82" s="166"/>
      <c r="AI82" s="281"/>
      <c r="AJ82" s="281"/>
      <c r="AK82" s="839"/>
      <c r="AL82" s="1459"/>
      <c r="AM82" s="1459"/>
      <c r="AN82" s="1181" t="s">
        <v>152</v>
      </c>
      <c r="AO82" s="1187"/>
      <c r="AP82" s="1187"/>
      <c r="AQ82" s="1188"/>
      <c r="AR82" s="1188"/>
    </row>
    <row s="789" customFormat="1" customHeight="1" ht="16.5" hidden="1">
      <c r="E83" s="800">
        <v>17</v>
      </c>
      <c r="F83" s="919" cm="1" t="str">
        <f t="array" ref="F83:F83">OFFSET(G83,-1,-1)</f>
        <v>2</v>
      </c>
      <c r="H83" s="210" t="s">
        <v>1204</v>
      </c>
      <c r="I83" s="210" cm="1" t="str">
        <f t="array" ref="I83:I83">AC83</f>
        <v>0</v>
      </c>
      <c r="T83" s="816">
        <f>AND(F83&gt;0,Y83&gt;0)</f>
        <v>0</v>
      </c>
      <c r="W83" s="156" t="s">
        <v>233</v>
      </c>
      <c r="Y83" s="168">
        <v>0</v>
      </c>
      <c r="AA83" s="1533" t="s">
        <v>217</v>
      </c>
      <c r="AB83" s="403" t="str">
        <f>"1."&amp;Y83</f>
        <v>1.0</v>
      </c>
      <c r="AC83" s="54"/>
      <c r="AD83" s="154" t="s">
        <v>805</v>
      </c>
      <c r="AE83" s="166"/>
      <c r="AF83" s="166"/>
      <c r="AG83" s="166"/>
      <c r="AH83" s="166"/>
      <c r="AI83" s="280">
        <f>AI84*AI85*12/1000</f>
        <v>0</v>
      </c>
      <c r="AJ83" s="280">
        <f>AJ84*AJ85*12/1000</f>
        <v>0</v>
      </c>
      <c r="AK83" s="79"/>
      <c r="AN83" s="1181" t="s">
        <v>1207</v>
      </c>
      <c r="AO83" s="1187" t="s">
        <v>1208</v>
      </c>
      <c r="AP83" s="1187" cm="1" t="str">
        <f t="array" ref="AP83:AP83">AC83</f>
        <v>0</v>
      </c>
      <c r="AQ83" s="1188"/>
      <c r="AR83" s="1188" t="b">
        <v>1</v>
      </c>
    </row>
    <row s="789" customFormat="1" customHeight="1" ht="16.5" hidden="1">
      <c r="E84" s="800">
        <v>17</v>
      </c>
      <c r="F84" s="919" cm="1" t="str">
        <f t="array" ref="F84:F84">OFFSET(G84,-1,-1)</f>
        <v>2</v>
      </c>
      <c r="G84" s="736" t="s">
        <v>1209</v>
      </c>
      <c r="H84" s="210" t="str">
        <f>H83&amp;"_1"</f>
        <v>L1_1</v>
      </c>
      <c r="I84" s="210" cm="1" t="str">
        <f t="array" ref="I84:I84">I83</f>
        <v>0</v>
      </c>
      <c r="T84" s="816" cm="1" t="str">
        <f t="array" ref="T84:T84">T83</f>
        <v>false</v>
      </c>
      <c r="AA84" s="1533"/>
      <c r="AB84" s="403" t="str">
        <f>AB83&amp;".1"</f>
        <v>1.0.1</v>
      </c>
      <c r="AC84" s="291" t="s">
        <v>1210</v>
      </c>
      <c r="AD84" s="154" t="s">
        <v>1211</v>
      </c>
      <c r="AE84" s="166"/>
      <c r="AF84" s="166"/>
      <c r="AG84" s="166"/>
      <c r="AH84" s="166"/>
      <c r="AI84" s="297"/>
      <c r="AJ84" s="297"/>
      <c r="AK84" s="79"/>
      <c r="AN84" s="1181" t="s">
        <v>1212</v>
      </c>
      <c r="AO84" s="1187" t="s">
        <v>1208</v>
      </c>
      <c r="AP84" s="1187" cm="1" t="str">
        <f t="array" ref="AP84:AP84">AP83</f>
        <v>0</v>
      </c>
      <c r="AQ84" s="1188"/>
      <c r="AR84" s="1188"/>
    </row>
    <row s="789" customFormat="1" customHeight="1" ht="16.5" hidden="1">
      <c r="E85" s="800">
        <v>17</v>
      </c>
      <c r="F85" s="919" cm="1" t="str">
        <f t="array" ref="F85:F85">OFFSET(G85,-1,-1)</f>
        <v>2</v>
      </c>
      <c r="H85" s="210" t="str">
        <f>H83&amp;"_2"</f>
        <v>L1_2</v>
      </c>
      <c r="I85" s="210" cm="1" t="str">
        <f t="array" ref="I85:I85">I84</f>
        <v>0</v>
      </c>
      <c r="T85" s="816" cm="1" t="str">
        <f t="array" ref="T85:T85">T84</f>
        <v>false</v>
      </c>
      <c r="AA85" s="1533"/>
      <c r="AB85" s="403" t="str">
        <f>AB83&amp;".2"</f>
        <v>1.0.2</v>
      </c>
      <c r="AC85" s="291" t="s">
        <v>1213</v>
      </c>
      <c r="AD85" s="154" t="s">
        <v>1214</v>
      </c>
      <c r="AE85" s="166"/>
      <c r="AF85" s="166"/>
      <c r="AG85" s="166"/>
      <c r="AH85" s="166"/>
      <c r="AI85" s="297"/>
      <c r="AJ85" s="297"/>
      <c r="AK85" s="79"/>
      <c r="AN85" s="1181" t="s">
        <v>1215</v>
      </c>
      <c r="AO85" s="1187" t="s">
        <v>1208</v>
      </c>
      <c r="AP85" s="1187" cm="1" t="str">
        <f t="array" ref="AP85:AP85">AP84</f>
        <v>0</v>
      </c>
      <c r="AQ85" s="1188"/>
      <c r="AR85" s="1188"/>
    </row>
    <row s="789" customFormat="1" customHeight="1" ht="16.5">
      <c r="A86" s="789"/>
      <c r="B86" s="789"/>
      <c r="C86" s="789"/>
      <c r="D86" s="789"/>
      <c r="E86" s="800">
        <v>17</v>
      </c>
      <c r="F86" s="919" cm="1" t="str">
        <f t="array" ref="F86:F86">OFFSET(G86,-1,-1)</f>
        <v>2</v>
      </c>
      <c r="G86" s="789"/>
      <c r="H86" s="210" t="s">
        <v>1204</v>
      </c>
      <c r="I86" s="210" cm="1" t="str">
        <f t="array" ref="I86:I86">AC86</f>
        <v>Всего ФОТ</v>
      </c>
      <c r="J86" s="789"/>
      <c r="K86" s="789"/>
      <c r="L86" s="789"/>
      <c r="M86" s="789"/>
      <c r="N86" s="789"/>
      <c r="O86" s="789"/>
      <c r="P86" s="789"/>
      <c r="Q86" s="789"/>
      <c r="R86" s="789"/>
      <c r="S86" s="789"/>
      <c r="T86" s="816">
        <f>AND(F86&gt;0,Y86&gt;0)</f>
        <v>1</v>
      </c>
      <c r="U86" s="789"/>
      <c r="V86" s="789"/>
      <c r="W86" s="156"/>
      <c r="X86" s="789"/>
      <c r="Y86" s="168" t="s">
        <v>335</v>
      </c>
      <c r="Z86" s="789"/>
      <c r="AA86" s="1533" t="s">
        <v>217</v>
      </c>
      <c r="AB86" s="403" t="str">
        <f>"1."&amp;Y86</f>
        <v>1.1</v>
      </c>
      <c r="AC86" s="1627" t="s">
        <v>1241</v>
      </c>
      <c r="AD86" s="154" t="s">
        <v>805</v>
      </c>
      <c r="AE86" s="166"/>
      <c r="AF86" s="166"/>
      <c r="AG86" s="166"/>
      <c r="AH86" s="166"/>
      <c r="AI86" s="280">
        <f>AI87*AI88*12/1000</f>
        <v>1081.99992</v>
      </c>
      <c r="AJ86" s="280">
        <f>AJ87*AJ88*12/1000</f>
        <v>601.99992</v>
      </c>
      <c r="AK86" s="1742"/>
      <c r="AL86" s="789"/>
      <c r="AM86" s="789"/>
      <c r="AN86" s="1181" t="s">
        <v>1207</v>
      </c>
      <c r="AO86" s="1187" t="s">
        <v>1208</v>
      </c>
      <c r="AP86" s="1187" cm="1" t="str">
        <f t="array" ref="AP86:AP86">AC86</f>
        <v>Всего ФОТ</v>
      </c>
      <c r="AQ86" s="1188"/>
      <c r="AR86" s="1188" t="b">
        <v>1</v>
      </c>
    </row>
    <row s="789" customFormat="1" customHeight="1" ht="16.5">
      <c r="A87" s="789"/>
      <c r="B87" s="789"/>
      <c r="C87" s="789"/>
      <c r="D87" s="789"/>
      <c r="E87" s="800">
        <v>17</v>
      </c>
      <c r="F87" s="919" cm="1" t="str">
        <f t="array" ref="F87:F87">OFFSET(G87,-1,-1)</f>
        <v>2</v>
      </c>
      <c r="G87" s="736" t="s">
        <v>1209</v>
      </c>
      <c r="H87" s="210" t="str">
        <f>H86&amp;"_1"</f>
        <v>L1_1</v>
      </c>
      <c r="I87" s="210" cm="1" t="str">
        <f t="array" ref="I87:I87">I86</f>
        <v>Всего ФОТ</v>
      </c>
      <c r="J87" s="789"/>
      <c r="K87" s="789"/>
      <c r="L87" s="789"/>
      <c r="M87" s="789"/>
      <c r="N87" s="789"/>
      <c r="O87" s="789"/>
      <c r="P87" s="789"/>
      <c r="Q87" s="789"/>
      <c r="R87" s="789"/>
      <c r="S87" s="789"/>
      <c r="T87" s="816" cm="1" t="str">
        <f t="array" ref="T87:T87">T86</f>
        <v>true</v>
      </c>
      <c r="U87" s="789"/>
      <c r="V87" s="789"/>
      <c r="W87" s="789"/>
      <c r="X87" s="789"/>
      <c r="Y87" s="789"/>
      <c r="Z87" s="789"/>
      <c r="AA87" s="1533"/>
      <c r="AB87" s="403" t="str">
        <f>AB86&amp;".1"</f>
        <v>1.1.1</v>
      </c>
      <c r="AC87" s="291" t="s">
        <v>1210</v>
      </c>
      <c r="AD87" s="154" t="s">
        <v>1211</v>
      </c>
      <c r="AE87" s="166"/>
      <c r="AF87" s="166"/>
      <c r="AG87" s="166"/>
      <c r="AH87" s="166"/>
      <c r="AI87" s="297">
        <v>1</v>
      </c>
      <c r="AJ87" s="297">
        <v>1</v>
      </c>
      <c r="AK87" s="1742"/>
      <c r="AL87" s="789"/>
      <c r="AM87" s="789"/>
      <c r="AN87" s="1181" t="s">
        <v>1212</v>
      </c>
      <c r="AO87" s="1187" t="s">
        <v>1208</v>
      </c>
      <c r="AP87" s="1187" cm="1" t="str">
        <f t="array" ref="AP87:AP87">AP86</f>
        <v>Всего ФОТ</v>
      </c>
      <c r="AQ87" s="1188"/>
      <c r="AR87" s="1188"/>
    </row>
    <row s="789" customFormat="1" customHeight="1" ht="16.5">
      <c r="A88" s="789"/>
      <c r="B88" s="789"/>
      <c r="C88" s="789"/>
      <c r="D88" s="789"/>
      <c r="E88" s="800">
        <v>17</v>
      </c>
      <c r="F88" s="919" cm="1" t="str">
        <f t="array" ref="F88:F88">OFFSET(G88,-1,-1)</f>
        <v>2</v>
      </c>
      <c r="G88" s="789"/>
      <c r="H88" s="210" t="str">
        <f>H86&amp;"_2"</f>
        <v>L1_2</v>
      </c>
      <c r="I88" s="210" cm="1" t="str">
        <f t="array" ref="I88:I88">I87</f>
        <v>Всего ФОТ</v>
      </c>
      <c r="J88" s="789"/>
      <c r="K88" s="789"/>
      <c r="L88" s="789"/>
      <c r="M88" s="789"/>
      <c r="N88" s="789"/>
      <c r="O88" s="789"/>
      <c r="P88" s="789"/>
      <c r="Q88" s="789"/>
      <c r="R88" s="789"/>
      <c r="S88" s="789"/>
      <c r="T88" s="816" cm="1" t="str">
        <f t="array" ref="T88:T88">T87</f>
        <v>true</v>
      </c>
      <c r="U88" s="789"/>
      <c r="V88" s="789"/>
      <c r="W88" s="789"/>
      <c r="X88" s="789"/>
      <c r="Y88" s="789"/>
      <c r="Z88" s="789"/>
      <c r="AA88" s="1533"/>
      <c r="AB88" s="403" t="str">
        <f>AB86&amp;".2"</f>
        <v>1.1.2</v>
      </c>
      <c r="AC88" s="291" t="s">
        <v>1213</v>
      </c>
      <c r="AD88" s="154" t="s">
        <v>1214</v>
      </c>
      <c r="AE88" s="166"/>
      <c r="AF88" s="166"/>
      <c r="AG88" s="166"/>
      <c r="AH88" s="166"/>
      <c r="AI88" s="297">
        <v>90166.66</v>
      </c>
      <c r="AJ88" s="297">
        <v>50166.66</v>
      </c>
      <c r="AK88" s="1742"/>
      <c r="AL88" s="789"/>
      <c r="AM88" s="789"/>
      <c r="AN88" s="1181" t="s">
        <v>1215</v>
      </c>
      <c r="AO88" s="1187" t="s">
        <v>1208</v>
      </c>
      <c r="AP88" s="1187" cm="1" t="str">
        <f t="array" ref="AP88:AP88">AP87</f>
        <v>Всего ФОТ</v>
      </c>
      <c r="AQ88" s="1188"/>
      <c r="AR88" s="1188"/>
    </row>
    <row s="789" customFormat="1" customHeight="1" ht="16.5">
      <c r="A89" s="1459"/>
      <c r="B89" s="1459"/>
      <c r="C89" s="1459"/>
      <c r="D89" s="1459"/>
      <c r="E89" s="800">
        <v>17</v>
      </c>
      <c r="F89" s="919" cm="1" t="str">
        <f t="array" ref="F89:F89">OFFSET(G89,-1,-1)</f>
        <v>2</v>
      </c>
      <c r="G89" s="1459"/>
      <c r="H89" s="210" t="str">
        <f>F89&amp;"pIns1"</f>
        <v>2pIns1</v>
      </c>
      <c r="I89" s="1459"/>
      <c r="J89" s="1459"/>
      <c r="K89" s="1459"/>
      <c r="L89" s="1459"/>
      <c r="M89" s="1459"/>
      <c r="N89" s="1459"/>
      <c r="O89" s="1459"/>
      <c r="P89" s="1459"/>
      <c r="Q89" s="1459"/>
      <c r="R89" s="1459"/>
      <c r="S89" s="1459"/>
      <c r="T89" s="816">
        <f>F89&gt;0</f>
        <v>1</v>
      </c>
      <c r="U89" s="1459"/>
      <c r="V89" s="1459"/>
      <c r="W89" s="371" t="s">
        <v>947</v>
      </c>
      <c r="X89" s="1459"/>
      <c r="Y89" s="1459"/>
      <c r="Z89" s="1459"/>
      <c r="AA89" s="1459"/>
      <c r="AB89" s="299"/>
      <c r="AC89" s="300" t="s">
        <v>235</v>
      </c>
      <c r="AD89" s="300"/>
      <c r="AE89" s="300"/>
      <c r="AF89" s="300"/>
      <c r="AG89" s="300"/>
      <c r="AH89" s="300"/>
      <c r="AI89" s="300"/>
      <c r="AJ89" s="300"/>
      <c r="AK89" s="1098"/>
      <c r="AL89" s="1459"/>
      <c r="AM89" s="1459"/>
      <c r="AN89" s="1181" t="s">
        <v>152</v>
      </c>
      <c r="AO89" s="1187"/>
      <c r="AP89" s="1187"/>
      <c r="AQ89" s="1188" t="s">
        <v>1208</v>
      </c>
      <c r="AR89" s="1188"/>
    </row>
    <row s="789" customFormat="1" customHeight="1" ht="24">
      <c r="A90" s="1459"/>
      <c r="B90" s="1459"/>
      <c r="C90" s="1459"/>
      <c r="D90" s="1459"/>
      <c r="E90" s="800">
        <v>24.8</v>
      </c>
      <c r="F90" s="919" cm="1" t="str">
        <f t="array" ref="F90:F90">OFFSET(G90,-1,-1)</f>
        <v>2</v>
      </c>
      <c r="G90" s="736" t="s">
        <v>1216</v>
      </c>
      <c r="H90" s="210" t="s">
        <v>1192</v>
      </c>
      <c r="I90" s="1459"/>
      <c r="J90" s="1459"/>
      <c r="K90" s="1459"/>
      <c r="L90" s="1459"/>
      <c r="M90" s="1459"/>
      <c r="N90" s="1459"/>
      <c r="O90" s="1459"/>
      <c r="P90" s="1459"/>
      <c r="Q90" s="1459"/>
      <c r="R90" s="1459"/>
      <c r="S90" s="1459"/>
      <c r="T90" s="816">
        <f>F90&gt;0</f>
        <v>1</v>
      </c>
      <c r="U90" s="1459"/>
      <c r="V90" s="1459"/>
      <c r="W90" s="1459"/>
      <c r="X90" s="1459"/>
      <c r="Y90" s="1459"/>
      <c r="Z90" s="1459"/>
      <c r="AA90" s="1459"/>
      <c r="AB90" s="403" t="s">
        <v>343</v>
      </c>
      <c r="AC90" s="404" t="s">
        <v>1217</v>
      </c>
      <c r="AD90" s="154" t="s">
        <v>805</v>
      </c>
      <c r="AE90" s="1823"/>
      <c r="AF90" s="1823"/>
      <c r="AG90" s="1823"/>
      <c r="AH90" s="1823"/>
      <c r="AI90" s="279">
        <f>_xlfn.SUMIFS(AI91:AI95,$AD91:$AD95,$AD90)</f>
        <v>0</v>
      </c>
      <c r="AJ90" s="279">
        <f>_xlfn.SUMIFS(AJ91:AJ95,$AD91:$AD95,$AD90)</f>
        <v>0</v>
      </c>
      <c r="AK90" s="1742"/>
      <c r="AL90" s="1459"/>
      <c r="AM90" s="1459"/>
      <c r="AN90" s="1181" t="s">
        <v>1218</v>
      </c>
      <c r="AO90" s="1187"/>
      <c r="AP90" s="1187"/>
      <c r="AQ90" s="1188"/>
      <c r="AR90" s="1188"/>
    </row>
    <row s="789" customFormat="1" customHeight="1" ht="9" hidden="1">
      <c r="A91" s="1459"/>
      <c r="B91" s="1459"/>
      <c r="C91" s="1459"/>
      <c r="D91" s="1459"/>
      <c r="E91" s="800">
        <v>0</v>
      </c>
      <c r="F91" s="919" cm="1" t="str">
        <f t="array" ref="F91:F91">OFFSET(G91,-1,-1)</f>
        <v>2</v>
      </c>
      <c r="G91" s="1459"/>
      <c r="H91" s="1459"/>
      <c r="I91" s="1459"/>
      <c r="J91" s="1459"/>
      <c r="K91" s="1459"/>
      <c r="L91" s="1459"/>
      <c r="M91" s="1459"/>
      <c r="N91" s="1459"/>
      <c r="O91" s="1459"/>
      <c r="P91" s="1459"/>
      <c r="Q91" s="1459"/>
      <c r="R91" s="1459"/>
      <c r="S91" s="1459"/>
      <c r="T91" s="816">
        <f>F91&gt;0</f>
        <v>1</v>
      </c>
      <c r="U91" s="1459"/>
      <c r="V91" s="1459"/>
      <c r="W91" s="1459"/>
      <c r="X91" s="1459"/>
      <c r="Y91" s="1459"/>
      <c r="Z91" s="1459"/>
      <c r="AA91" s="1459"/>
      <c r="AB91" s="403"/>
      <c r="AC91" s="404"/>
      <c r="AD91" s="154"/>
      <c r="AE91" s="166"/>
      <c r="AF91" s="166"/>
      <c r="AG91" s="166"/>
      <c r="AH91" s="166"/>
      <c r="AI91" s="281"/>
      <c r="AJ91" s="281"/>
      <c r="AK91" s="839"/>
      <c r="AL91" s="1459"/>
      <c r="AM91" s="1459"/>
      <c r="AN91" s="1181"/>
      <c r="AO91" s="1187"/>
      <c r="AP91" s="1187"/>
      <c r="AQ91" s="1188"/>
      <c r="AR91" s="1188"/>
    </row>
    <row s="789" customFormat="1" customHeight="1" ht="16.5" hidden="1">
      <c r="A92" s="1459"/>
      <c r="B92" s="1459"/>
      <c r="C92" s="1459"/>
      <c r="D92" s="1459"/>
      <c r="E92" s="800">
        <v>17</v>
      </c>
      <c r="F92" s="919" cm="1" t="str">
        <f t="array" ref="F92:F92">OFFSET(G92,-1,-1)</f>
        <v>2</v>
      </c>
      <c r="G92" s="1459"/>
      <c r="H92" s="210" t="s">
        <v>1192</v>
      </c>
      <c r="I92" s="210" cm="1" t="str">
        <f t="array" ref="I92:I92">AC92</f>
        <v>0</v>
      </c>
      <c r="J92" s="1459"/>
      <c r="K92" s="1459"/>
      <c r="L92" s="1459"/>
      <c r="M92" s="1459"/>
      <c r="N92" s="1459"/>
      <c r="O92" s="1459"/>
      <c r="P92" s="1459"/>
      <c r="Q92" s="1459"/>
      <c r="R92" s="1459"/>
      <c r="S92" s="1459"/>
      <c r="T92" s="816">
        <f>AND(F92&gt;0,Y92&gt;0)</f>
        <v>0</v>
      </c>
      <c r="U92" s="1459"/>
      <c r="V92" s="1459"/>
      <c r="W92" s="156" t="s">
        <v>233</v>
      </c>
      <c r="X92" s="1459"/>
      <c r="Y92" s="168">
        <v>0</v>
      </c>
      <c r="Z92" s="1459"/>
      <c r="AA92" s="1533" t="s">
        <v>217</v>
      </c>
      <c r="AB92" s="403" t="str">
        <f>"2."&amp;Y92</f>
        <v>2.0</v>
      </c>
      <c r="AC92" s="54"/>
      <c r="AD92" s="154" t="s">
        <v>805</v>
      </c>
      <c r="AE92" s="166"/>
      <c r="AF92" s="166"/>
      <c r="AG92" s="166"/>
      <c r="AH92" s="166"/>
      <c r="AI92" s="280">
        <f>AI93*AI94*12/1000</f>
        <v>0</v>
      </c>
      <c r="AJ92" s="280">
        <f>AJ93*AJ94*12/1000</f>
        <v>0</v>
      </c>
      <c r="AK92" s="79"/>
      <c r="AL92" s="1459"/>
      <c r="AM92" s="1459"/>
      <c r="AN92" s="1181" t="s">
        <v>1219</v>
      </c>
      <c r="AO92" s="1187" t="s">
        <v>1220</v>
      </c>
      <c r="AP92" s="1187" cm="1" t="str">
        <f t="array" ref="AP92:AP92">AC92</f>
        <v>0</v>
      </c>
      <c r="AQ92" s="1188"/>
      <c r="AR92" s="1188" t="b">
        <v>1</v>
      </c>
    </row>
    <row s="789" customFormat="1" customHeight="1" ht="16.5" hidden="1">
      <c r="A93" s="1459"/>
      <c r="B93" s="1459"/>
      <c r="C93" s="1459"/>
      <c r="D93" s="1459"/>
      <c r="E93" s="800">
        <v>17</v>
      </c>
      <c r="F93" s="919" cm="1" t="str">
        <f t="array" ref="F93:F93">OFFSET(G93,-1,-1)</f>
        <v>2</v>
      </c>
      <c r="G93" s="736" t="s">
        <v>1221</v>
      </c>
      <c r="H93" s="210" t="str">
        <f>H92&amp;"_1"</f>
        <v>L5_1</v>
      </c>
      <c r="I93" s="210" cm="1" t="str">
        <f t="array" ref="I93:I93">I92</f>
        <v>0</v>
      </c>
      <c r="J93" s="1459"/>
      <c r="K93" s="1459"/>
      <c r="L93" s="1459"/>
      <c r="M93" s="1459"/>
      <c r="N93" s="1459"/>
      <c r="O93" s="1459"/>
      <c r="P93" s="1459"/>
      <c r="Q93" s="1459"/>
      <c r="R93" s="1459"/>
      <c r="S93" s="1459"/>
      <c r="T93" s="816" cm="1" t="str">
        <f t="array" ref="T93:T93">T92</f>
        <v>false</v>
      </c>
      <c r="U93" s="1459"/>
      <c r="V93" s="1459"/>
      <c r="W93" s="1459"/>
      <c r="X93" s="1459"/>
      <c r="Y93" s="1459"/>
      <c r="Z93" s="1459"/>
      <c r="AA93" s="1533"/>
      <c r="AB93" s="403" t="str">
        <f>AB92&amp;".1"</f>
        <v>2.0.1</v>
      </c>
      <c r="AC93" s="291" t="s">
        <v>1210</v>
      </c>
      <c r="AD93" s="154" t="s">
        <v>1211</v>
      </c>
      <c r="AE93" s="166"/>
      <c r="AF93" s="166"/>
      <c r="AG93" s="166"/>
      <c r="AH93" s="166"/>
      <c r="AI93" s="297"/>
      <c r="AJ93" s="297"/>
      <c r="AK93" s="79"/>
      <c r="AL93" s="1459"/>
      <c r="AM93" s="1459"/>
      <c r="AN93" s="1181" t="s">
        <v>1222</v>
      </c>
      <c r="AO93" s="1187" t="s">
        <v>1220</v>
      </c>
      <c r="AP93" s="1187" cm="1" t="str">
        <f t="array" ref="AP93:AP93">AP92</f>
        <v>0</v>
      </c>
      <c r="AQ93" s="1188"/>
      <c r="AR93" s="1188"/>
    </row>
    <row s="789" customFormat="1" customHeight="1" ht="16.5" hidden="1">
      <c r="A94" s="1459"/>
      <c r="B94" s="1459"/>
      <c r="C94" s="1459"/>
      <c r="D94" s="1459"/>
      <c r="E94" s="800">
        <v>17</v>
      </c>
      <c r="F94" s="919" cm="1" t="str">
        <f t="array" ref="F94:F94">OFFSET(G94,-1,-1)</f>
        <v>2</v>
      </c>
      <c r="G94" s="1459"/>
      <c r="H94" s="210" t="str">
        <f>H92&amp;"_2"</f>
        <v>L5_2</v>
      </c>
      <c r="I94" s="210" cm="1" t="str">
        <f t="array" ref="I94:I94">I93</f>
        <v>0</v>
      </c>
      <c r="J94" s="1459"/>
      <c r="K94" s="1459"/>
      <c r="L94" s="1459"/>
      <c r="M94" s="1459"/>
      <c r="N94" s="1459"/>
      <c r="O94" s="1459"/>
      <c r="P94" s="1459"/>
      <c r="Q94" s="1459"/>
      <c r="R94" s="1459"/>
      <c r="S94" s="1459"/>
      <c r="T94" s="816" cm="1" t="str">
        <f t="array" ref="T94:T94">T93</f>
        <v>false</v>
      </c>
      <c r="U94" s="1459"/>
      <c r="V94" s="1459"/>
      <c r="W94" s="1459"/>
      <c r="X94" s="1459"/>
      <c r="Y94" s="1459"/>
      <c r="Z94" s="1459"/>
      <c r="AA94" s="1533"/>
      <c r="AB94" s="403" t="str">
        <f>AB92&amp;".2"</f>
        <v>2.0.2</v>
      </c>
      <c r="AC94" s="291" t="s">
        <v>1213</v>
      </c>
      <c r="AD94" s="154" t="s">
        <v>1214</v>
      </c>
      <c r="AE94" s="166"/>
      <c r="AF94" s="166"/>
      <c r="AG94" s="166"/>
      <c r="AH94" s="166"/>
      <c r="AI94" s="297"/>
      <c r="AJ94" s="297"/>
      <c r="AK94" s="79"/>
      <c r="AL94" s="1459"/>
      <c r="AM94" s="1459"/>
      <c r="AN94" s="1181" t="s">
        <v>1223</v>
      </c>
      <c r="AO94" s="1187" t="s">
        <v>1220</v>
      </c>
      <c r="AP94" s="1187" cm="1" t="str">
        <f t="array" ref="AP94:AP94">AP93</f>
        <v>0</v>
      </c>
      <c r="AQ94" s="1188"/>
      <c r="AR94" s="1188"/>
    </row>
    <row s="789" customFormat="1" customHeight="1" ht="16.5">
      <c r="A95" s="1459"/>
      <c r="B95" s="1459"/>
      <c r="C95" s="1459"/>
      <c r="D95" s="1459"/>
      <c r="E95" s="800">
        <v>17</v>
      </c>
      <c r="F95" s="919" cm="1" t="str">
        <f t="array" ref="F95:F95">OFFSET(G95,-1,-1)</f>
        <v>2</v>
      </c>
      <c r="G95" s="1459"/>
      <c r="H95" s="210" t="str">
        <f>F95&amp;"pIns3"</f>
        <v>2pIns3</v>
      </c>
      <c r="I95" s="1459"/>
      <c r="J95" s="1459"/>
      <c r="K95" s="1459"/>
      <c r="L95" s="1459"/>
      <c r="M95" s="1459"/>
      <c r="N95" s="1459"/>
      <c r="O95" s="1459"/>
      <c r="P95" s="1459"/>
      <c r="Q95" s="1459"/>
      <c r="R95" s="1459"/>
      <c r="S95" s="1459"/>
      <c r="T95" s="816">
        <f>F95&gt;0</f>
        <v>1</v>
      </c>
      <c r="U95" s="1459"/>
      <c r="V95" s="1459"/>
      <c r="W95" s="371" t="s">
        <v>958</v>
      </c>
      <c r="X95" s="1459"/>
      <c r="Y95" s="1459"/>
      <c r="Z95" s="1459"/>
      <c r="AA95" s="1459"/>
      <c r="AB95" s="299"/>
      <c r="AC95" s="300" t="s">
        <v>235</v>
      </c>
      <c r="AD95" s="300"/>
      <c r="AE95" s="300"/>
      <c r="AF95" s="300"/>
      <c r="AG95" s="300"/>
      <c r="AH95" s="300"/>
      <c r="AI95" s="300"/>
      <c r="AJ95" s="300"/>
      <c r="AK95" s="1098"/>
      <c r="AL95" s="1459"/>
      <c r="AM95" s="1459"/>
      <c r="AN95" s="1181" t="s">
        <v>152</v>
      </c>
      <c r="AO95" s="1187"/>
      <c r="AP95" s="1187"/>
      <c r="AQ95" s="1188" t="s">
        <v>1220</v>
      </c>
      <c r="AR95" s="1188"/>
    </row>
    <row s="789" customFormat="1" customHeight="1" ht="24">
      <c r="A96" s="1459"/>
      <c r="B96" s="1459"/>
      <c r="C96" s="1459"/>
      <c r="D96" s="1459"/>
      <c r="E96" s="800">
        <v>24.8</v>
      </c>
      <c r="F96" s="919" cm="1" t="str">
        <f t="array" ref="F96:F96">OFFSET(G96,-1,-1)</f>
        <v>2</v>
      </c>
      <c r="G96" s="736" t="s">
        <v>1224</v>
      </c>
      <c r="H96" s="210" t="s">
        <v>1192</v>
      </c>
      <c r="I96" s="1459"/>
      <c r="J96" s="1459"/>
      <c r="K96" s="1459"/>
      <c r="L96" s="1459"/>
      <c r="M96" s="1459"/>
      <c r="N96" s="1459"/>
      <c r="O96" s="1459"/>
      <c r="P96" s="1459"/>
      <c r="Q96" s="1459"/>
      <c r="R96" s="1459"/>
      <c r="S96" s="1459"/>
      <c r="T96" s="816">
        <f>F96&gt;0</f>
        <v>1</v>
      </c>
      <c r="U96" s="1459"/>
      <c r="V96" s="1459"/>
      <c r="W96" s="1459"/>
      <c r="X96" s="1459"/>
      <c r="Y96" s="1459"/>
      <c r="Z96" s="1459"/>
      <c r="AA96" s="1459"/>
      <c r="AB96" s="403" t="s">
        <v>614</v>
      </c>
      <c r="AC96" s="404" t="s">
        <v>1225</v>
      </c>
      <c r="AD96" s="154" t="s">
        <v>805</v>
      </c>
      <c r="AE96" s="1823"/>
      <c r="AF96" s="1823"/>
      <c r="AG96" s="1823"/>
      <c r="AH96" s="1823"/>
      <c r="AI96" s="279">
        <f>_xlfn.SUMIFS(AI97:AI101,$AD97:$AD101,$AD96)</f>
        <v>0</v>
      </c>
      <c r="AJ96" s="279">
        <f>_xlfn.SUMIFS(AJ97:AJ101,$AD97:$AD101,$AD96)</f>
        <v>0</v>
      </c>
      <c r="AK96" s="1742"/>
      <c r="AL96" s="1459"/>
      <c r="AM96" s="1459"/>
      <c r="AN96" s="1181" t="s">
        <v>1226</v>
      </c>
      <c r="AO96" s="1187"/>
      <c r="AP96" s="1187"/>
      <c r="AQ96" s="1188"/>
      <c r="AR96" s="1188"/>
    </row>
    <row s="789" customFormat="1" customHeight="1" ht="9" hidden="1">
      <c r="A97" s="1459"/>
      <c r="B97" s="1459"/>
      <c r="C97" s="1459"/>
      <c r="D97" s="1459"/>
      <c r="E97" s="800">
        <v>0</v>
      </c>
      <c r="F97" s="919" cm="1" t="str">
        <f t="array" ref="F97:F97">OFFSET(G97,-1,-1)</f>
        <v>2</v>
      </c>
      <c r="G97" s="1459"/>
      <c r="H97" s="1459"/>
      <c r="I97" s="1459"/>
      <c r="J97" s="1459"/>
      <c r="K97" s="1459"/>
      <c r="L97" s="1459"/>
      <c r="M97" s="1459"/>
      <c r="N97" s="1459"/>
      <c r="O97" s="1459"/>
      <c r="P97" s="1459"/>
      <c r="Q97" s="1459"/>
      <c r="R97" s="1459"/>
      <c r="S97" s="1459"/>
      <c r="T97" s="816">
        <f>F97&gt;0</f>
        <v>1</v>
      </c>
      <c r="U97" s="1459"/>
      <c r="V97" s="1459"/>
      <c r="W97" s="1459"/>
      <c r="X97" s="1459"/>
      <c r="Y97" s="1459"/>
      <c r="Z97" s="1459"/>
      <c r="AA97" s="1459"/>
      <c r="AB97" s="403"/>
      <c r="AC97" s="404"/>
      <c r="AD97" s="154"/>
      <c r="AE97" s="166"/>
      <c r="AF97" s="166"/>
      <c r="AG97" s="166"/>
      <c r="AH97" s="166"/>
      <c r="AI97" s="281"/>
      <c r="AJ97" s="281"/>
      <c r="AK97" s="839"/>
      <c r="AL97" s="1459"/>
      <c r="AM97" s="1459"/>
      <c r="AN97" s="1181"/>
      <c r="AO97" s="1187"/>
      <c r="AP97" s="1187"/>
      <c r="AQ97" s="1188"/>
      <c r="AR97" s="1188"/>
    </row>
    <row s="789" customFormat="1" customHeight="1" ht="16.5" hidden="1">
      <c r="A98" s="1459"/>
      <c r="B98" s="1459"/>
      <c r="C98" s="1459"/>
      <c r="D98" s="1459"/>
      <c r="E98" s="800">
        <v>17</v>
      </c>
      <c r="F98" s="919" cm="1" t="str">
        <f t="array" ref="F98:F98">OFFSET(G98,-1,-1)</f>
        <v>2</v>
      </c>
      <c r="G98" s="1459"/>
      <c r="H98" s="210" t="s">
        <v>1192</v>
      </c>
      <c r="I98" s="210" cm="1" t="str">
        <f t="array" ref="I98:I98">AC98</f>
        <v>0</v>
      </c>
      <c r="J98" s="1459"/>
      <c r="K98" s="1459"/>
      <c r="L98" s="1459"/>
      <c r="M98" s="1459"/>
      <c r="N98" s="1459"/>
      <c r="O98" s="1459"/>
      <c r="P98" s="1459"/>
      <c r="Q98" s="1459"/>
      <c r="R98" s="1459"/>
      <c r="S98" s="1459"/>
      <c r="T98" s="816">
        <f>AND(F98&gt;0,Y98&gt;0)</f>
        <v>0</v>
      </c>
      <c r="U98" s="1459"/>
      <c r="V98" s="1459"/>
      <c r="W98" s="156" t="s">
        <v>233</v>
      </c>
      <c r="X98" s="1459"/>
      <c r="Y98" s="168">
        <v>0</v>
      </c>
      <c r="Z98" s="1459"/>
      <c r="AA98" s="1533" t="s">
        <v>217</v>
      </c>
      <c r="AB98" s="403" t="str">
        <f>"3."&amp;Y98</f>
        <v>3.0</v>
      </c>
      <c r="AC98" s="54"/>
      <c r="AD98" s="154" t="s">
        <v>805</v>
      </c>
      <c r="AE98" s="166"/>
      <c r="AF98" s="166"/>
      <c r="AG98" s="166"/>
      <c r="AH98" s="166"/>
      <c r="AI98" s="280">
        <f>AI99*AI100*12/1000</f>
        <v>0</v>
      </c>
      <c r="AJ98" s="280">
        <f>AJ99*AJ100*12/1000</f>
        <v>0</v>
      </c>
      <c r="AK98" s="79"/>
      <c r="AL98" s="1459"/>
      <c r="AM98" s="1459"/>
      <c r="AN98" s="1181" t="s">
        <v>1227</v>
      </c>
      <c r="AO98" s="1187" t="s">
        <v>1228</v>
      </c>
      <c r="AP98" s="1187" cm="1" t="str">
        <f t="array" ref="AP98:AP98">AC98</f>
        <v>0</v>
      </c>
      <c r="AQ98" s="1188"/>
      <c r="AR98" s="1188" t="b">
        <v>1</v>
      </c>
    </row>
    <row s="789" customFormat="1" customHeight="1" ht="16.5" hidden="1">
      <c r="A99" s="1459"/>
      <c r="B99" s="1459"/>
      <c r="C99" s="1459"/>
      <c r="D99" s="1459"/>
      <c r="E99" s="800">
        <v>17</v>
      </c>
      <c r="F99" s="919" cm="1" t="str">
        <f t="array" ref="F99:F99">OFFSET(G99,-1,-1)</f>
        <v>2</v>
      </c>
      <c r="G99" s="736" t="s">
        <v>1229</v>
      </c>
      <c r="H99" s="210" t="str">
        <f>H98&amp;"_1"</f>
        <v>L5_1</v>
      </c>
      <c r="I99" s="210" cm="1" t="str">
        <f t="array" ref="I99:I99">I98</f>
        <v>0</v>
      </c>
      <c r="J99" s="1459"/>
      <c r="K99" s="1459"/>
      <c r="L99" s="1459"/>
      <c r="M99" s="1459"/>
      <c r="N99" s="1459"/>
      <c r="O99" s="1459"/>
      <c r="P99" s="1459"/>
      <c r="Q99" s="1459"/>
      <c r="R99" s="1459"/>
      <c r="S99" s="1459"/>
      <c r="T99" s="816" cm="1" t="str">
        <f t="array" ref="T99:T99">T98</f>
        <v>false</v>
      </c>
      <c r="U99" s="1459"/>
      <c r="V99" s="1459"/>
      <c r="W99" s="1459"/>
      <c r="X99" s="1459"/>
      <c r="Y99" s="1459"/>
      <c r="Z99" s="1459"/>
      <c r="AA99" s="1533"/>
      <c r="AB99" s="403" t="str">
        <f>AB98&amp;".1"</f>
        <v>3.0.1</v>
      </c>
      <c r="AC99" s="291" t="s">
        <v>1210</v>
      </c>
      <c r="AD99" s="154" t="s">
        <v>1211</v>
      </c>
      <c r="AE99" s="166"/>
      <c r="AF99" s="166"/>
      <c r="AG99" s="166"/>
      <c r="AH99" s="166"/>
      <c r="AI99" s="297"/>
      <c r="AJ99" s="297"/>
      <c r="AK99" s="79"/>
      <c r="AL99" s="1459"/>
      <c r="AM99" s="1459"/>
      <c r="AN99" s="1181" t="s">
        <v>1230</v>
      </c>
      <c r="AO99" s="1187" t="s">
        <v>1228</v>
      </c>
      <c r="AP99" s="1187" cm="1" t="str">
        <f t="array" ref="AP99:AP99">AP98</f>
        <v>0</v>
      </c>
      <c r="AQ99" s="1188"/>
      <c r="AR99" s="1188"/>
    </row>
    <row s="789" customFormat="1" customHeight="1" ht="16.5" hidden="1">
      <c r="A100" s="1459"/>
      <c r="B100" s="1459"/>
      <c r="C100" s="1459"/>
      <c r="D100" s="1459"/>
      <c r="E100" s="800">
        <v>17</v>
      </c>
      <c r="F100" s="919" cm="1" t="str">
        <f t="array" ref="F100:F100">OFFSET(G100,-1,-1)</f>
        <v>2</v>
      </c>
      <c r="G100" s="1459"/>
      <c r="H100" s="210" t="str">
        <f>H98&amp;"_2"</f>
        <v>L5_2</v>
      </c>
      <c r="I100" s="210" cm="1" t="str">
        <f t="array" ref="I100:I100">I99</f>
        <v>0</v>
      </c>
      <c r="J100" s="1459"/>
      <c r="K100" s="1459"/>
      <c r="L100" s="1459"/>
      <c r="M100" s="1459"/>
      <c r="N100" s="1459"/>
      <c r="O100" s="1459"/>
      <c r="P100" s="1459"/>
      <c r="Q100" s="1459"/>
      <c r="R100" s="1459"/>
      <c r="S100" s="1459"/>
      <c r="T100" s="816" cm="1" t="str">
        <f t="array" ref="T100:T100">T99</f>
        <v>false</v>
      </c>
      <c r="U100" s="1459"/>
      <c r="V100" s="1459"/>
      <c r="W100" s="1459"/>
      <c r="X100" s="1459"/>
      <c r="Y100" s="1459"/>
      <c r="Z100" s="1459"/>
      <c r="AA100" s="1533"/>
      <c r="AB100" s="403" t="str">
        <f>AB98&amp;".2"</f>
        <v>3.0.2</v>
      </c>
      <c r="AC100" s="291" t="s">
        <v>1213</v>
      </c>
      <c r="AD100" s="154" t="s">
        <v>1214</v>
      </c>
      <c r="AE100" s="166"/>
      <c r="AF100" s="166"/>
      <c r="AG100" s="166"/>
      <c r="AH100" s="166"/>
      <c r="AI100" s="297"/>
      <c r="AJ100" s="297"/>
      <c r="AK100" s="79"/>
      <c r="AL100" s="1459"/>
      <c r="AM100" s="1459"/>
      <c r="AN100" s="1181" t="s">
        <v>1231</v>
      </c>
      <c r="AO100" s="1187" t="s">
        <v>1228</v>
      </c>
      <c r="AP100" s="1187" cm="1" t="str">
        <f t="array" ref="AP100:AP100">AP99</f>
        <v>0</v>
      </c>
      <c r="AQ100" s="1188"/>
      <c r="AR100" s="1188"/>
    </row>
    <row s="789" customFormat="1" customHeight="1" ht="16.5">
      <c r="A101" s="1459"/>
      <c r="B101" s="1459"/>
      <c r="C101" s="1459"/>
      <c r="D101" s="1459"/>
      <c r="E101" s="800">
        <v>17</v>
      </c>
      <c r="F101" s="919" cm="1" t="str">
        <f t="array" ref="F101:F101">OFFSET(G101,-1,-1)</f>
        <v>2</v>
      </c>
      <c r="G101" s="1459"/>
      <c r="H101" s="210" t="str">
        <f>F101&amp;"pIns3"</f>
        <v>2pIns3</v>
      </c>
      <c r="I101" s="1459"/>
      <c r="J101" s="1459"/>
      <c r="K101" s="1459"/>
      <c r="L101" s="1459"/>
      <c r="M101" s="1459"/>
      <c r="N101" s="1459"/>
      <c r="O101" s="1459"/>
      <c r="P101" s="1459"/>
      <c r="Q101" s="1459"/>
      <c r="R101" s="1459"/>
      <c r="S101" s="1459"/>
      <c r="T101" s="816">
        <f>F101&gt;0</f>
        <v>1</v>
      </c>
      <c r="U101" s="1459"/>
      <c r="V101" s="1459"/>
      <c r="W101" s="371" t="s">
        <v>1199</v>
      </c>
      <c r="X101" s="1459"/>
      <c r="Y101" s="1459"/>
      <c r="Z101" s="1459"/>
      <c r="AA101" s="1459"/>
      <c r="AB101" s="299"/>
      <c r="AC101" s="300" t="s">
        <v>235</v>
      </c>
      <c r="AD101" s="300"/>
      <c r="AE101" s="300"/>
      <c r="AF101" s="300"/>
      <c r="AG101" s="300"/>
      <c r="AH101" s="300"/>
      <c r="AI101" s="300"/>
      <c r="AJ101" s="300"/>
      <c r="AK101" s="1098"/>
      <c r="AL101" s="1459"/>
      <c r="AM101" s="1459"/>
      <c r="AN101" s="1181" t="s">
        <v>152</v>
      </c>
      <c r="AO101" s="1187"/>
      <c r="AP101" s="1187"/>
      <c r="AQ101" s="1188" t="s">
        <v>1228</v>
      </c>
      <c r="AR101" s="1188"/>
    </row>
    <row s="789" customFormat="1" customHeight="1" ht="24">
      <c r="A102" s="1459"/>
      <c r="B102" s="1459"/>
      <c r="C102" s="1459"/>
      <c r="D102" s="1459"/>
      <c r="E102" s="800">
        <v>24.8</v>
      </c>
      <c r="F102" s="919" cm="1" t="str">
        <f t="array" ref="F102:F102">OFFSET(G102,-1,-1)</f>
        <v>2</v>
      </c>
      <c r="G102" s="736" t="s">
        <v>1232</v>
      </c>
      <c r="H102" s="210" t="s">
        <v>1192</v>
      </c>
      <c r="I102" s="1459"/>
      <c r="J102" s="1459"/>
      <c r="K102" s="1459"/>
      <c r="L102" s="1459"/>
      <c r="M102" s="1459"/>
      <c r="N102" s="1459"/>
      <c r="O102" s="1459"/>
      <c r="P102" s="1459"/>
      <c r="Q102" s="1459"/>
      <c r="R102" s="1459"/>
      <c r="S102" s="1459"/>
      <c r="T102" s="816">
        <f>F102&gt;0</f>
        <v>1</v>
      </c>
      <c r="U102" s="1459"/>
      <c r="V102" s="1459"/>
      <c r="W102" s="1459"/>
      <c r="X102" s="1459"/>
      <c r="Y102" s="1459"/>
      <c r="Z102" s="1459"/>
      <c r="AA102" s="1459"/>
      <c r="AB102" s="403" t="s">
        <v>624</v>
      </c>
      <c r="AC102" s="404" t="s">
        <v>1233</v>
      </c>
      <c r="AD102" s="154" t="s">
        <v>805</v>
      </c>
      <c r="AE102" s="1823"/>
      <c r="AF102" s="1823"/>
      <c r="AG102" s="1823"/>
      <c r="AH102" s="1823"/>
      <c r="AI102" s="279">
        <f>_xlfn.SUMIFS(AI103:AI107,$AD103:$AD107,$AD102)</f>
        <v>0</v>
      </c>
      <c r="AJ102" s="279">
        <f>_xlfn.SUMIFS(AJ103:AJ107,$AD103:$AD107,$AD102)</f>
        <v>0</v>
      </c>
      <c r="AK102" s="1742"/>
      <c r="AL102" s="1459"/>
      <c r="AM102" s="1459"/>
      <c r="AN102" s="1181" t="s">
        <v>1234</v>
      </c>
      <c r="AO102" s="1187"/>
      <c r="AP102" s="1187"/>
      <c r="AQ102" s="1188"/>
      <c r="AR102" s="1188"/>
    </row>
    <row s="789" customFormat="1" customHeight="1" ht="9" hidden="1">
      <c r="A103" s="1459"/>
      <c r="B103" s="1459"/>
      <c r="C103" s="1459"/>
      <c r="D103" s="1459"/>
      <c r="E103" s="800">
        <v>0</v>
      </c>
      <c r="F103" s="919" cm="1" t="str">
        <f t="array" ref="F103:F103">OFFSET(G103,-1,-1)</f>
        <v>2</v>
      </c>
      <c r="G103" s="1459"/>
      <c r="H103" s="1459"/>
      <c r="I103" s="1459"/>
      <c r="J103" s="1459"/>
      <c r="K103" s="1459"/>
      <c r="L103" s="1459"/>
      <c r="M103" s="1459"/>
      <c r="N103" s="1459"/>
      <c r="O103" s="1459"/>
      <c r="P103" s="1459"/>
      <c r="Q103" s="1459"/>
      <c r="R103" s="1459"/>
      <c r="S103" s="1459"/>
      <c r="T103" s="816">
        <f>F103&gt;0</f>
        <v>1</v>
      </c>
      <c r="U103" s="1459"/>
      <c r="V103" s="1459"/>
      <c r="W103" s="1459"/>
      <c r="X103" s="1459"/>
      <c r="Y103" s="1459"/>
      <c r="Z103" s="1459"/>
      <c r="AA103" s="1459"/>
      <c r="AB103" s="403"/>
      <c r="AC103" s="404"/>
      <c r="AD103" s="154"/>
      <c r="AE103" s="166"/>
      <c r="AF103" s="166"/>
      <c r="AG103" s="166"/>
      <c r="AH103" s="166"/>
      <c r="AI103" s="281"/>
      <c r="AJ103" s="281"/>
      <c r="AK103" s="839"/>
      <c r="AL103" s="1459"/>
      <c r="AM103" s="1459"/>
      <c r="AN103" s="1181"/>
      <c r="AO103" s="1187"/>
      <c r="AP103" s="1187"/>
      <c r="AQ103" s="1188"/>
      <c r="AR103" s="1188"/>
    </row>
    <row s="789" customFormat="1" customHeight="1" ht="16.5" hidden="1">
      <c r="A104" s="1459"/>
      <c r="B104" s="1459"/>
      <c r="C104" s="1459"/>
      <c r="D104" s="1459"/>
      <c r="E104" s="800">
        <v>17</v>
      </c>
      <c r="F104" s="919" cm="1" t="str">
        <f t="array" ref="F104:F104">OFFSET(G104,-1,-1)</f>
        <v>2</v>
      </c>
      <c r="G104" s="1459"/>
      <c r="H104" s="210" t="s">
        <v>1192</v>
      </c>
      <c r="I104" s="210" cm="1" t="str">
        <f t="array" ref="I104:I104">AC104</f>
        <v>0</v>
      </c>
      <c r="J104" s="1459"/>
      <c r="K104" s="1459"/>
      <c r="L104" s="1459"/>
      <c r="M104" s="1459"/>
      <c r="N104" s="1459"/>
      <c r="O104" s="1459"/>
      <c r="P104" s="1459"/>
      <c r="Q104" s="1459"/>
      <c r="R104" s="1459"/>
      <c r="S104" s="1459"/>
      <c r="T104" s="816">
        <f>AND(F104&gt;0,Y104&gt;0)</f>
        <v>0</v>
      </c>
      <c r="U104" s="1459"/>
      <c r="V104" s="1459"/>
      <c r="W104" s="156" t="s">
        <v>233</v>
      </c>
      <c r="X104" s="1459"/>
      <c r="Y104" s="168">
        <v>0</v>
      </c>
      <c r="Z104" s="1459"/>
      <c r="AA104" s="1533" t="s">
        <v>217</v>
      </c>
      <c r="AB104" s="403" t="str">
        <f>"4."&amp;Y104</f>
        <v>4.0</v>
      </c>
      <c r="AC104" s="54"/>
      <c r="AD104" s="154" t="s">
        <v>805</v>
      </c>
      <c r="AE104" s="166"/>
      <c r="AF104" s="166"/>
      <c r="AG104" s="166"/>
      <c r="AH104" s="166"/>
      <c r="AI104" s="280">
        <f>AI105*AI106*12/1000</f>
        <v>0</v>
      </c>
      <c r="AJ104" s="280">
        <f>AJ105*AJ106*12/1000</f>
        <v>0</v>
      </c>
      <c r="AK104" s="79"/>
      <c r="AL104" s="1459"/>
      <c r="AM104" s="1459"/>
      <c r="AN104" s="1181" t="s">
        <v>1235</v>
      </c>
      <c r="AO104" s="1187" t="s">
        <v>1236</v>
      </c>
      <c r="AP104" s="1187" cm="1" t="str">
        <f t="array" ref="AP104:AP104">AC104</f>
        <v>0</v>
      </c>
      <c r="AQ104" s="1188"/>
      <c r="AR104" s="1188" t="b">
        <v>1</v>
      </c>
    </row>
    <row s="789" customFormat="1" customHeight="1" ht="16.5" hidden="1">
      <c r="A105" s="1459"/>
      <c r="B105" s="1459"/>
      <c r="C105" s="1459"/>
      <c r="D105" s="1459"/>
      <c r="E105" s="800">
        <v>17</v>
      </c>
      <c r="F105" s="919" cm="1" t="str">
        <f t="array" ref="F105:F105">OFFSET(G105,-1,-1)</f>
        <v>2</v>
      </c>
      <c r="G105" s="736" t="s">
        <v>1237</v>
      </c>
      <c r="H105" s="210" t="str">
        <f>H104&amp;"_1"</f>
        <v>L5_1</v>
      </c>
      <c r="I105" s="210" cm="1" t="str">
        <f t="array" ref="I105:I105">I104</f>
        <v>0</v>
      </c>
      <c r="J105" s="1459"/>
      <c r="K105" s="1459"/>
      <c r="L105" s="1459"/>
      <c r="M105" s="1459"/>
      <c r="N105" s="1459"/>
      <c r="O105" s="1459"/>
      <c r="P105" s="1459"/>
      <c r="Q105" s="1459"/>
      <c r="R105" s="1459"/>
      <c r="S105" s="1459"/>
      <c r="T105" s="816" cm="1" t="str">
        <f t="array" ref="T105:T105">T104</f>
        <v>false</v>
      </c>
      <c r="U105" s="1459"/>
      <c r="V105" s="1459"/>
      <c r="W105" s="1459"/>
      <c r="X105" s="1459"/>
      <c r="Y105" s="1459"/>
      <c r="Z105" s="1459"/>
      <c r="AA105" s="1533"/>
      <c r="AB105" s="403" t="str">
        <f>AB104&amp;".1"</f>
        <v>4.0.1</v>
      </c>
      <c r="AC105" s="291" t="s">
        <v>1210</v>
      </c>
      <c r="AD105" s="154" t="s">
        <v>1211</v>
      </c>
      <c r="AE105" s="166"/>
      <c r="AF105" s="166"/>
      <c r="AG105" s="166"/>
      <c r="AH105" s="166"/>
      <c r="AI105" s="297"/>
      <c r="AJ105" s="297"/>
      <c r="AK105" s="79"/>
      <c r="AL105" s="1459"/>
      <c r="AM105" s="1459"/>
      <c r="AN105" s="1181" t="s">
        <v>1238</v>
      </c>
      <c r="AO105" s="1187" t="s">
        <v>1236</v>
      </c>
      <c r="AP105" s="1187" cm="1" t="str">
        <f t="array" ref="AP105:AP105">AP104</f>
        <v>0</v>
      </c>
      <c r="AQ105" s="1188"/>
      <c r="AR105" s="1188"/>
    </row>
    <row s="789" customFormat="1" customHeight="1" ht="16.5" hidden="1">
      <c r="A106" s="1459"/>
      <c r="B106" s="1459"/>
      <c r="C106" s="1459"/>
      <c r="D106" s="1459"/>
      <c r="E106" s="800">
        <v>17</v>
      </c>
      <c r="F106" s="919" cm="1" t="str">
        <f t="array" ref="F106:F106">OFFSET(G106,-1,-1)</f>
        <v>2</v>
      </c>
      <c r="G106" s="1459"/>
      <c r="H106" s="210" t="str">
        <f>H104&amp;"_2"</f>
        <v>L5_2</v>
      </c>
      <c r="I106" s="210" cm="1" t="str">
        <f t="array" ref="I106:I106">I105</f>
        <v>0</v>
      </c>
      <c r="J106" s="1459"/>
      <c r="K106" s="1459"/>
      <c r="L106" s="1459"/>
      <c r="M106" s="1459"/>
      <c r="N106" s="1459"/>
      <c r="O106" s="1459"/>
      <c r="P106" s="1459"/>
      <c r="Q106" s="1459"/>
      <c r="R106" s="1459"/>
      <c r="S106" s="1459"/>
      <c r="T106" s="816" cm="1" t="str">
        <f t="array" ref="T106:T106">T105</f>
        <v>false</v>
      </c>
      <c r="U106" s="1459"/>
      <c r="V106" s="1459"/>
      <c r="W106" s="1459"/>
      <c r="X106" s="1459"/>
      <c r="Y106" s="1459"/>
      <c r="Z106" s="1459"/>
      <c r="AA106" s="1533"/>
      <c r="AB106" s="403" t="str">
        <f>AB104&amp;".2"</f>
        <v>4.0.2</v>
      </c>
      <c r="AC106" s="291" t="s">
        <v>1213</v>
      </c>
      <c r="AD106" s="154" t="s">
        <v>1214</v>
      </c>
      <c r="AE106" s="166"/>
      <c r="AF106" s="166"/>
      <c r="AG106" s="166"/>
      <c r="AH106" s="166"/>
      <c r="AI106" s="297"/>
      <c r="AJ106" s="297"/>
      <c r="AK106" s="79"/>
      <c r="AL106" s="1459"/>
      <c r="AM106" s="1459"/>
      <c r="AN106" s="1181" t="s">
        <v>1239</v>
      </c>
      <c r="AO106" s="1187" t="s">
        <v>1236</v>
      </c>
      <c r="AP106" s="1187" cm="1" t="str">
        <f t="array" ref="AP106:AP106">AP105</f>
        <v>0</v>
      </c>
      <c r="AQ106" s="1188"/>
      <c r="AR106" s="1188"/>
    </row>
    <row s="789" customFormat="1" customHeight="1" ht="16.5">
      <c r="A107" s="1459"/>
      <c r="B107" s="1459"/>
      <c r="C107" s="1459"/>
      <c r="D107" s="1459"/>
      <c r="E107" s="800">
        <v>17</v>
      </c>
      <c r="F107" s="919" cm="1" t="str">
        <f t="array" ref="F107:F107">OFFSET(G107,-1,-1)</f>
        <v>2</v>
      </c>
      <c r="G107" s="1459"/>
      <c r="H107" s="210" t="str">
        <f>F107&amp;"pIns3"</f>
        <v>2pIns3</v>
      </c>
      <c r="I107" s="1459"/>
      <c r="J107" s="1459"/>
      <c r="K107" s="1459"/>
      <c r="L107" s="1459"/>
      <c r="M107" s="1459"/>
      <c r="N107" s="1459"/>
      <c r="O107" s="1459"/>
      <c r="P107" s="1459"/>
      <c r="Q107" s="1459"/>
      <c r="R107" s="1459"/>
      <c r="S107" s="1459"/>
      <c r="T107" s="816">
        <f>F107&gt;0</f>
        <v>1</v>
      </c>
      <c r="U107" s="1459"/>
      <c r="V107" s="1459"/>
      <c r="W107" s="371" t="s">
        <v>1240</v>
      </c>
      <c r="X107" s="1459"/>
      <c r="Y107" s="1459"/>
      <c r="Z107" s="1459"/>
      <c r="AA107" s="1459"/>
      <c r="AB107" s="299"/>
      <c r="AC107" s="300" t="s">
        <v>235</v>
      </c>
      <c r="AD107" s="300"/>
      <c r="AE107" s="300"/>
      <c r="AF107" s="300"/>
      <c r="AG107" s="300"/>
      <c r="AH107" s="300"/>
      <c r="AI107" s="300"/>
      <c r="AJ107" s="300"/>
      <c r="AK107" s="301"/>
      <c r="AL107" s="1459"/>
      <c r="AM107" s="1459"/>
      <c r="AN107" s="1181"/>
      <c r="AO107" s="1187"/>
      <c r="AP107" s="1187"/>
      <c r="AQ107" s="1188" t="s">
        <v>1236</v>
      </c>
      <c r="AR107" s="1188"/>
    </row>
    <row customHeight="1" ht="11.115">
      <c r="E108" s="794">
        <v>11.4</v>
      </c>
      <c r="U108" s="176" t="s">
        <v>235</v>
      </c>
      <c r="V108" s="168" t="s">
        <v>1242</v>
      </c>
      <c r="AI108" s="497"/>
      <c r="AJ108" s="497"/>
    </row>
    <row customHeight="1" ht="11.25" hidden="1">
      <c r="E109" s="794">
        <v>0</v>
      </c>
      <c r="AI109" s="497"/>
      <c r="AJ109" s="497"/>
    </row>
    <row customHeight="1" ht="14.625">
      <c r="E110" s="794">
        <v>15</v>
      </c>
      <c r="AB110" s="1527" t="s">
        <v>700</v>
      </c>
      <c r="AC110" s="1527"/>
      <c r="AD110" s="1527"/>
      <c r="AE110" s="1527"/>
      <c r="AF110" s="1527"/>
      <c r="AG110" s="1527"/>
      <c r="AH110" s="1527"/>
      <c r="AI110" s="1528"/>
      <c r="AJ110" s="1528"/>
      <c r="AK110" s="1528"/>
    </row>
    <row customHeight="1" ht="14.625">
      <c r="E111" s="794">
        <v>15</v>
      </c>
      <c r="AA111" s="918"/>
      <c r="AB111" s="1529"/>
      <c r="AC111" s="1529"/>
      <c r="AD111" s="1529"/>
      <c r="AE111" s="1529"/>
      <c r="AF111" s="1529"/>
      <c r="AG111" s="1529"/>
      <c r="AH111" s="1529"/>
      <c r="AI111" s="1530"/>
      <c r="AJ111" s="1530"/>
      <c r="AK111" s="1530"/>
    </row>
    <row customHeight="1" ht="14.625" hidden="1">
      <c r="A112" s="1461"/>
      <c r="B112" s="924"/>
      <c r="C112" s="1461"/>
      <c r="D112" s="1461"/>
      <c r="E112" s="794">
        <v>15</v>
      </c>
      <c r="F112" s="1461"/>
      <c r="G112" s="497"/>
      <c r="H112" s="497"/>
      <c r="I112" s="497"/>
      <c r="J112" s="497"/>
      <c r="K112" s="497"/>
      <c r="L112" s="497"/>
      <c r="M112" s="497"/>
      <c r="N112" s="497"/>
      <c r="O112" s="497"/>
      <c r="P112" s="497"/>
      <c r="Q112" s="925"/>
      <c r="R112" s="925"/>
      <c r="S112" s="497"/>
      <c r="T112" s="805">
        <f>ROW(W112)&gt;ROW(W$112)</f>
        <v>0</v>
      </c>
      <c r="U112" s="1461"/>
      <c r="V112" s="176"/>
      <c r="W112" s="172" t="s">
        <v>233</v>
      </c>
      <c r="X112" s="1461"/>
      <c r="Y112" s="1461"/>
      <c r="Z112" s="1461"/>
      <c r="AA112" s="914" t="s">
        <v>217</v>
      </c>
      <c r="AB112" s="1797"/>
      <c r="AC112" s="1797"/>
      <c r="AD112" s="1797"/>
      <c r="AE112" s="1797"/>
      <c r="AF112" s="1797"/>
      <c r="AG112" s="1797"/>
      <c r="AH112" s="1797"/>
      <c r="AI112" s="1530"/>
      <c r="AJ112" s="1530"/>
      <c r="AK112" s="1796"/>
      <c r="AL112" s="497"/>
      <c r="AM112" s="497"/>
      <c r="AN112" s="1216"/>
      <c r="AO112" s="1216"/>
      <c r="AP112" s="1216"/>
      <c r="AQ112" s="1227"/>
      <c r="AR112" s="1227"/>
    </row>
    <row customHeight="1" ht="14.625">
      <c r="E113" s="794">
        <v>15</v>
      </c>
      <c r="W113" s="168" t="s">
        <v>990</v>
      </c>
      <c r="AB113" s="1475" t="s">
        <v>701</v>
      </c>
      <c r="AC113" s="1476"/>
      <c r="AD113" s="380"/>
      <c r="AE113" s="380"/>
      <c r="AF113" s="381"/>
      <c r="AG113" s="381"/>
      <c r="AH113" s="381"/>
      <c r="AI113" s="381"/>
      <c r="AJ113" s="381"/>
      <c r="AK113" s="382"/>
    </row>
    <row customHeight="1" ht="11.25">
      <c r="AI114" s="497"/>
      <c r="AJ114" s="497"/>
      <c r="AL114" s="210"/>
    </row>
  </sheetData>
  <sheetProtection formatColumns="0" formatRows="0" insertRows="0" deleteColumns="0" deleteRows="0" sort="0" autoFilter="0" insertColumns="1"/>
  <mergeCells count="42">
    <mergeCell ref="Z27:Z51"/>
    <mergeCell ref="X27:X51"/>
    <mergeCell ref="Y30:Y32"/>
    <mergeCell ref="Y36:Y38"/>
    <mergeCell ref="Y42:Y44"/>
    <mergeCell ref="Y48:Y50"/>
    <mergeCell ref="AB111:AK111"/>
    <mergeCell ref="AB113:AC113"/>
    <mergeCell ref="AB24:AB25"/>
    <mergeCell ref="AC24:AC25"/>
    <mergeCell ref="AD24:AD25"/>
    <mergeCell ref="AK24:AK25"/>
    <mergeCell ref="AB112:AK112"/>
    <mergeCell ref="AA30:AA32"/>
    <mergeCell ref="AA36:AA38"/>
    <mergeCell ref="AA42:AA44"/>
    <mergeCell ref="AA48:AA50"/>
    <mergeCell ref="AB110:AK110"/>
    <mergeCell ref="Z52:Z79"/>
    <mergeCell ref="X52:X79"/>
    <mergeCell ref="Y55:Y57"/>
    <mergeCell ref="Y64:Y66"/>
    <mergeCell ref="Y70:Y72"/>
    <mergeCell ref="Y76:Y78"/>
    <mergeCell ref="AA55:AA57"/>
    <mergeCell ref="AA64:AA66"/>
    <mergeCell ref="AA70:AA72"/>
    <mergeCell ref="AA76:AA78"/>
    <mergeCell ref="Y58:Y60"/>
    <mergeCell ref="AA58:AA60"/>
    <mergeCell ref="Z80:Z107"/>
    <mergeCell ref="X80:X107"/>
    <mergeCell ref="Y83:Y85"/>
    <mergeCell ref="Y92:Y94"/>
    <mergeCell ref="Y98:Y100"/>
    <mergeCell ref="Y104:Y106"/>
    <mergeCell ref="AA83:AA85"/>
    <mergeCell ref="AA92:AA94"/>
    <mergeCell ref="AA98:AA100"/>
    <mergeCell ref="AA104:AA106"/>
    <mergeCell ref="Y86:Y88"/>
    <mergeCell ref="AA86:AA88"/>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39E5E8-EA68-A88F-8F18-13D061B05B38}" mc:Ignorable="x14ac xr xr2 xr3">
  <sheetPr>
    <tabColor rgb="FF002060"/>
    <outlinePr summaryRight="0" summaryBelow="0"/>
    <pageSetUpPr fitToPage="1"/>
  </sheetPr>
  <dimension ref="A1:BJ75"/>
  <sheetViews>
    <sheetView showGridLines="0" workbookViewId="0" tabSelected="1">
      <pane xSplit="30" ySplit="26" topLeftCell="AI50" activePane="bottomRight" state="frozen"/>
      <selection pane="bottomLeft" activeCell="A27" sqref="A27"/>
      <selection pane="topRight" activeCell="AE1" sqref="AE1"/>
      <selection pane="bottomRight" activeCell="AK58" sqref="AK58"/>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9" style="217" width="12.6328125" customWidth="1"/>
    <col min="40" max="44" style="217" width="12.6328125" hidden="1" customWidth="1"/>
    <col min="45" max="49" style="217" width="12.6328125" customWidth="1"/>
    <col min="50"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376</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377</v>
      </c>
      <c r="BG1" s="1216" t="s">
        <v>378</v>
      </c>
      <c r="BH1" s="1216" t="s">
        <v>379</v>
      </c>
      <c r="BI1" s="1227" t="s">
        <v>382</v>
      </c>
      <c r="BJ1" s="1227" t="s">
        <v>383</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430</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431</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432</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388</v>
      </c>
      <c r="B12" s="1213"/>
      <c r="E12" s="1213"/>
      <c r="G12" s="1217"/>
      <c r="H12" s="1217"/>
      <c r="I12" s="1217"/>
      <c r="J12" s="1217"/>
      <c r="K12" s="1217"/>
      <c r="L12" s="1217"/>
      <c r="M12" s="1217"/>
      <c r="N12" s="1217"/>
      <c r="O12" s="1217"/>
      <c r="P12" s="1217"/>
      <c r="Q12" s="1218"/>
      <c r="R12" s="1218"/>
      <c r="S12" s="1217"/>
      <c r="AC12" s="1214" t="s">
        <v>379</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487</v>
      </c>
      <c r="B18" s="924"/>
      <c r="E18" s="922"/>
      <c r="G18" s="497"/>
      <c r="H18" s="497"/>
      <c r="I18" s="497"/>
      <c r="J18" s="497"/>
      <c r="K18" s="497"/>
      <c r="L18" s="497"/>
      <c r="M18" s="497"/>
      <c r="N18" s="497"/>
      <c r="O18" s="497"/>
      <c r="P18" s="497"/>
      <c r="Q18" s="925"/>
      <c r="R18" s="925"/>
      <c r="S18" s="497"/>
      <c r="AC18" s="960" t="s">
        <v>433</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390</v>
      </c>
      <c r="AC24" s="1527" t="s">
        <v>433</v>
      </c>
      <c r="AD24" s="1527" t="s">
        <v>1146</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587</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407</v>
      </c>
      <c r="AF25" s="1353" t="s">
        <v>588</v>
      </c>
      <c r="AG25" s="167" t="s">
        <v>589</v>
      </c>
      <c r="AH25" s="167" t="s">
        <v>407</v>
      </c>
      <c r="AI25" s="1354" t="s">
        <v>408</v>
      </c>
      <c r="AJ25" s="1354" t="s">
        <v>408</v>
      </c>
      <c r="AK25" s="1354" t="s">
        <v>408</v>
      </c>
      <c r="AL25" s="1354" t="s">
        <v>408</v>
      </c>
      <c r="AM25" s="1354" t="s">
        <v>408</v>
      </c>
      <c r="AN25" s="1354" t="s">
        <v>408</v>
      </c>
      <c r="AO25" s="1354" t="s">
        <v>408</v>
      </c>
      <c r="AP25" s="1354" t="s">
        <v>408</v>
      </c>
      <c r="AQ25" s="1354" t="s">
        <v>408</v>
      </c>
      <c r="AR25" s="1354" t="s">
        <v>408</v>
      </c>
      <c r="AS25" s="410" t="s">
        <v>407</v>
      </c>
      <c r="AT25" s="410" t="s">
        <v>407</v>
      </c>
      <c r="AU25" s="410" t="s">
        <v>407</v>
      </c>
      <c r="AV25" s="410" t="s">
        <v>407</v>
      </c>
      <c r="AW25" s="410" t="s">
        <v>407</v>
      </c>
      <c r="AX25" s="410" t="s">
        <v>407</v>
      </c>
      <c r="AY25" s="410" t="s">
        <v>407</v>
      </c>
      <c r="AZ25" s="410" t="s">
        <v>407</v>
      </c>
      <c r="BA25" s="410" t="s">
        <v>407</v>
      </c>
      <c r="BB25" s="410" t="s">
        <v>407</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309</v>
      </c>
      <c r="X27" s="172">
        <v>0</v>
      </c>
      <c r="AB27" s="287" cm="1" t="str">
        <f t="array" ref="AB27:AB27">INDEX('Общие сведения'!$AG$169:$AG$218,MATCH($F27,'Общие сведения'!$Z$169:$Z$218,0))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1243</v>
      </c>
      <c r="AD28" s="277" t="s">
        <v>805</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3"/>
      <c r="BF28" s="1181" t="s">
        <v>1244</v>
      </c>
      <c r="BG28" s="1181"/>
      <c r="BH28" s="1181"/>
      <c r="BI28" s="1184"/>
      <c r="BJ28" s="1184"/>
    </row>
    <row s="217" customFormat="1" customHeight="1" ht="58.5" hidden="1">
      <c r="E29" s="794">
        <v>60</v>
      </c>
      <c r="F29" s="919" cm="1" t="str">
        <f t="array" ref="F29:F29">OFFSET(G29,-1,-1)</f>
        <v>0</v>
      </c>
      <c r="G29" s="736" t="s">
        <v>1245</v>
      </c>
      <c r="T29" s="805" cm="1" t="str">
        <f t="array" ref="T29:T29">T28</f>
        <v>false</v>
      </c>
      <c r="AB29" s="285" t="s">
        <v>442</v>
      </c>
      <c r="AC29" s="501" t="s">
        <v>1246</v>
      </c>
      <c r="AD29" s="151" t="s">
        <v>805</v>
      </c>
      <c r="AE29" s="74"/>
      <c r="AF29" s="107"/>
      <c r="AG29" s="107"/>
      <c r="AH29" s="107"/>
      <c r="AI29" s="297"/>
      <c r="AJ29" s="297"/>
      <c r="AK29" s="297"/>
      <c r="AL29" s="297"/>
      <c r="AM29" s="297"/>
      <c r="AN29" s="107"/>
      <c r="AO29" s="107"/>
      <c r="AP29" s="107"/>
      <c r="AQ29" s="107"/>
      <c r="AR29" s="107"/>
      <c r="AS29" s="297"/>
      <c r="AT29" s="297"/>
      <c r="AU29" s="297"/>
      <c r="AV29" s="297"/>
      <c r="AW29" s="297"/>
      <c r="AX29" s="107"/>
      <c r="AY29" s="107"/>
      <c r="AZ29" s="107"/>
      <c r="BA29" s="107"/>
      <c r="BB29" s="107"/>
      <c r="BC29" s="73"/>
      <c r="BF29" s="1181" t="s">
        <v>1247</v>
      </c>
      <c r="BG29" s="1181"/>
      <c r="BH29" s="1181"/>
      <c r="BI29" s="1184"/>
      <c r="BJ29" s="1184"/>
    </row>
    <row s="217" customFormat="1" customHeight="1" ht="16.672500000000003" hidden="1">
      <c r="E30" s="794">
        <v>17.1</v>
      </c>
      <c r="F30" s="919" cm="1" t="str">
        <f t="array" ref="F30:F30">OFFSET(G30,-1,-1)</f>
        <v>0</v>
      </c>
      <c r="G30" s="736" t="s">
        <v>1248</v>
      </c>
      <c r="H30" s="210" t="s">
        <v>1249</v>
      </c>
      <c r="T30" s="805" cm="1" t="str">
        <f t="array" ref="T30:T30">T29</f>
        <v>false</v>
      </c>
      <c r="AB30" s="285" t="s">
        <v>931</v>
      </c>
      <c r="AC30" s="501" t="s">
        <v>1250</v>
      </c>
      <c r="AD30" s="151" t="s">
        <v>805</v>
      </c>
      <c r="AE30" s="74"/>
      <c r="AF30" s="107"/>
      <c r="AG30" s="107"/>
      <c r="AH30" s="107"/>
      <c r="AI30" s="297"/>
      <c r="AJ30" s="297"/>
      <c r="AK30" s="297"/>
      <c r="AL30" s="297"/>
      <c r="AM30" s="297"/>
      <c r="AN30" s="107"/>
      <c r="AO30" s="107"/>
      <c r="AP30" s="107"/>
      <c r="AQ30" s="107"/>
      <c r="AR30" s="107"/>
      <c r="AS30" s="297"/>
      <c r="AT30" s="297"/>
      <c r="AU30" s="297"/>
      <c r="AV30" s="297"/>
      <c r="AW30" s="297"/>
      <c r="AX30" s="107"/>
      <c r="AY30" s="107"/>
      <c r="AZ30" s="107"/>
      <c r="BA30" s="107"/>
      <c r="BB30" s="107"/>
      <c r="BC30" s="73"/>
      <c r="BF30" s="1181" t="s">
        <v>1251</v>
      </c>
      <c r="BG30" s="1181"/>
      <c r="BH30" s="1181"/>
      <c r="BI30" s="1184"/>
      <c r="BJ30" s="1184"/>
    </row>
    <row s="217" customFormat="1" customHeight="1" ht="16.672500000000003" hidden="1">
      <c r="E31" s="794">
        <v>17.1</v>
      </c>
      <c r="F31" s="919" cm="1" t="str">
        <f t="array" ref="F31:F31">OFFSET(G31,-1,-1)</f>
        <v>0</v>
      </c>
      <c r="G31" s="736" t="s">
        <v>1252</v>
      </c>
      <c r="T31" s="805" cm="1" t="str">
        <f t="array" ref="T31:T31">T30</f>
        <v>false</v>
      </c>
      <c r="AB31" s="285" t="s">
        <v>933</v>
      </c>
      <c r="AC31" s="501" t="s">
        <v>1253</v>
      </c>
      <c r="AD31" s="151" t="s">
        <v>805</v>
      </c>
      <c r="AE31" s="74"/>
      <c r="AF31" s="107"/>
      <c r="AG31" s="107"/>
      <c r="AH31" s="107"/>
      <c r="AI31" s="297"/>
      <c r="AJ31" s="297"/>
      <c r="AK31" s="297"/>
      <c r="AL31" s="297"/>
      <c r="AM31" s="297"/>
      <c r="AN31" s="107"/>
      <c r="AO31" s="107"/>
      <c r="AP31" s="107"/>
      <c r="AQ31" s="107"/>
      <c r="AR31" s="107"/>
      <c r="AS31" s="297"/>
      <c r="AT31" s="297"/>
      <c r="AU31" s="297"/>
      <c r="AV31" s="297"/>
      <c r="AW31" s="297"/>
      <c r="AX31" s="107"/>
      <c r="AY31" s="107"/>
      <c r="AZ31" s="107"/>
      <c r="BA31" s="107"/>
      <c r="BB31" s="107"/>
      <c r="BC31" s="73"/>
      <c r="BF31" s="1181" t="s">
        <v>1254</v>
      </c>
      <c r="BG31" s="1181"/>
      <c r="BH31" s="1181"/>
      <c r="BI31" s="1184"/>
      <c r="BJ31" s="1184"/>
    </row>
    <row customHeight="1" ht="16.672500000000003" hidden="1">
      <c r="E32" s="794">
        <v>17.1</v>
      </c>
      <c r="F32" s="919" cm="1" t="str">
        <f t="array" ref="F32:F32">OFFSET(G32,-1,-1)</f>
        <v>0</v>
      </c>
      <c r="G32" s="736" t="s">
        <v>1248</v>
      </c>
      <c r="H32" s="210" t="s">
        <v>1248</v>
      </c>
      <c r="T32" s="805" cm="1" t="str">
        <f t="array" ref="T32:T32">T31</f>
        <v>false</v>
      </c>
      <c r="AB32" s="285" t="s">
        <v>937</v>
      </c>
      <c r="AC32" s="501" t="s">
        <v>1255</v>
      </c>
      <c r="AD32" s="151" t="s">
        <v>805</v>
      </c>
      <c r="AE32" s="108"/>
      <c r="AF32" s="108"/>
      <c r="AG32" s="108"/>
      <c r="AH32" s="108"/>
      <c r="AI32" s="298"/>
      <c r="AJ32" s="298"/>
      <c r="AK32" s="298"/>
      <c r="AL32" s="298"/>
      <c r="AM32" s="298"/>
      <c r="AN32" s="108"/>
      <c r="AO32" s="108"/>
      <c r="AP32" s="108"/>
      <c r="AQ32" s="108"/>
      <c r="AR32" s="108"/>
      <c r="AS32" s="298"/>
      <c r="AT32" s="298"/>
      <c r="AU32" s="298"/>
      <c r="AV32" s="298"/>
      <c r="AW32" s="298"/>
      <c r="AX32" s="108"/>
      <c r="AY32" s="108"/>
      <c r="AZ32" s="108"/>
      <c r="BA32" s="108"/>
      <c r="BB32" s="108"/>
      <c r="BC32" s="73"/>
      <c r="BF32" s="1181" t="s">
        <v>567</v>
      </c>
    </row>
    <row s="217" customFormat="1" customHeight="1" ht="16.672500000000003" hidden="1">
      <c r="E33" s="794">
        <v>17.1</v>
      </c>
      <c r="F33" s="919" cm="1" t="str">
        <f t="array" ref="F33:F33">OFFSET(G33,-1,-1)</f>
        <v>0</v>
      </c>
      <c r="G33" s="736" t="s">
        <v>1248</v>
      </c>
      <c r="H33" s="210" t="s">
        <v>1256</v>
      </c>
      <c r="T33" s="805" cm="1" t="str">
        <f t="array" ref="T33:T33">T32</f>
        <v>false</v>
      </c>
      <c r="AB33" s="285" t="s">
        <v>1042</v>
      </c>
      <c r="AC33" s="501" t="s">
        <v>1257</v>
      </c>
      <c r="AD33" s="151" t="s">
        <v>805</v>
      </c>
      <c r="AE33" s="74"/>
      <c r="AF33" s="74"/>
      <c r="AG33" s="74"/>
      <c r="AH33" s="74"/>
      <c r="AI33" s="296"/>
      <c r="AJ33" s="296"/>
      <c r="AK33" s="296"/>
      <c r="AL33" s="296"/>
      <c r="AM33" s="296"/>
      <c r="AN33" s="74"/>
      <c r="AO33" s="74"/>
      <c r="AP33" s="74"/>
      <c r="AQ33" s="74"/>
      <c r="AR33" s="74"/>
      <c r="AS33" s="296"/>
      <c r="AT33" s="296"/>
      <c r="AU33" s="296"/>
      <c r="AV33" s="296"/>
      <c r="AW33" s="296"/>
      <c r="AX33" s="74"/>
      <c r="AY33" s="74"/>
      <c r="AZ33" s="74"/>
      <c r="BA33" s="74"/>
      <c r="BB33" s="74"/>
      <c r="BC33" s="73"/>
      <c r="BF33" s="1181" t="s">
        <v>563</v>
      </c>
      <c r="BG33" s="1181"/>
      <c r="BH33" s="1181"/>
      <c r="BI33" s="1184"/>
      <c r="BJ33" s="1184"/>
    </row>
    <row s="217" customFormat="1" customHeight="1" ht="16.672500000000003" hidden="1">
      <c r="E34" s="794">
        <v>17.1</v>
      </c>
      <c r="F34" s="919" cm="1" t="str">
        <f t="array" ref="F34:F34">OFFSET(G34,-1,-1)</f>
        <v>0</v>
      </c>
      <c r="G34" s="736" t="s">
        <v>1248</v>
      </c>
      <c r="H34" s="210" t="s">
        <v>1258</v>
      </c>
      <c r="T34" s="805" cm="1" t="str">
        <f t="array" ref="T34:T34">T33</f>
        <v>false</v>
      </c>
      <c r="AB34" s="285" t="s">
        <v>1045</v>
      </c>
      <c r="AC34" s="501" t="s">
        <v>1259</v>
      </c>
      <c r="AD34" s="151" t="s">
        <v>805</v>
      </c>
      <c r="AE34" s="74"/>
      <c r="AF34" s="74"/>
      <c r="AG34" s="74"/>
      <c r="AH34" s="74"/>
      <c r="AI34" s="296"/>
      <c r="AJ34" s="296"/>
      <c r="AK34" s="296"/>
      <c r="AL34" s="296"/>
      <c r="AM34" s="296"/>
      <c r="AN34" s="74"/>
      <c r="AO34" s="74"/>
      <c r="AP34" s="74"/>
      <c r="AQ34" s="74"/>
      <c r="AR34" s="74"/>
      <c r="AS34" s="296"/>
      <c r="AT34" s="296"/>
      <c r="AU34" s="296"/>
      <c r="AV34" s="296"/>
      <c r="AW34" s="296"/>
      <c r="AX34" s="74"/>
      <c r="AY34" s="74"/>
      <c r="AZ34" s="74"/>
      <c r="BA34" s="74"/>
      <c r="BB34" s="74"/>
      <c r="BC34" s="73"/>
      <c r="BF34" s="1181" t="s">
        <v>1260</v>
      </c>
      <c r="BG34" s="1181"/>
      <c r="BH34" s="1181"/>
      <c r="BI34" s="1184"/>
      <c r="BJ34" s="1184"/>
    </row>
    <row s="217" customFormat="1" customHeight="1" ht="16.672500000000003" hidden="1">
      <c r="E35" s="794">
        <v>17.1</v>
      </c>
      <c r="F35" s="919" cm="1" t="str">
        <f t="array" ref="F35:F35">OFFSET(G35,-1,-1)</f>
        <v>0</v>
      </c>
      <c r="G35" s="736" t="s">
        <v>1261</v>
      </c>
      <c r="T35" s="805" cm="1" t="str">
        <f t="array" ref="T35:T35">T34</f>
        <v>false</v>
      </c>
      <c r="AB35" s="285" t="s">
        <v>1048</v>
      </c>
      <c r="AC35" s="501" t="s">
        <v>1262</v>
      </c>
      <c r="AD35" s="151" t="s">
        <v>805</v>
      </c>
      <c r="AE35" s="74"/>
      <c r="AF35" s="74"/>
      <c r="AG35" s="74"/>
      <c r="AH35" s="74"/>
      <c r="AI35" s="296"/>
      <c r="AJ35" s="296"/>
      <c r="AK35" s="296"/>
      <c r="AL35" s="296"/>
      <c r="AM35" s="296"/>
      <c r="AN35" s="74"/>
      <c r="AO35" s="74"/>
      <c r="AP35" s="74"/>
      <c r="AQ35" s="74"/>
      <c r="AR35" s="74"/>
      <c r="AS35" s="296"/>
      <c r="AT35" s="296"/>
      <c r="AU35" s="296"/>
      <c r="AV35" s="296"/>
      <c r="AW35" s="296"/>
      <c r="AX35" s="74"/>
      <c r="AY35" s="74"/>
      <c r="AZ35" s="74"/>
      <c r="BA35" s="74"/>
      <c r="BB35" s="74"/>
      <c r="BC35" s="73"/>
      <c r="BF35" s="1181" t="s">
        <v>571</v>
      </c>
      <c r="BG35" s="1181"/>
      <c r="BH35" s="1181"/>
      <c r="BI35" s="1184"/>
      <c r="BJ35" s="1184"/>
    </row>
    <row s="217" customFormat="1" customHeight="1" ht="16.672500000000003" hidden="1">
      <c r="E36" s="794">
        <v>17.1</v>
      </c>
      <c r="F36" s="919" cm="1" t="str">
        <f t="array" ref="F36:F36">OFFSET(G36,-1,-1)</f>
        <v>0</v>
      </c>
      <c r="G36" s="736" t="s">
        <v>1248</v>
      </c>
      <c r="H36" s="210" t="s">
        <v>1263</v>
      </c>
      <c r="T36" s="805" cm="1" t="str">
        <f t="array" ref="T36:T36">T35</f>
        <v>false</v>
      </c>
      <c r="AB36" s="285" t="s">
        <v>1051</v>
      </c>
      <c r="AC36" s="501" t="s">
        <v>1264</v>
      </c>
      <c r="AD36" s="151" t="s">
        <v>805</v>
      </c>
      <c r="AE36" s="74"/>
      <c r="AF36" s="74"/>
      <c r="AG36" s="74"/>
      <c r="AH36" s="74"/>
      <c r="AI36" s="296"/>
      <c r="AJ36" s="296"/>
      <c r="AK36" s="296"/>
      <c r="AL36" s="296"/>
      <c r="AM36" s="296"/>
      <c r="AN36" s="74"/>
      <c r="AO36" s="74"/>
      <c r="AP36" s="74"/>
      <c r="AQ36" s="74"/>
      <c r="AR36" s="74"/>
      <c r="AS36" s="296"/>
      <c r="AT36" s="296"/>
      <c r="AU36" s="296"/>
      <c r="AV36" s="296"/>
      <c r="AW36" s="296"/>
      <c r="AX36" s="74"/>
      <c r="AY36" s="74"/>
      <c r="AZ36" s="74"/>
      <c r="BA36" s="74"/>
      <c r="BB36" s="74"/>
      <c r="BC36" s="73"/>
      <c r="BF36" s="1181" t="s">
        <v>1265</v>
      </c>
      <c r="BG36" s="1181"/>
      <c r="BH36" s="1181"/>
      <c r="BI36" s="1184"/>
      <c r="BJ36" s="1184"/>
    </row>
    <row s="217" customFormat="1" customHeight="1" ht="16.672500000000003" hidden="1">
      <c r="E37" s="794">
        <v>17.1</v>
      </c>
      <c r="F37" s="919" cm="1" t="str">
        <f t="array" ref="F37:F37">OFFSET(G37,-1,-1)</f>
        <v>0</v>
      </c>
      <c r="G37" s="736" t="s">
        <v>1248</v>
      </c>
      <c r="H37" s="210" t="s">
        <v>1248</v>
      </c>
      <c r="T37" s="805" cm="1" t="str">
        <f t="array" ref="T37:T37">T36</f>
        <v>false</v>
      </c>
      <c r="AB37" s="285" t="s">
        <v>1266</v>
      </c>
      <c r="AC37" s="501" t="s">
        <v>1267</v>
      </c>
      <c r="AD37" s="151" t="s">
        <v>805</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3"/>
      <c r="BF37" s="1181" t="s">
        <v>1194</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233</v>
      </c>
      <c r="Y39" s="172">
        <v>0</v>
      </c>
      <c r="AA39" s="914" t="s">
        <v>217</v>
      </c>
      <c r="AB39" s="151" t="str">
        <f>"1.9."&amp;Y39</f>
        <v>1.9.0</v>
      </c>
      <c r="AC39" s="109"/>
      <c r="AD39" s="151" t="s">
        <v>805</v>
      </c>
      <c r="AE39" s="74"/>
      <c r="AF39" s="107"/>
      <c r="AG39" s="107"/>
      <c r="AH39" s="107"/>
      <c r="AI39" s="297"/>
      <c r="AJ39" s="297"/>
      <c r="AK39" s="297"/>
      <c r="AL39" s="297"/>
      <c r="AM39" s="297"/>
      <c r="AN39" s="107"/>
      <c r="AO39" s="107"/>
      <c r="AP39" s="107"/>
      <c r="AQ39" s="107"/>
      <c r="AR39" s="107"/>
      <c r="AS39" s="297"/>
      <c r="AT39" s="297"/>
      <c r="AU39" s="297"/>
      <c r="AV39" s="297"/>
      <c r="AW39" s="297"/>
      <c r="AX39" s="107"/>
      <c r="AY39" s="107"/>
      <c r="AZ39" s="107"/>
      <c r="BA39" s="107"/>
      <c r="BB39" s="107"/>
      <c r="BC39" s="73"/>
      <c r="BF39" s="1181" t="s">
        <v>1268</v>
      </c>
      <c r="BG39" s="1181" t="s">
        <v>1269</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947</v>
      </c>
      <c r="AB40" s="500"/>
      <c r="AC40" s="300" t="s">
        <v>235</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1269</v>
      </c>
      <c r="BJ40" s="1184"/>
    </row>
    <row s="1826"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 на тепловую энергию (мощность), поставляемую потребителям (Тариф: Носитель - горячая вода (Т); Носитель - горячая вода (Т))</v>
      </c>
      <c r="W41" s="217"/>
      <c r="X41" s="172" t="s">
        <v>335</v>
      </c>
      <c r="Y41" s="217"/>
      <c r="Z41" s="217"/>
      <c r="AA41" s="217"/>
      <c r="AB41" s="287" cm="1" t="str">
        <f t="array" ref="AB41:AB41">IF(ISBLANK(ФОТ!$AB$52),"",ФОТ!$AB$52)</f>
        <v>Тариф 1 (Теплоснабжение) - Тариф на тепловую энергию (мощность), поставляемую потребителям (Тариф: Носитель - горячая вода (Т); Носитель - горячая вода (Т))</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827"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1243</v>
      </c>
      <c r="AD42" s="277" t="s">
        <v>805</v>
      </c>
      <c r="AE42" s="295">
        <f>SUM(AE43:AE51)</f>
        <v>0</v>
      </c>
      <c r="AF42" s="295">
        <f>SUM(AF43:AF51)</f>
        <v>0</v>
      </c>
      <c r="AG42" s="295">
        <f>SUM(AG43:AG51)</f>
        <v>0</v>
      </c>
      <c r="AH42" s="295">
        <f>SUM(AH43:AH51)</f>
        <v>0</v>
      </c>
      <c r="AI42" s="295">
        <f>SUM(AI43:AI51)</f>
        <v>39</v>
      </c>
      <c r="AJ42" s="295">
        <f>SUM(AJ43:AJ51)</f>
        <v>39</v>
      </c>
      <c r="AK42" s="295">
        <f>SUM(AK43:AK51)</f>
        <v>39</v>
      </c>
      <c r="AL42" s="295">
        <f>SUM(AL43:AL51)</f>
        <v>39</v>
      </c>
      <c r="AM42" s="295">
        <f>SUM(AM43:AM51)</f>
        <v>39</v>
      </c>
      <c r="AN42" s="295">
        <f>SUM(AN43:AN51)</f>
        <v>0</v>
      </c>
      <c r="AO42" s="295">
        <f>SUM(AO43:AO51)</f>
        <v>0</v>
      </c>
      <c r="AP42" s="295">
        <f>SUM(AP43:AP51)</f>
        <v>0</v>
      </c>
      <c r="AQ42" s="295">
        <f>SUM(AQ43:AQ51)</f>
        <v>0</v>
      </c>
      <c r="AR42" s="295">
        <f>SUM(AR43:AR51)</f>
        <v>0</v>
      </c>
      <c r="AS42" s="295">
        <f>SUM(AS43:AS51)</f>
        <v>1</v>
      </c>
      <c r="AT42" s="295">
        <f>SUM(AT43:AT51)</f>
        <v>1</v>
      </c>
      <c r="AU42" s="295">
        <f>SUM(AU43:AU51)</f>
        <v>1</v>
      </c>
      <c r="AV42" s="295">
        <f>SUM(AV43:AV51)</f>
        <v>1</v>
      </c>
      <c r="AW42" s="295">
        <f>SUM(AW43:AW51)</f>
        <v>1</v>
      </c>
      <c r="AX42" s="295">
        <f>SUM(AX43:AX51)</f>
        <v>0</v>
      </c>
      <c r="AY42" s="295">
        <f>SUM(AY43:AY51)</f>
        <v>0</v>
      </c>
      <c r="AZ42" s="295">
        <f>SUM(AZ43:AZ51)</f>
        <v>0</v>
      </c>
      <c r="BA42" s="295">
        <f>SUM(BA43:BA51)</f>
        <v>0</v>
      </c>
      <c r="BB42" s="295">
        <f>SUM(BB43:BB51)</f>
        <v>0</v>
      </c>
      <c r="BC42" s="1730"/>
      <c r="BD42" s="217"/>
      <c r="BE42" s="217"/>
      <c r="BF42" s="1181" t="s">
        <v>1244</v>
      </c>
      <c r="BG42" s="1181"/>
      <c r="BH42" s="1181"/>
      <c r="BI42" s="1184"/>
      <c r="BJ42" s="1184"/>
    </row>
    <row s="1828" customFormat="1" customHeight="1" ht="58.5">
      <c r="A43" s="217"/>
      <c r="B43" s="217"/>
      <c r="C43" s="217"/>
      <c r="D43" s="217"/>
      <c r="E43" s="794">
        <v>60</v>
      </c>
      <c r="F43" s="919" cm="1" t="str">
        <f t="array" ref="F43:F43">OFFSET(G43,-1,-1)</f>
        <v>1</v>
      </c>
      <c r="G43" s="736" t="s">
        <v>1245</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442</v>
      </c>
      <c r="AC43" s="501" t="s">
        <v>1246</v>
      </c>
      <c r="AD43" s="151" t="s">
        <v>805</v>
      </c>
      <c r="AE43" s="1731"/>
      <c r="AF43" s="1823"/>
      <c r="AG43" s="1823"/>
      <c r="AH43" s="1823"/>
      <c r="AI43" s="297">
        <v>1</v>
      </c>
      <c r="AJ43" s="297">
        <v>1</v>
      </c>
      <c r="AK43" s="297">
        <v>1</v>
      </c>
      <c r="AL43" s="297">
        <v>1</v>
      </c>
      <c r="AM43" s="297">
        <v>1</v>
      </c>
      <c r="AN43" s="1823"/>
      <c r="AO43" s="1823"/>
      <c r="AP43" s="1823"/>
      <c r="AQ43" s="1823"/>
      <c r="AR43" s="1823"/>
      <c r="AS43" s="297">
        <v>0</v>
      </c>
      <c r="AT43" s="297">
        <v>0</v>
      </c>
      <c r="AU43" s="297">
        <v>0</v>
      </c>
      <c r="AV43" s="297">
        <v>0</v>
      </c>
      <c r="AW43" s="297">
        <v>0</v>
      </c>
      <c r="AX43" s="1823"/>
      <c r="AY43" s="1823"/>
      <c r="AZ43" s="1823"/>
      <c r="BA43" s="1823"/>
      <c r="BB43" s="1823"/>
      <c r="BC43" s="1730"/>
      <c r="BD43" s="217"/>
      <c r="BE43" s="217"/>
      <c r="BF43" s="1181" t="s">
        <v>1247</v>
      </c>
      <c r="BG43" s="1181"/>
      <c r="BH43" s="1181"/>
      <c r="BI43" s="1184"/>
      <c r="BJ43" s="1184"/>
    </row>
    <row s="1829" customFormat="1" customHeight="1" ht="16.5">
      <c r="A44" s="217"/>
      <c r="B44" s="217"/>
      <c r="C44" s="217"/>
      <c r="D44" s="217"/>
      <c r="E44" s="794">
        <v>17.1</v>
      </c>
      <c r="F44" s="919" cm="1" t="str">
        <f t="array" ref="F44:F44">OFFSET(G44,-1,-1)</f>
        <v>1</v>
      </c>
      <c r="G44" s="736" t="s">
        <v>1248</v>
      </c>
      <c r="H44" s="210" t="s">
        <v>1249</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931</v>
      </c>
      <c r="AC44" s="501" t="s">
        <v>1250</v>
      </c>
      <c r="AD44" s="151" t="s">
        <v>805</v>
      </c>
      <c r="AE44" s="1731"/>
      <c r="AF44" s="1823"/>
      <c r="AG44" s="1823"/>
      <c r="AH44" s="1823"/>
      <c r="AI44" s="297"/>
      <c r="AJ44" s="297"/>
      <c r="AK44" s="297"/>
      <c r="AL44" s="297"/>
      <c r="AM44" s="297"/>
      <c r="AN44" s="1823"/>
      <c r="AO44" s="1823"/>
      <c r="AP44" s="1823"/>
      <c r="AQ44" s="1823"/>
      <c r="AR44" s="1823"/>
      <c r="AS44" s="297"/>
      <c r="AT44" s="297"/>
      <c r="AU44" s="297"/>
      <c r="AV44" s="297"/>
      <c r="AW44" s="297"/>
      <c r="AX44" s="1823"/>
      <c r="AY44" s="1823"/>
      <c r="AZ44" s="1823"/>
      <c r="BA44" s="1823"/>
      <c r="BB44" s="1823"/>
      <c r="BC44" s="1730"/>
      <c r="BD44" s="217"/>
      <c r="BE44" s="217"/>
      <c r="BF44" s="1181" t="s">
        <v>1251</v>
      </c>
      <c r="BG44" s="1181"/>
      <c r="BH44" s="1181"/>
      <c r="BI44" s="1184"/>
      <c r="BJ44" s="1184"/>
    </row>
    <row s="1830" customFormat="1" customHeight="1" ht="16.5">
      <c r="A45" s="217"/>
      <c r="B45" s="217"/>
      <c r="C45" s="217"/>
      <c r="D45" s="217"/>
      <c r="E45" s="794">
        <v>17.1</v>
      </c>
      <c r="F45" s="919" cm="1" t="str">
        <f t="array" ref="F45:F45">OFFSET(G45,-1,-1)</f>
        <v>1</v>
      </c>
      <c r="G45" s="736" t="s">
        <v>1252</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933</v>
      </c>
      <c r="AC45" s="501" t="s">
        <v>1253</v>
      </c>
      <c r="AD45" s="151" t="s">
        <v>805</v>
      </c>
      <c r="AE45" s="1731"/>
      <c r="AF45" s="1823"/>
      <c r="AG45" s="1823"/>
      <c r="AH45" s="1823"/>
      <c r="AI45" s="297"/>
      <c r="AJ45" s="297"/>
      <c r="AK45" s="297"/>
      <c r="AL45" s="297"/>
      <c r="AM45" s="297"/>
      <c r="AN45" s="1823"/>
      <c r="AO45" s="1823"/>
      <c r="AP45" s="1823"/>
      <c r="AQ45" s="1823"/>
      <c r="AR45" s="1823"/>
      <c r="AS45" s="297"/>
      <c r="AT45" s="297"/>
      <c r="AU45" s="297"/>
      <c r="AV45" s="297"/>
      <c r="AW45" s="297"/>
      <c r="AX45" s="1823"/>
      <c r="AY45" s="1823"/>
      <c r="AZ45" s="1823"/>
      <c r="BA45" s="1823"/>
      <c r="BB45" s="1823"/>
      <c r="BC45" s="1730"/>
      <c r="BD45" s="217"/>
      <c r="BE45" s="217"/>
      <c r="BF45" s="1181" t="s">
        <v>1254</v>
      </c>
      <c r="BG45" s="1181"/>
      <c r="BH45" s="1181"/>
      <c r="BI45" s="1184"/>
      <c r="BJ45" s="1184"/>
    </row>
    <row s="1619" customFormat="1" customHeight="1" ht="16.5">
      <c r="A46" s="1461"/>
      <c r="B46" s="924"/>
      <c r="C46" s="1461"/>
      <c r="D46" s="1461"/>
      <c r="E46" s="794">
        <v>17.1</v>
      </c>
      <c r="F46" s="919" cm="1" t="str">
        <f t="array" ref="F46:F46">OFFSET(G46,-1,-1)</f>
        <v>1</v>
      </c>
      <c r="G46" s="736" t="s">
        <v>1248</v>
      </c>
      <c r="H46" s="210" t="s">
        <v>1248</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937</v>
      </c>
      <c r="AC46" s="501" t="s">
        <v>1255</v>
      </c>
      <c r="AD46" s="151" t="s">
        <v>805</v>
      </c>
      <c r="AE46" s="1831"/>
      <c r="AF46" s="1831"/>
      <c r="AG46" s="1831"/>
      <c r="AH46" s="1831"/>
      <c r="AI46" s="298"/>
      <c r="AJ46" s="298"/>
      <c r="AK46" s="298"/>
      <c r="AL46" s="298"/>
      <c r="AM46" s="298"/>
      <c r="AN46" s="1831"/>
      <c r="AO46" s="1831"/>
      <c r="AP46" s="1831"/>
      <c r="AQ46" s="1831"/>
      <c r="AR46" s="1831"/>
      <c r="AS46" s="298"/>
      <c r="AT46" s="298"/>
      <c r="AU46" s="298"/>
      <c r="AV46" s="298"/>
      <c r="AW46" s="298"/>
      <c r="AX46" s="1831"/>
      <c r="AY46" s="1831"/>
      <c r="AZ46" s="1831"/>
      <c r="BA46" s="1831"/>
      <c r="BB46" s="1831"/>
      <c r="BC46" s="1730"/>
      <c r="BD46" s="217"/>
      <c r="BE46" s="217"/>
      <c r="BF46" s="1181" t="s">
        <v>567</v>
      </c>
      <c r="BG46" s="1216"/>
      <c r="BH46" s="1216"/>
      <c r="BI46" s="1227"/>
      <c r="BJ46" s="1227"/>
    </row>
    <row s="1833" customFormat="1" customHeight="1" ht="16.5">
      <c r="A47" s="217"/>
      <c r="B47" s="217"/>
      <c r="C47" s="217"/>
      <c r="D47" s="217"/>
      <c r="E47" s="794">
        <v>17.1</v>
      </c>
      <c r="F47" s="919" cm="1" t="str">
        <f t="array" ref="F47:F47">OFFSET(G47,-1,-1)</f>
        <v>1</v>
      </c>
      <c r="G47" s="736" t="s">
        <v>1248</v>
      </c>
      <c r="H47" s="210" t="s">
        <v>1256</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1042</v>
      </c>
      <c r="AC47" s="501" t="s">
        <v>1257</v>
      </c>
      <c r="AD47" s="151" t="s">
        <v>805</v>
      </c>
      <c r="AE47" s="1731"/>
      <c r="AF47" s="1731"/>
      <c r="AG47" s="1731"/>
      <c r="AH47" s="1731"/>
      <c r="AI47" s="296">
        <v>38</v>
      </c>
      <c r="AJ47" s="296">
        <v>38</v>
      </c>
      <c r="AK47" s="296">
        <v>38</v>
      </c>
      <c r="AL47" s="296">
        <v>38</v>
      </c>
      <c r="AM47" s="296">
        <v>38</v>
      </c>
      <c r="AN47" s="1731"/>
      <c r="AO47" s="1731"/>
      <c r="AP47" s="1731"/>
      <c r="AQ47" s="1731"/>
      <c r="AR47" s="1731"/>
      <c r="AS47" s="296">
        <v>1</v>
      </c>
      <c r="AT47" s="296">
        <v>1</v>
      </c>
      <c r="AU47" s="296">
        <v>1</v>
      </c>
      <c r="AV47" s="296">
        <v>1</v>
      </c>
      <c r="AW47" s="296">
        <v>1</v>
      </c>
      <c r="AX47" s="1731"/>
      <c r="AY47" s="1731"/>
      <c r="AZ47" s="1731"/>
      <c r="BA47" s="1731"/>
      <c r="BB47" s="1731"/>
      <c r="BC47" s="1730"/>
      <c r="BD47" s="217"/>
      <c r="BE47" s="217"/>
      <c r="BF47" s="1181" t="s">
        <v>563</v>
      </c>
      <c r="BG47" s="1181"/>
      <c r="BH47" s="1181"/>
      <c r="BI47" s="1184"/>
      <c r="BJ47" s="1184"/>
    </row>
    <row s="1834" customFormat="1" customHeight="1" ht="16.5">
      <c r="A48" s="217"/>
      <c r="B48" s="217"/>
      <c r="C48" s="217"/>
      <c r="D48" s="217"/>
      <c r="E48" s="794">
        <v>17.1</v>
      </c>
      <c r="F48" s="919" cm="1" t="str">
        <f t="array" ref="F48:F48">OFFSET(G48,-1,-1)</f>
        <v>1</v>
      </c>
      <c r="G48" s="736" t="s">
        <v>1248</v>
      </c>
      <c r="H48" s="210" t="s">
        <v>1258</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1045</v>
      </c>
      <c r="AC48" s="501" t="s">
        <v>1259</v>
      </c>
      <c r="AD48" s="151" t="s">
        <v>805</v>
      </c>
      <c r="AE48" s="1731"/>
      <c r="AF48" s="1731"/>
      <c r="AG48" s="1731"/>
      <c r="AH48" s="1731"/>
      <c r="AI48" s="296"/>
      <c r="AJ48" s="296"/>
      <c r="AK48" s="296"/>
      <c r="AL48" s="296"/>
      <c r="AM48" s="296"/>
      <c r="AN48" s="1731"/>
      <c r="AO48" s="1731"/>
      <c r="AP48" s="1731"/>
      <c r="AQ48" s="1731"/>
      <c r="AR48" s="1731"/>
      <c r="AS48" s="296"/>
      <c r="AT48" s="296"/>
      <c r="AU48" s="296"/>
      <c r="AV48" s="296"/>
      <c r="AW48" s="296"/>
      <c r="AX48" s="1731"/>
      <c r="AY48" s="1731"/>
      <c r="AZ48" s="1731"/>
      <c r="BA48" s="1731"/>
      <c r="BB48" s="1731"/>
      <c r="BC48" s="1730"/>
      <c r="BD48" s="217"/>
      <c r="BE48" s="217"/>
      <c r="BF48" s="1181" t="s">
        <v>1260</v>
      </c>
      <c r="BG48" s="1181"/>
      <c r="BH48" s="1181"/>
      <c r="BI48" s="1184"/>
      <c r="BJ48" s="1184"/>
    </row>
    <row s="1835" customFormat="1" customHeight="1" ht="16.5">
      <c r="A49" s="217"/>
      <c r="B49" s="217"/>
      <c r="C49" s="217"/>
      <c r="D49" s="217"/>
      <c r="E49" s="794">
        <v>17.1</v>
      </c>
      <c r="F49" s="919" cm="1" t="str">
        <f t="array" ref="F49:F49">OFFSET(G49,-1,-1)</f>
        <v>1</v>
      </c>
      <c r="G49" s="736" t="s">
        <v>1261</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1048</v>
      </c>
      <c r="AC49" s="501" t="s">
        <v>1262</v>
      </c>
      <c r="AD49" s="151" t="s">
        <v>805</v>
      </c>
      <c r="AE49" s="1731"/>
      <c r="AF49" s="1731"/>
      <c r="AG49" s="1731"/>
      <c r="AH49" s="1731"/>
      <c r="AI49" s="296"/>
      <c r="AJ49" s="296"/>
      <c r="AK49" s="296"/>
      <c r="AL49" s="296"/>
      <c r="AM49" s="296"/>
      <c r="AN49" s="1731"/>
      <c r="AO49" s="1731"/>
      <c r="AP49" s="1731"/>
      <c r="AQ49" s="1731"/>
      <c r="AR49" s="1731"/>
      <c r="AS49" s="296"/>
      <c r="AT49" s="296"/>
      <c r="AU49" s="296"/>
      <c r="AV49" s="296"/>
      <c r="AW49" s="296"/>
      <c r="AX49" s="1731"/>
      <c r="AY49" s="1731"/>
      <c r="AZ49" s="1731"/>
      <c r="BA49" s="1731"/>
      <c r="BB49" s="1731"/>
      <c r="BC49" s="1730"/>
      <c r="BD49" s="217"/>
      <c r="BE49" s="217"/>
      <c r="BF49" s="1181" t="s">
        <v>571</v>
      </c>
      <c r="BG49" s="1181"/>
      <c r="BH49" s="1181"/>
      <c r="BI49" s="1184"/>
      <c r="BJ49" s="1184"/>
    </row>
    <row s="1836" customFormat="1" customHeight="1" ht="16.5">
      <c r="A50" s="217"/>
      <c r="B50" s="217"/>
      <c r="C50" s="217"/>
      <c r="D50" s="217"/>
      <c r="E50" s="794">
        <v>17.1</v>
      </c>
      <c r="F50" s="919" cm="1" t="str">
        <f t="array" ref="F50:F50">OFFSET(G50,-1,-1)</f>
        <v>1</v>
      </c>
      <c r="G50" s="736" t="s">
        <v>1248</v>
      </c>
      <c r="H50" s="210" t="s">
        <v>1263</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1051</v>
      </c>
      <c r="AC50" s="501" t="s">
        <v>1264</v>
      </c>
      <c r="AD50" s="151" t="s">
        <v>805</v>
      </c>
      <c r="AE50" s="1731"/>
      <c r="AF50" s="1731"/>
      <c r="AG50" s="1731"/>
      <c r="AH50" s="1731"/>
      <c r="AI50" s="296"/>
      <c r="AJ50" s="296"/>
      <c r="AK50" s="296"/>
      <c r="AL50" s="296"/>
      <c r="AM50" s="296"/>
      <c r="AN50" s="1731"/>
      <c r="AO50" s="1731"/>
      <c r="AP50" s="1731"/>
      <c r="AQ50" s="1731"/>
      <c r="AR50" s="1731"/>
      <c r="AS50" s="296"/>
      <c r="AT50" s="296"/>
      <c r="AU50" s="296"/>
      <c r="AV50" s="296"/>
      <c r="AW50" s="296"/>
      <c r="AX50" s="1731"/>
      <c r="AY50" s="1731"/>
      <c r="AZ50" s="1731"/>
      <c r="BA50" s="1731"/>
      <c r="BB50" s="1731"/>
      <c r="BC50" s="1730"/>
      <c r="BD50" s="217"/>
      <c r="BE50" s="217"/>
      <c r="BF50" s="1181" t="s">
        <v>1265</v>
      </c>
      <c r="BG50" s="1181"/>
      <c r="BH50" s="1181"/>
      <c r="BI50" s="1184"/>
      <c r="BJ50" s="1184"/>
    </row>
    <row s="1837" customFormat="1" customHeight="1" ht="16.5">
      <c r="A51" s="217"/>
      <c r="B51" s="217"/>
      <c r="C51" s="217"/>
      <c r="D51" s="217"/>
      <c r="E51" s="794">
        <v>17.1</v>
      </c>
      <c r="F51" s="919" cm="1" t="str">
        <f t="array" ref="F51:F51">OFFSET(G51,-1,-1)</f>
        <v>1</v>
      </c>
      <c r="G51" s="736" t="s">
        <v>1248</v>
      </c>
      <c r="H51" s="210" t="s">
        <v>1248</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1266</v>
      </c>
      <c r="AC51" s="501" t="s">
        <v>1267</v>
      </c>
      <c r="AD51" s="151" t="s">
        <v>805</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30"/>
      <c r="BD51" s="217"/>
      <c r="BE51" s="217"/>
      <c r="BF51" s="1181" t="s">
        <v>1194</v>
      </c>
      <c r="BG51" s="1181"/>
      <c r="BH51" s="1181"/>
      <c r="BI51" s="1184"/>
      <c r="BJ51" s="1184"/>
    </row>
    <row s="1619"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838"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233</v>
      </c>
      <c r="X53" s="217"/>
      <c r="Y53" s="172">
        <v>0</v>
      </c>
      <c r="Z53" s="217"/>
      <c r="AA53" s="914" t="s">
        <v>217</v>
      </c>
      <c r="AB53" s="151" t="str">
        <f>"1.9."&amp;Y53</f>
        <v>1.9.0</v>
      </c>
      <c r="AC53" s="109"/>
      <c r="AD53" s="151" t="s">
        <v>805</v>
      </c>
      <c r="AE53" s="74"/>
      <c r="AF53" s="107"/>
      <c r="AG53" s="107"/>
      <c r="AH53" s="107"/>
      <c r="AI53" s="297"/>
      <c r="AJ53" s="297"/>
      <c r="AK53" s="297"/>
      <c r="AL53" s="297"/>
      <c r="AM53" s="297"/>
      <c r="AN53" s="107"/>
      <c r="AO53" s="107"/>
      <c r="AP53" s="107"/>
      <c r="AQ53" s="107"/>
      <c r="AR53" s="107"/>
      <c r="AS53" s="297"/>
      <c r="AT53" s="297"/>
      <c r="AU53" s="297"/>
      <c r="AV53" s="297"/>
      <c r="AW53" s="297"/>
      <c r="AX53" s="107"/>
      <c r="AY53" s="107"/>
      <c r="AZ53" s="107"/>
      <c r="BA53" s="107"/>
      <c r="BB53" s="107"/>
      <c r="BC53" s="73"/>
      <c r="BD53" s="217"/>
      <c r="BE53" s="217"/>
      <c r="BF53" s="1181" t="s">
        <v>1268</v>
      </c>
      <c r="BG53" s="1181" t="s">
        <v>1269</v>
      </c>
      <c r="BH53" s="1229" cm="1" t="str">
        <f t="array" ref="BH53:BH53">AC53</f>
        <v>0</v>
      </c>
      <c r="BI53" s="1184"/>
      <c r="BJ53" s="1184" t="b">
        <v>1</v>
      </c>
    </row>
    <row s="1839"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947</v>
      </c>
      <c r="X54" s="217"/>
      <c r="Y54" s="217"/>
      <c r="Z54" s="217"/>
      <c r="AA54" s="217"/>
      <c r="AB54" s="500"/>
      <c r="AC54" s="300" t="s">
        <v>235</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1269</v>
      </c>
      <c r="BJ54" s="1184"/>
    </row>
    <row s="1840" customFormat="1" customHeight="1" ht="10.5">
      <c r="A55" s="217"/>
      <c r="B55" s="217"/>
      <c r="C55" s="217"/>
      <c r="D55" s="217"/>
      <c r="E55" s="794">
        <v>11.4</v>
      </c>
      <c r="F55" s="919" cm="1" t="str">
        <f t="array" ref="F55:F55">X55</f>
        <v>2</v>
      </c>
      <c r="G55" s="217"/>
      <c r="H55" s="217"/>
      <c r="I55" s="217"/>
      <c r="J55" s="217"/>
      <c r="K55" s="217"/>
      <c r="L55" s="217"/>
      <c r="M55" s="217"/>
      <c r="N55" s="217"/>
      <c r="O55" s="217"/>
      <c r="P55" s="217"/>
      <c r="Q55" s="217"/>
      <c r="R55" s="217"/>
      <c r="S55" s="217"/>
      <c r="T55" s="816">
        <f>X55&gt;0</f>
        <v>1</v>
      </c>
      <c r="U55" s="217"/>
      <c r="V55" s="172" cm="1" t="str">
        <f t="array" ref="V55:V55">ФОТ!$AB$80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55" s="217"/>
      <c r="X55" s="172" t="s">
        <v>343</v>
      </c>
      <c r="Y55" s="217"/>
      <c r="Z55" s="217"/>
      <c r="AA55" s="217"/>
      <c r="AB55" s="287" cm="1" t="str">
        <f t="array" ref="AB55:AB55">IF(ISBLANK(ФОТ!$AB$80),"",ФОТ!$AB$80)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17"/>
      <c r="BE55" s="217"/>
      <c r="BF55" s="1181"/>
      <c r="BG55" s="1181"/>
      <c r="BH55" s="1181"/>
      <c r="BI55" s="1184"/>
      <c r="BJ55" s="1184"/>
    </row>
    <row s="1841" customFormat="1" customHeight="1" ht="29.25">
      <c r="A56" s="217"/>
      <c r="B56" s="217"/>
      <c r="C56" s="217"/>
      <c r="D56" s="217"/>
      <c r="E56" s="794">
        <v>30</v>
      </c>
      <c r="F56" s="919" cm="1" t="str">
        <f t="array" ref="F56:F56">OFFSET(G56,-1,-1)</f>
        <v>2</v>
      </c>
      <c r="G56" s="217"/>
      <c r="H56" s="217"/>
      <c r="I56" s="217"/>
      <c r="J56" s="217"/>
      <c r="K56" s="217"/>
      <c r="L56" s="217"/>
      <c r="M56" s="217"/>
      <c r="N56" s="217"/>
      <c r="O56" s="217"/>
      <c r="P56" s="217"/>
      <c r="Q56" s="217"/>
      <c r="R56" s="217"/>
      <c r="S56" s="217"/>
      <c r="T56" s="805" cm="1" t="str">
        <f t="array" ref="T56:T56">T55</f>
        <v>true</v>
      </c>
      <c r="U56" s="217"/>
      <c r="V56" s="217"/>
      <c r="W56" s="217"/>
      <c r="X56" s="217"/>
      <c r="Y56" s="217"/>
      <c r="Z56" s="217"/>
      <c r="AA56" s="217"/>
      <c r="AB56" s="302">
        <v>1</v>
      </c>
      <c r="AC56" s="284" t="s">
        <v>1243</v>
      </c>
      <c r="AD56" s="277" t="s">
        <v>805</v>
      </c>
      <c r="AE56" s="295">
        <f>SUM(AE57:AE65)</f>
        <v>0</v>
      </c>
      <c r="AF56" s="295">
        <f>SUM(AF57:AF65)</f>
        <v>0</v>
      </c>
      <c r="AG56" s="295">
        <f>SUM(AG57:AG65)</f>
        <v>0</v>
      </c>
      <c r="AH56" s="295">
        <f>SUM(AH57:AH65)</f>
        <v>0</v>
      </c>
      <c r="AI56" s="295">
        <f>SUM(AI57:AI65)</f>
        <v>39</v>
      </c>
      <c r="AJ56" s="295">
        <f>SUM(AJ57:AJ65)</f>
        <v>39</v>
      </c>
      <c r="AK56" s="295">
        <f>SUM(AK57:AK65)</f>
        <v>39</v>
      </c>
      <c r="AL56" s="295">
        <f>SUM(AL57:AL65)</f>
        <v>39</v>
      </c>
      <c r="AM56" s="295">
        <f>SUM(AM57:AM65)</f>
        <v>39</v>
      </c>
      <c r="AN56" s="295">
        <f>SUM(AN57:AN65)</f>
        <v>0</v>
      </c>
      <c r="AO56" s="295">
        <f>SUM(AO57:AO65)</f>
        <v>0</v>
      </c>
      <c r="AP56" s="295">
        <f>SUM(AP57:AP65)</f>
        <v>0</v>
      </c>
      <c r="AQ56" s="295">
        <f>SUM(AQ57:AQ65)</f>
        <v>0</v>
      </c>
      <c r="AR56" s="295">
        <f>SUM(AR57:AR65)</f>
        <v>0</v>
      </c>
      <c r="AS56" s="295">
        <f>SUM(AS57:AS65)</f>
        <v>1</v>
      </c>
      <c r="AT56" s="295">
        <f>SUM(AT57:AT65)</f>
        <v>1</v>
      </c>
      <c r="AU56" s="295">
        <f>SUM(AU57:AU65)</f>
        <v>1</v>
      </c>
      <c r="AV56" s="295">
        <f>SUM(AV57:AV65)</f>
        <v>1</v>
      </c>
      <c r="AW56" s="295">
        <f>SUM(AW57:AW65)</f>
        <v>1</v>
      </c>
      <c r="AX56" s="295">
        <f>SUM(AX57:AX65)</f>
        <v>0</v>
      </c>
      <c r="AY56" s="295">
        <f>SUM(AY57:AY65)</f>
        <v>0</v>
      </c>
      <c r="AZ56" s="295">
        <f>SUM(AZ57:AZ65)</f>
        <v>0</v>
      </c>
      <c r="BA56" s="295">
        <f>SUM(BA57:BA65)</f>
        <v>0</v>
      </c>
      <c r="BB56" s="295">
        <f>SUM(BB57:BB65)</f>
        <v>0</v>
      </c>
      <c r="BC56" s="1730"/>
      <c r="BD56" s="217"/>
      <c r="BE56" s="217"/>
      <c r="BF56" s="1181" t="s">
        <v>1244</v>
      </c>
      <c r="BG56" s="1181"/>
      <c r="BH56" s="1181"/>
      <c r="BI56" s="1184"/>
      <c r="BJ56" s="1184"/>
    </row>
    <row s="1842" customFormat="1" customHeight="1" ht="58.5">
      <c r="A57" s="217"/>
      <c r="B57" s="217"/>
      <c r="C57" s="217"/>
      <c r="D57" s="217"/>
      <c r="E57" s="794">
        <v>60</v>
      </c>
      <c r="F57" s="919" cm="1" t="str">
        <f t="array" ref="F57:F57">OFFSET(G57,-1,-1)</f>
        <v>2</v>
      </c>
      <c r="G57" s="736" t="s">
        <v>1245</v>
      </c>
      <c r="H57" s="217"/>
      <c r="I57" s="217"/>
      <c r="J57" s="217"/>
      <c r="K57" s="217"/>
      <c r="L57" s="217"/>
      <c r="M57" s="217"/>
      <c r="N57" s="217"/>
      <c r="O57" s="217"/>
      <c r="P57" s="217"/>
      <c r="Q57" s="217"/>
      <c r="R57" s="217"/>
      <c r="S57" s="217"/>
      <c r="T57" s="805" cm="1" t="str">
        <f t="array" ref="T57:T57">T56</f>
        <v>true</v>
      </c>
      <c r="U57" s="217"/>
      <c r="V57" s="217"/>
      <c r="W57" s="217"/>
      <c r="X57" s="217"/>
      <c r="Y57" s="217"/>
      <c r="Z57" s="217"/>
      <c r="AA57" s="217"/>
      <c r="AB57" s="285" t="s">
        <v>442</v>
      </c>
      <c r="AC57" s="501" t="s">
        <v>1246</v>
      </c>
      <c r="AD57" s="151" t="s">
        <v>805</v>
      </c>
      <c r="AE57" s="1731"/>
      <c r="AF57" s="1823"/>
      <c r="AG57" s="1823"/>
      <c r="AH57" s="1823"/>
      <c r="AI57" s="297">
        <v>1</v>
      </c>
      <c r="AJ57" s="297">
        <v>1</v>
      </c>
      <c r="AK57" s="297">
        <v>1</v>
      </c>
      <c r="AL57" s="297">
        <v>1</v>
      </c>
      <c r="AM57" s="297">
        <v>1</v>
      </c>
      <c r="AN57" s="1823"/>
      <c r="AO57" s="1823"/>
      <c r="AP57" s="1823"/>
      <c r="AQ57" s="1823"/>
      <c r="AR57" s="1823"/>
      <c r="AS57" s="297">
        <v>0</v>
      </c>
      <c r="AT57" s="297">
        <v>0</v>
      </c>
      <c r="AU57" s="297">
        <v>0</v>
      </c>
      <c r="AV57" s="297">
        <v>0</v>
      </c>
      <c r="AW57" s="297">
        <v>0</v>
      </c>
      <c r="AX57" s="1823"/>
      <c r="AY57" s="1823"/>
      <c r="AZ57" s="1823"/>
      <c r="BA57" s="1823"/>
      <c r="BB57" s="1823"/>
      <c r="BC57" s="1730"/>
      <c r="BD57" s="217"/>
      <c r="BE57" s="217"/>
      <c r="BF57" s="1181" t="s">
        <v>1247</v>
      </c>
      <c r="BG57" s="1181"/>
      <c r="BH57" s="1181"/>
      <c r="BI57" s="1184"/>
      <c r="BJ57" s="1184"/>
    </row>
    <row s="1843" customFormat="1" customHeight="1" ht="16.5">
      <c r="A58" s="217"/>
      <c r="B58" s="217"/>
      <c r="C58" s="217"/>
      <c r="D58" s="217"/>
      <c r="E58" s="794">
        <v>17.1</v>
      </c>
      <c r="F58" s="919" cm="1" t="str">
        <f t="array" ref="F58:F58">OFFSET(G58,-1,-1)</f>
        <v>2</v>
      </c>
      <c r="G58" s="736" t="s">
        <v>1248</v>
      </c>
      <c r="H58" s="210" t="s">
        <v>1249</v>
      </c>
      <c r="I58" s="217"/>
      <c r="J58" s="217"/>
      <c r="K58" s="217"/>
      <c r="L58" s="217"/>
      <c r="M58" s="217"/>
      <c r="N58" s="217"/>
      <c r="O58" s="217"/>
      <c r="P58" s="217"/>
      <c r="Q58" s="217"/>
      <c r="R58" s="217"/>
      <c r="S58" s="217"/>
      <c r="T58" s="805" cm="1" t="str">
        <f t="array" ref="T58:T58">T57</f>
        <v>true</v>
      </c>
      <c r="U58" s="217"/>
      <c r="V58" s="217"/>
      <c r="W58" s="217"/>
      <c r="X58" s="217"/>
      <c r="Y58" s="217"/>
      <c r="Z58" s="217"/>
      <c r="AA58" s="217"/>
      <c r="AB58" s="285" t="s">
        <v>931</v>
      </c>
      <c r="AC58" s="501" t="s">
        <v>1250</v>
      </c>
      <c r="AD58" s="151" t="s">
        <v>805</v>
      </c>
      <c r="AE58" s="1731"/>
      <c r="AF58" s="1823"/>
      <c r="AG58" s="1823"/>
      <c r="AH58" s="1823"/>
      <c r="AI58" s="297"/>
      <c r="AJ58" s="297"/>
      <c r="AK58" s="297"/>
      <c r="AL58" s="297"/>
      <c r="AM58" s="297"/>
      <c r="AN58" s="1823"/>
      <c r="AO58" s="1823"/>
      <c r="AP58" s="1823"/>
      <c r="AQ58" s="1823"/>
      <c r="AR58" s="1823"/>
      <c r="AS58" s="297"/>
      <c r="AT58" s="297"/>
      <c r="AU58" s="297"/>
      <c r="AV58" s="297"/>
      <c r="AW58" s="297"/>
      <c r="AX58" s="1823"/>
      <c r="AY58" s="1823"/>
      <c r="AZ58" s="1823"/>
      <c r="BA58" s="1823"/>
      <c r="BB58" s="1823"/>
      <c r="BC58" s="1730"/>
      <c r="BD58" s="217"/>
      <c r="BE58" s="217"/>
      <c r="BF58" s="1181" t="s">
        <v>1251</v>
      </c>
      <c r="BG58" s="1181"/>
      <c r="BH58" s="1181"/>
      <c r="BI58" s="1184"/>
      <c r="BJ58" s="1184"/>
    </row>
    <row s="1844" customFormat="1" customHeight="1" ht="16.5">
      <c r="A59" s="217"/>
      <c r="B59" s="217"/>
      <c r="C59" s="217"/>
      <c r="D59" s="217"/>
      <c r="E59" s="794">
        <v>17.1</v>
      </c>
      <c r="F59" s="919" cm="1" t="str">
        <f t="array" ref="F59:F59">OFFSET(G59,-1,-1)</f>
        <v>2</v>
      </c>
      <c r="G59" s="736" t="s">
        <v>1252</v>
      </c>
      <c r="H59" s="217"/>
      <c r="I59" s="217"/>
      <c r="J59" s="217"/>
      <c r="K59" s="217"/>
      <c r="L59" s="217"/>
      <c r="M59" s="217"/>
      <c r="N59" s="217"/>
      <c r="O59" s="217"/>
      <c r="P59" s="217"/>
      <c r="Q59" s="217"/>
      <c r="R59" s="217"/>
      <c r="S59" s="217"/>
      <c r="T59" s="805" cm="1" t="str">
        <f t="array" ref="T59:T59">T58</f>
        <v>true</v>
      </c>
      <c r="U59" s="217"/>
      <c r="V59" s="217"/>
      <c r="W59" s="217"/>
      <c r="X59" s="217"/>
      <c r="Y59" s="217"/>
      <c r="Z59" s="217"/>
      <c r="AA59" s="217"/>
      <c r="AB59" s="285" t="s">
        <v>933</v>
      </c>
      <c r="AC59" s="501" t="s">
        <v>1253</v>
      </c>
      <c r="AD59" s="151" t="s">
        <v>805</v>
      </c>
      <c r="AE59" s="1731"/>
      <c r="AF59" s="1823"/>
      <c r="AG59" s="1823"/>
      <c r="AH59" s="1823"/>
      <c r="AI59" s="297"/>
      <c r="AJ59" s="297"/>
      <c r="AK59" s="297"/>
      <c r="AL59" s="297"/>
      <c r="AM59" s="297"/>
      <c r="AN59" s="1823"/>
      <c r="AO59" s="1823"/>
      <c r="AP59" s="1823"/>
      <c r="AQ59" s="1823"/>
      <c r="AR59" s="1823"/>
      <c r="AS59" s="297"/>
      <c r="AT59" s="297"/>
      <c r="AU59" s="297"/>
      <c r="AV59" s="297"/>
      <c r="AW59" s="297"/>
      <c r="AX59" s="1823"/>
      <c r="AY59" s="1823"/>
      <c r="AZ59" s="1823"/>
      <c r="BA59" s="1823"/>
      <c r="BB59" s="1823"/>
      <c r="BC59" s="1730"/>
      <c r="BD59" s="217"/>
      <c r="BE59" s="217"/>
      <c r="BF59" s="1181" t="s">
        <v>1254</v>
      </c>
      <c r="BG59" s="1181"/>
      <c r="BH59" s="1181"/>
      <c r="BI59" s="1184"/>
      <c r="BJ59" s="1184"/>
    </row>
    <row s="1619" customFormat="1" customHeight="1" ht="16.5">
      <c r="A60" s="1461"/>
      <c r="B60" s="924"/>
      <c r="C60" s="1461"/>
      <c r="D60" s="1461"/>
      <c r="E60" s="794">
        <v>17.1</v>
      </c>
      <c r="F60" s="919" cm="1" t="str">
        <f t="array" ref="F60:F60">OFFSET(G60,-1,-1)</f>
        <v>2</v>
      </c>
      <c r="G60" s="736" t="s">
        <v>1248</v>
      </c>
      <c r="H60" s="210" t="s">
        <v>1248</v>
      </c>
      <c r="I60" s="497"/>
      <c r="J60" s="497"/>
      <c r="K60" s="497"/>
      <c r="L60" s="497"/>
      <c r="M60" s="497"/>
      <c r="N60" s="497"/>
      <c r="O60" s="497"/>
      <c r="P60" s="497"/>
      <c r="Q60" s="925"/>
      <c r="R60" s="925"/>
      <c r="S60" s="497"/>
      <c r="T60" s="805" cm="1" t="str">
        <f t="array" ref="T60:T60">T59</f>
        <v>true</v>
      </c>
      <c r="U60" s="1461"/>
      <c r="V60" s="1461"/>
      <c r="W60" s="1461"/>
      <c r="X60" s="1461"/>
      <c r="Y60" s="1461"/>
      <c r="Z60" s="1461"/>
      <c r="AA60" s="217"/>
      <c r="AB60" s="285" t="s">
        <v>937</v>
      </c>
      <c r="AC60" s="501" t="s">
        <v>1255</v>
      </c>
      <c r="AD60" s="151" t="s">
        <v>805</v>
      </c>
      <c r="AE60" s="1831"/>
      <c r="AF60" s="1831"/>
      <c r="AG60" s="1831"/>
      <c r="AH60" s="1831"/>
      <c r="AI60" s="298"/>
      <c r="AJ60" s="298"/>
      <c r="AK60" s="298"/>
      <c r="AL60" s="298"/>
      <c r="AM60" s="298"/>
      <c r="AN60" s="1831"/>
      <c r="AO60" s="1831"/>
      <c r="AP60" s="1831"/>
      <c r="AQ60" s="1831"/>
      <c r="AR60" s="1831"/>
      <c r="AS60" s="298"/>
      <c r="AT60" s="298"/>
      <c r="AU60" s="298"/>
      <c r="AV60" s="298"/>
      <c r="AW60" s="298"/>
      <c r="AX60" s="1831"/>
      <c r="AY60" s="1831"/>
      <c r="AZ60" s="1831"/>
      <c r="BA60" s="1831"/>
      <c r="BB60" s="1831"/>
      <c r="BC60" s="1730"/>
      <c r="BD60" s="217"/>
      <c r="BE60" s="217"/>
      <c r="BF60" s="1181" t="s">
        <v>567</v>
      </c>
      <c r="BG60" s="1216"/>
      <c r="BH60" s="1216"/>
      <c r="BI60" s="1227"/>
      <c r="BJ60" s="1227"/>
    </row>
    <row s="1845" customFormat="1" customHeight="1" ht="16.5">
      <c r="A61" s="217"/>
      <c r="B61" s="217"/>
      <c r="C61" s="217"/>
      <c r="D61" s="217"/>
      <c r="E61" s="794">
        <v>17.1</v>
      </c>
      <c r="F61" s="919" cm="1" t="str">
        <f t="array" ref="F61:F61">OFFSET(G61,-1,-1)</f>
        <v>2</v>
      </c>
      <c r="G61" s="736" t="s">
        <v>1248</v>
      </c>
      <c r="H61" s="210" t="s">
        <v>1256</v>
      </c>
      <c r="I61" s="217"/>
      <c r="J61" s="217"/>
      <c r="K61" s="217"/>
      <c r="L61" s="217"/>
      <c r="M61" s="217"/>
      <c r="N61" s="217"/>
      <c r="O61" s="217"/>
      <c r="P61" s="217"/>
      <c r="Q61" s="217"/>
      <c r="R61" s="217"/>
      <c r="S61" s="217"/>
      <c r="T61" s="805" cm="1" t="str">
        <f t="array" ref="T61:T61">T60</f>
        <v>true</v>
      </c>
      <c r="U61" s="217"/>
      <c r="V61" s="217"/>
      <c r="W61" s="217"/>
      <c r="X61" s="217"/>
      <c r="Y61" s="217"/>
      <c r="Z61" s="217"/>
      <c r="AA61" s="217"/>
      <c r="AB61" s="285" t="s">
        <v>1042</v>
      </c>
      <c r="AC61" s="501" t="s">
        <v>1257</v>
      </c>
      <c r="AD61" s="151" t="s">
        <v>805</v>
      </c>
      <c r="AE61" s="1731"/>
      <c r="AF61" s="1731"/>
      <c r="AG61" s="1731"/>
      <c r="AH61" s="1731"/>
      <c r="AI61" s="296">
        <v>38</v>
      </c>
      <c r="AJ61" s="296">
        <v>38</v>
      </c>
      <c r="AK61" s="296">
        <v>38</v>
      </c>
      <c r="AL61" s="296">
        <v>38</v>
      </c>
      <c r="AM61" s="296">
        <v>38</v>
      </c>
      <c r="AN61" s="1731"/>
      <c r="AO61" s="1731"/>
      <c r="AP61" s="1731"/>
      <c r="AQ61" s="1731"/>
      <c r="AR61" s="1731"/>
      <c r="AS61" s="296">
        <v>1</v>
      </c>
      <c r="AT61" s="296">
        <v>1</v>
      </c>
      <c r="AU61" s="296">
        <v>1</v>
      </c>
      <c r="AV61" s="296">
        <v>1</v>
      </c>
      <c r="AW61" s="296">
        <v>1</v>
      </c>
      <c r="AX61" s="1731"/>
      <c r="AY61" s="1731"/>
      <c r="AZ61" s="1731"/>
      <c r="BA61" s="1731"/>
      <c r="BB61" s="1731"/>
      <c r="BC61" s="1730"/>
      <c r="BD61" s="217"/>
      <c r="BE61" s="217"/>
      <c r="BF61" s="1181" t="s">
        <v>563</v>
      </c>
      <c r="BG61" s="1181"/>
      <c r="BH61" s="1181"/>
      <c r="BI61" s="1184"/>
      <c r="BJ61" s="1184"/>
    </row>
    <row s="1846" customFormat="1" customHeight="1" ht="16.5">
      <c r="A62" s="217"/>
      <c r="B62" s="217"/>
      <c r="C62" s="217"/>
      <c r="D62" s="217"/>
      <c r="E62" s="794">
        <v>17.1</v>
      </c>
      <c r="F62" s="919" cm="1" t="str">
        <f t="array" ref="F62:F62">OFFSET(G62,-1,-1)</f>
        <v>2</v>
      </c>
      <c r="G62" s="736" t="s">
        <v>1248</v>
      </c>
      <c r="H62" s="210" t="s">
        <v>1258</v>
      </c>
      <c r="I62" s="217"/>
      <c r="J62" s="217"/>
      <c r="K62" s="217"/>
      <c r="L62" s="217"/>
      <c r="M62" s="217"/>
      <c r="N62" s="217"/>
      <c r="O62" s="217"/>
      <c r="P62" s="217"/>
      <c r="Q62" s="217"/>
      <c r="R62" s="217"/>
      <c r="S62" s="217"/>
      <c r="T62" s="805" cm="1" t="str">
        <f t="array" ref="T62:T62">T61</f>
        <v>true</v>
      </c>
      <c r="U62" s="217"/>
      <c r="V62" s="217"/>
      <c r="W62" s="217"/>
      <c r="X62" s="217"/>
      <c r="Y62" s="217"/>
      <c r="Z62" s="217"/>
      <c r="AA62" s="217"/>
      <c r="AB62" s="285" t="s">
        <v>1045</v>
      </c>
      <c r="AC62" s="501" t="s">
        <v>1259</v>
      </c>
      <c r="AD62" s="151" t="s">
        <v>805</v>
      </c>
      <c r="AE62" s="1731"/>
      <c r="AF62" s="1731"/>
      <c r="AG62" s="1731"/>
      <c r="AH62" s="1731"/>
      <c r="AI62" s="296"/>
      <c r="AJ62" s="296"/>
      <c r="AK62" s="296"/>
      <c r="AL62" s="296"/>
      <c r="AM62" s="296"/>
      <c r="AN62" s="1731"/>
      <c r="AO62" s="1731"/>
      <c r="AP62" s="1731"/>
      <c r="AQ62" s="1731"/>
      <c r="AR62" s="1731"/>
      <c r="AS62" s="296"/>
      <c r="AT62" s="296"/>
      <c r="AU62" s="296"/>
      <c r="AV62" s="296"/>
      <c r="AW62" s="296"/>
      <c r="AX62" s="1731"/>
      <c r="AY62" s="1731"/>
      <c r="AZ62" s="1731"/>
      <c r="BA62" s="1731"/>
      <c r="BB62" s="1731"/>
      <c r="BC62" s="1730"/>
      <c r="BD62" s="217"/>
      <c r="BE62" s="217"/>
      <c r="BF62" s="1181" t="s">
        <v>1260</v>
      </c>
      <c r="BG62" s="1181"/>
      <c r="BH62" s="1181"/>
      <c r="BI62" s="1184"/>
      <c r="BJ62" s="1184"/>
    </row>
    <row s="1847" customFormat="1" customHeight="1" ht="16.5">
      <c r="A63" s="217"/>
      <c r="B63" s="217"/>
      <c r="C63" s="217"/>
      <c r="D63" s="217"/>
      <c r="E63" s="794">
        <v>17.1</v>
      </c>
      <c r="F63" s="919" cm="1" t="str">
        <f t="array" ref="F63:F63">OFFSET(G63,-1,-1)</f>
        <v>2</v>
      </c>
      <c r="G63" s="736" t="s">
        <v>1261</v>
      </c>
      <c r="H63" s="217"/>
      <c r="I63" s="217"/>
      <c r="J63" s="217"/>
      <c r="K63" s="217"/>
      <c r="L63" s="217"/>
      <c r="M63" s="217"/>
      <c r="N63" s="217"/>
      <c r="O63" s="217"/>
      <c r="P63" s="217"/>
      <c r="Q63" s="217"/>
      <c r="R63" s="217"/>
      <c r="S63" s="217"/>
      <c r="T63" s="805" cm="1" t="str">
        <f t="array" ref="T63:T63">T62</f>
        <v>true</v>
      </c>
      <c r="U63" s="217"/>
      <c r="V63" s="217"/>
      <c r="W63" s="217"/>
      <c r="X63" s="217"/>
      <c r="Y63" s="217"/>
      <c r="Z63" s="217"/>
      <c r="AA63" s="217"/>
      <c r="AB63" s="285" t="s">
        <v>1048</v>
      </c>
      <c r="AC63" s="501" t="s">
        <v>1262</v>
      </c>
      <c r="AD63" s="151" t="s">
        <v>805</v>
      </c>
      <c r="AE63" s="1731"/>
      <c r="AF63" s="1731"/>
      <c r="AG63" s="1731"/>
      <c r="AH63" s="1731"/>
      <c r="AI63" s="296"/>
      <c r="AJ63" s="296"/>
      <c r="AK63" s="296"/>
      <c r="AL63" s="296"/>
      <c r="AM63" s="296"/>
      <c r="AN63" s="1731"/>
      <c r="AO63" s="1731"/>
      <c r="AP63" s="1731"/>
      <c r="AQ63" s="1731"/>
      <c r="AR63" s="1731"/>
      <c r="AS63" s="296"/>
      <c r="AT63" s="296"/>
      <c r="AU63" s="296"/>
      <c r="AV63" s="296"/>
      <c r="AW63" s="296"/>
      <c r="AX63" s="1731"/>
      <c r="AY63" s="1731"/>
      <c r="AZ63" s="1731"/>
      <c r="BA63" s="1731"/>
      <c r="BB63" s="1731"/>
      <c r="BC63" s="1730"/>
      <c r="BD63" s="217"/>
      <c r="BE63" s="217"/>
      <c r="BF63" s="1181" t="s">
        <v>571</v>
      </c>
      <c r="BG63" s="1181"/>
      <c r="BH63" s="1181"/>
      <c r="BI63" s="1184"/>
      <c r="BJ63" s="1184"/>
    </row>
    <row s="1848" customFormat="1" customHeight="1" ht="16.5">
      <c r="A64" s="217"/>
      <c r="B64" s="217"/>
      <c r="C64" s="217"/>
      <c r="D64" s="217"/>
      <c r="E64" s="794">
        <v>17.1</v>
      </c>
      <c r="F64" s="919" cm="1" t="str">
        <f t="array" ref="F64:F64">OFFSET(G64,-1,-1)</f>
        <v>2</v>
      </c>
      <c r="G64" s="736" t="s">
        <v>1248</v>
      </c>
      <c r="H64" s="210" t="s">
        <v>1263</v>
      </c>
      <c r="I64" s="217"/>
      <c r="J64" s="217"/>
      <c r="K64" s="217"/>
      <c r="L64" s="217"/>
      <c r="M64" s="217"/>
      <c r="N64" s="217"/>
      <c r="O64" s="217"/>
      <c r="P64" s="217"/>
      <c r="Q64" s="217"/>
      <c r="R64" s="217"/>
      <c r="S64" s="217"/>
      <c r="T64" s="805" cm="1" t="str">
        <f t="array" ref="T64:T64">T63</f>
        <v>true</v>
      </c>
      <c r="U64" s="217"/>
      <c r="V64" s="217"/>
      <c r="W64" s="217"/>
      <c r="X64" s="217"/>
      <c r="Y64" s="217"/>
      <c r="Z64" s="217"/>
      <c r="AA64" s="217"/>
      <c r="AB64" s="285" t="s">
        <v>1051</v>
      </c>
      <c r="AC64" s="501" t="s">
        <v>1264</v>
      </c>
      <c r="AD64" s="151" t="s">
        <v>805</v>
      </c>
      <c r="AE64" s="1731"/>
      <c r="AF64" s="1731"/>
      <c r="AG64" s="1731"/>
      <c r="AH64" s="1731"/>
      <c r="AI64" s="296"/>
      <c r="AJ64" s="296"/>
      <c r="AK64" s="296"/>
      <c r="AL64" s="296"/>
      <c r="AM64" s="296"/>
      <c r="AN64" s="1731"/>
      <c r="AO64" s="1731"/>
      <c r="AP64" s="1731"/>
      <c r="AQ64" s="1731"/>
      <c r="AR64" s="1731"/>
      <c r="AS64" s="296"/>
      <c r="AT64" s="296"/>
      <c r="AU64" s="296"/>
      <c r="AV64" s="296"/>
      <c r="AW64" s="296"/>
      <c r="AX64" s="1731"/>
      <c r="AY64" s="1731"/>
      <c r="AZ64" s="1731"/>
      <c r="BA64" s="1731"/>
      <c r="BB64" s="1731"/>
      <c r="BC64" s="1730"/>
      <c r="BD64" s="217"/>
      <c r="BE64" s="217"/>
      <c r="BF64" s="1181" t="s">
        <v>1265</v>
      </c>
      <c r="BG64" s="1181"/>
      <c r="BH64" s="1181"/>
      <c r="BI64" s="1184"/>
      <c r="BJ64" s="1184"/>
    </row>
    <row s="1849" customFormat="1" customHeight="1" ht="16.5">
      <c r="A65" s="217"/>
      <c r="B65" s="217"/>
      <c r="C65" s="217"/>
      <c r="D65" s="217"/>
      <c r="E65" s="794">
        <v>17.1</v>
      </c>
      <c r="F65" s="919" cm="1" t="str">
        <f t="array" ref="F65:F65">OFFSET(G65,-1,-1)</f>
        <v>2</v>
      </c>
      <c r="G65" s="736" t="s">
        <v>1248</v>
      </c>
      <c r="H65" s="210" t="s">
        <v>1248</v>
      </c>
      <c r="I65" s="217"/>
      <c r="J65" s="217"/>
      <c r="K65" s="217"/>
      <c r="L65" s="217"/>
      <c r="M65" s="217"/>
      <c r="N65" s="217"/>
      <c r="O65" s="217"/>
      <c r="P65" s="217"/>
      <c r="Q65" s="217"/>
      <c r="R65" s="217"/>
      <c r="S65" s="217"/>
      <c r="T65" s="805" cm="1" t="str">
        <f t="array" ref="T65:T65">T64</f>
        <v>true</v>
      </c>
      <c r="U65" s="217"/>
      <c r="V65" s="217"/>
      <c r="W65" s="217"/>
      <c r="X65" s="217"/>
      <c r="Y65" s="217"/>
      <c r="Z65" s="217"/>
      <c r="AA65" s="217"/>
      <c r="AB65" s="285" t="s">
        <v>1266</v>
      </c>
      <c r="AC65" s="501" t="s">
        <v>1267</v>
      </c>
      <c r="AD65" s="151" t="s">
        <v>805</v>
      </c>
      <c r="AE65" s="364">
        <f>SUM(AE66:AE68)</f>
        <v>0</v>
      </c>
      <c r="AF65" s="364">
        <f>SUM(AF66:AF68)</f>
        <v>0</v>
      </c>
      <c r="AG65" s="364">
        <f>SUM(AG66:AG68)</f>
        <v>0</v>
      </c>
      <c r="AH65" s="364">
        <f>SUM(AH66:AH68)</f>
        <v>0</v>
      </c>
      <c r="AI65" s="364">
        <f>SUM(AI66:AI68)</f>
        <v>0</v>
      </c>
      <c r="AJ65" s="364">
        <f>SUM(AJ66:AJ68)</f>
        <v>0</v>
      </c>
      <c r="AK65" s="364">
        <f>SUM(AK66:AK68)</f>
        <v>0</v>
      </c>
      <c r="AL65" s="364">
        <f>SUM(AL66:AL68)</f>
        <v>0</v>
      </c>
      <c r="AM65" s="364">
        <f>SUM(AM66:AM68)</f>
        <v>0</v>
      </c>
      <c r="AN65" s="364">
        <f>SUM(AN66:AN68)</f>
        <v>0</v>
      </c>
      <c r="AO65" s="364">
        <f>SUM(AO66:AO68)</f>
        <v>0</v>
      </c>
      <c r="AP65" s="364">
        <f>SUM(AP66:AP68)</f>
        <v>0</v>
      </c>
      <c r="AQ65" s="364">
        <f>SUM(AQ66:AQ68)</f>
        <v>0</v>
      </c>
      <c r="AR65" s="364">
        <f>SUM(AR66:AR68)</f>
        <v>0</v>
      </c>
      <c r="AS65" s="364">
        <f>SUM(AS66:AS68)</f>
        <v>0</v>
      </c>
      <c r="AT65" s="364">
        <f>SUM(AT66:AT68)</f>
        <v>0</v>
      </c>
      <c r="AU65" s="364">
        <f>SUM(AU66:AU68)</f>
        <v>0</v>
      </c>
      <c r="AV65" s="364">
        <f>SUM(AV66:AV68)</f>
        <v>0</v>
      </c>
      <c r="AW65" s="364">
        <f>SUM(AW66:AW68)</f>
        <v>0</v>
      </c>
      <c r="AX65" s="364">
        <f>SUM(AX66:AX68)</f>
        <v>0</v>
      </c>
      <c r="AY65" s="364">
        <f>SUM(AY66:AY68)</f>
        <v>0</v>
      </c>
      <c r="AZ65" s="364">
        <f>SUM(AZ66:AZ68)</f>
        <v>0</v>
      </c>
      <c r="BA65" s="364">
        <f>SUM(BA66:BA68)</f>
        <v>0</v>
      </c>
      <c r="BB65" s="364">
        <f>SUM(BB66:BB68)</f>
        <v>0</v>
      </c>
      <c r="BC65" s="1730"/>
      <c r="BD65" s="217"/>
      <c r="BE65" s="217"/>
      <c r="BF65" s="1181" t="s">
        <v>1194</v>
      </c>
      <c r="BG65" s="1181"/>
      <c r="BH65" s="1181"/>
      <c r="BI65" s="1184"/>
      <c r="BJ65" s="1184"/>
    </row>
    <row s="1619" customFormat="1" customHeight="1" ht="17.25" hidden="1">
      <c r="A66" s="1461"/>
      <c r="B66" s="924"/>
      <c r="C66" s="1461"/>
      <c r="D66" s="1461"/>
      <c r="E66" s="794">
        <v>0</v>
      </c>
      <c r="F66" s="919" cm="1" t="str">
        <f t="array" ref="F66:F66">OFFSET(G66,-1,-1)</f>
        <v>2</v>
      </c>
      <c r="G66" s="497"/>
      <c r="H66" s="497"/>
      <c r="I66" s="497"/>
      <c r="J66" s="497"/>
      <c r="K66" s="497"/>
      <c r="L66" s="497"/>
      <c r="M66" s="497"/>
      <c r="N66" s="497"/>
      <c r="O66" s="497"/>
      <c r="P66" s="497"/>
      <c r="Q66" s="925"/>
      <c r="R66" s="925"/>
      <c r="S66" s="497"/>
      <c r="T66" s="805" cm="1" t="str">
        <f t="array" ref="T66:T66">T65</f>
        <v>true</v>
      </c>
      <c r="U66" s="1461"/>
      <c r="V66" s="1461"/>
      <c r="W66" s="1461"/>
      <c r="X66" s="1461"/>
      <c r="Y66" s="1461"/>
      <c r="Z66" s="1461"/>
      <c r="AA66" s="217"/>
      <c r="AB66" s="309"/>
      <c r="AC66" s="286"/>
      <c r="AD66" s="151"/>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151"/>
      <c r="BD66" s="217"/>
      <c r="BE66" s="217"/>
      <c r="BF66" s="1181" t="str">
        <f>IF(AND(ISNUMBER(VALUE(TRIM(SUBSTITUTE(AB66,".","")))),TRIM(SUBSTITUTE(AB66,".",""))&lt;&gt;""),"P"&amp;SUBSTITUTE(AB66,".",""),"")</f>
        <v/>
      </c>
      <c r="BG66" s="1216"/>
      <c r="BH66" s="1216"/>
      <c r="BI66" s="1227"/>
      <c r="BJ66" s="1227"/>
    </row>
    <row s="1850" customFormat="1" customHeight="1" ht="16.5" hidden="1">
      <c r="A67" s="217"/>
      <c r="B67" s="217"/>
      <c r="C67" s="217"/>
      <c r="D67" s="217"/>
      <c r="E67" s="794">
        <v>17.1</v>
      </c>
      <c r="F67" s="919" cm="1" t="str">
        <f t="array" ref="F67:F67">OFFSET(G67,-1,-1)</f>
        <v>2</v>
      </c>
      <c r="G67" s="217"/>
      <c r="H67" s="210" cm="1" t="str">
        <f t="array" ref="H67:H67">AC67</f>
        <v>0</v>
      </c>
      <c r="I67" s="217"/>
      <c r="J67" s="217"/>
      <c r="K67" s="217"/>
      <c r="L67" s="217"/>
      <c r="M67" s="217"/>
      <c r="N67" s="217"/>
      <c r="O67" s="217"/>
      <c r="P67" s="217"/>
      <c r="Q67" s="217"/>
      <c r="R67" s="217"/>
      <c r="S67" s="217"/>
      <c r="T67" s="805">
        <f>AND(OFFSET(U67,1,-1),Y67&gt;0)</f>
        <v>0</v>
      </c>
      <c r="U67" s="217"/>
      <c r="V67" s="217"/>
      <c r="W67" s="172" t="s">
        <v>233</v>
      </c>
      <c r="X67" s="217"/>
      <c r="Y67" s="172">
        <v>0</v>
      </c>
      <c r="Z67" s="217"/>
      <c r="AA67" s="914" t="s">
        <v>217</v>
      </c>
      <c r="AB67" s="151" t="str">
        <f>"1.9."&amp;Y67</f>
        <v>1.9.0</v>
      </c>
      <c r="AC67" s="109"/>
      <c r="AD67" s="151" t="s">
        <v>805</v>
      </c>
      <c r="AE67" s="74"/>
      <c r="AF67" s="107"/>
      <c r="AG67" s="107"/>
      <c r="AH67" s="107"/>
      <c r="AI67" s="297"/>
      <c r="AJ67" s="297"/>
      <c r="AK67" s="297"/>
      <c r="AL67" s="297"/>
      <c r="AM67" s="297"/>
      <c r="AN67" s="107"/>
      <c r="AO67" s="107"/>
      <c r="AP67" s="107"/>
      <c r="AQ67" s="107"/>
      <c r="AR67" s="107"/>
      <c r="AS67" s="297"/>
      <c r="AT67" s="297"/>
      <c r="AU67" s="297"/>
      <c r="AV67" s="297"/>
      <c r="AW67" s="297"/>
      <c r="AX67" s="107"/>
      <c r="AY67" s="107"/>
      <c r="AZ67" s="107"/>
      <c r="BA67" s="107"/>
      <c r="BB67" s="107"/>
      <c r="BC67" s="73"/>
      <c r="BD67" s="217"/>
      <c r="BE67" s="217"/>
      <c r="BF67" s="1181" t="s">
        <v>1268</v>
      </c>
      <c r="BG67" s="1181" t="s">
        <v>1269</v>
      </c>
      <c r="BH67" s="1229" cm="1" t="str">
        <f t="array" ref="BH67:BH67">AC67</f>
        <v>0</v>
      </c>
      <c r="BI67" s="1184"/>
      <c r="BJ67" s="1184" t="b">
        <v>1</v>
      </c>
    </row>
    <row s="1851" customFormat="1" customHeight="1" ht="10.5">
      <c r="A68" s="217"/>
      <c r="B68" s="217"/>
      <c r="C68" s="217"/>
      <c r="D68" s="217"/>
      <c r="E68" s="794">
        <v>11.4</v>
      </c>
      <c r="F68" s="919" cm="1" t="str">
        <f t="array" ref="F68:F68">OFFSET(G68,-1,-1)</f>
        <v>2</v>
      </c>
      <c r="G68" s="217"/>
      <c r="H68" s="217"/>
      <c r="I68" s="217"/>
      <c r="J68" s="217"/>
      <c r="K68" s="217"/>
      <c r="L68" s="217"/>
      <c r="M68" s="217"/>
      <c r="N68" s="217"/>
      <c r="O68" s="217"/>
      <c r="P68" s="217"/>
      <c r="Q68" s="217"/>
      <c r="R68" s="217"/>
      <c r="S68" s="217"/>
      <c r="T68" s="805" cm="1" t="str">
        <f t="array" ref="T68:T68">T65</f>
        <v>true</v>
      </c>
      <c r="U68" s="217"/>
      <c r="V68" s="217"/>
      <c r="W68" s="371" t="s">
        <v>947</v>
      </c>
      <c r="X68" s="217"/>
      <c r="Y68" s="217"/>
      <c r="Z68" s="217"/>
      <c r="AA68" s="217"/>
      <c r="AB68" s="500"/>
      <c r="AC68" s="300" t="s">
        <v>235</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1"/>
      <c r="BD68" s="217"/>
      <c r="BE68" s="217"/>
      <c r="BF68" s="1181"/>
      <c r="BG68" s="1181"/>
      <c r="BH68" s="1181"/>
      <c r="BI68" s="1184" t="s">
        <v>1269</v>
      </c>
      <c r="BJ68" s="1184"/>
    </row>
    <row customHeight="1" ht="11.115">
      <c r="E69" s="922">
        <v>11.4</v>
      </c>
      <c r="U69" s="176" t="s">
        <v>235</v>
      </c>
      <c r="V69" s="168" t="s">
        <v>1270</v>
      </c>
      <c r="AB69" s="217"/>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1.25" hidden="1">
      <c r="E70" s="922">
        <v>0</v>
      </c>
      <c r="AI70" s="217"/>
      <c r="AJ70" s="217"/>
      <c r="AK70" s="217"/>
      <c r="AL70" s="217"/>
      <c r="AM70" s="217"/>
      <c r="AN70" s="217"/>
      <c r="AO70" s="217"/>
      <c r="AP70" s="217"/>
      <c r="AQ70" s="217"/>
      <c r="AR70" s="217"/>
      <c r="AS70" s="217"/>
      <c r="AT70" s="217"/>
      <c r="AU70" s="217"/>
      <c r="AV70" s="217"/>
      <c r="AW70" s="217"/>
      <c r="AX70" s="217"/>
      <c r="AY70" s="217"/>
      <c r="AZ70" s="217"/>
      <c r="BA70" s="217"/>
      <c r="BB70" s="217"/>
    </row>
    <row s="497" customFormat="1" customHeight="1" ht="14.625">
      <c r="A71" s="172"/>
      <c r="B71" s="785"/>
      <c r="C71" s="172"/>
      <c r="D71" s="172"/>
      <c r="E71" s="794">
        <v>15</v>
      </c>
      <c r="F71" s="172"/>
      <c r="Q71" s="736"/>
      <c r="R71" s="736"/>
      <c r="T71" s="172"/>
      <c r="U71" s="172"/>
      <c r="V71" s="172"/>
      <c r="W71" s="172"/>
      <c r="X71" s="172"/>
      <c r="Y71" s="172"/>
      <c r="Z71" s="172"/>
      <c r="AB71" s="1527" t="s">
        <v>700</v>
      </c>
      <c r="AC71" s="1527"/>
      <c r="AD71" s="1527"/>
      <c r="AE71" s="1527"/>
      <c r="AF71" s="1527"/>
      <c r="AG71" s="1527"/>
      <c r="AH71" s="1527"/>
      <c r="AI71" s="1528"/>
      <c r="AJ71" s="1528"/>
      <c r="AK71" s="1528"/>
      <c r="AL71" s="1528"/>
      <c r="AM71" s="1528"/>
      <c r="AN71" s="1528"/>
      <c r="AO71" s="1528"/>
      <c r="AP71" s="1528"/>
      <c r="AQ71" s="1528"/>
      <c r="AR71" s="1528"/>
      <c r="AS71" s="1528"/>
      <c r="AT71" s="1528"/>
      <c r="AU71" s="1528"/>
      <c r="AV71" s="1528"/>
      <c r="AW71" s="1528"/>
      <c r="AX71" s="1528"/>
      <c r="AY71" s="1528"/>
      <c r="AZ71" s="1528"/>
      <c r="BA71" s="1528"/>
      <c r="BB71" s="1528"/>
      <c r="BC71" s="1528"/>
      <c r="BF71" s="1181"/>
      <c r="BG71" s="1181"/>
      <c r="BH71" s="1181"/>
      <c r="BI71" s="1184"/>
      <c r="BJ71" s="1184"/>
    </row>
    <row s="497" customFormat="1" customHeight="1" ht="14.625">
      <c r="A72" s="172"/>
      <c r="B72" s="785"/>
      <c r="C72" s="172"/>
      <c r="D72" s="172"/>
      <c r="E72" s="794">
        <v>15</v>
      </c>
      <c r="F72" s="172"/>
      <c r="Q72" s="736"/>
      <c r="R72" s="736"/>
      <c r="T72" s="172"/>
      <c r="U72" s="172"/>
      <c r="V72" s="172"/>
      <c r="W72" s="172"/>
      <c r="X72" s="172"/>
      <c r="Y72" s="172"/>
      <c r="Z72" s="172"/>
      <c r="AA72" s="918"/>
      <c r="AB72" s="1529"/>
      <c r="AC72" s="1529"/>
      <c r="AD72" s="1529"/>
      <c r="AE72" s="1529"/>
      <c r="AF72" s="1529"/>
      <c r="AG72" s="1529"/>
      <c r="AH72" s="1529"/>
      <c r="AI72" s="1530"/>
      <c r="AJ72" s="1530"/>
      <c r="AK72" s="1530"/>
      <c r="AL72" s="1530"/>
      <c r="AM72" s="1530"/>
      <c r="AN72" s="1796"/>
      <c r="AO72" s="1796"/>
      <c r="AP72" s="1796"/>
      <c r="AQ72" s="1796"/>
      <c r="AR72" s="1796"/>
      <c r="AS72" s="1530"/>
      <c r="AT72" s="1530"/>
      <c r="AU72" s="1530"/>
      <c r="AV72" s="1530"/>
      <c r="AW72" s="1530"/>
      <c r="AX72" s="1796"/>
      <c r="AY72" s="1796"/>
      <c r="AZ72" s="1796"/>
      <c r="BA72" s="1796"/>
      <c r="BB72" s="1796"/>
      <c r="BC72" s="1530"/>
      <c r="BF72" s="1181"/>
      <c r="BG72" s="1181"/>
      <c r="BH72" s="1181"/>
      <c r="BI72" s="1184"/>
      <c r="BJ72" s="1184"/>
    </row>
    <row s="497" customFormat="1" customHeight="1" ht="14.625" hidden="1">
      <c r="A73" s="172"/>
      <c r="B73" s="785"/>
      <c r="C73" s="172"/>
      <c r="D73" s="172"/>
      <c r="E73" s="794">
        <v>15</v>
      </c>
      <c r="F73" s="172"/>
      <c r="G73" s="497"/>
      <c r="H73" s="497"/>
      <c r="I73" s="497"/>
      <c r="J73" s="497"/>
      <c r="K73" s="497"/>
      <c r="L73" s="497"/>
      <c r="M73" s="497"/>
      <c r="N73" s="497"/>
      <c r="O73" s="497"/>
      <c r="P73" s="497"/>
      <c r="Q73" s="736"/>
      <c r="R73" s="736"/>
      <c r="S73" s="497"/>
      <c r="T73" s="805">
        <f>ROW(W73)&gt;ROW(W$73)</f>
        <v>0</v>
      </c>
      <c r="U73" s="172"/>
      <c r="V73" s="176"/>
      <c r="W73" s="172" t="s">
        <v>233</v>
      </c>
      <c r="X73" s="172"/>
      <c r="Y73" s="172"/>
      <c r="Z73" s="172"/>
      <c r="AA73" s="914" t="s">
        <v>217</v>
      </c>
      <c r="AB73" s="1797"/>
      <c r="AC73" s="1797"/>
      <c r="AD73" s="1797"/>
      <c r="AE73" s="1797"/>
      <c r="AF73" s="1797"/>
      <c r="AG73" s="1797"/>
      <c r="AH73" s="1797"/>
      <c r="AI73" s="1530"/>
      <c r="AJ73" s="1530"/>
      <c r="AK73" s="1530"/>
      <c r="AL73" s="1530"/>
      <c r="AM73" s="1530"/>
      <c r="AN73" s="1796"/>
      <c r="AO73" s="1796"/>
      <c r="AP73" s="1796"/>
      <c r="AQ73" s="1796"/>
      <c r="AR73" s="1796"/>
      <c r="AS73" s="1530"/>
      <c r="AT73" s="1530"/>
      <c r="AU73" s="1530"/>
      <c r="AV73" s="1530"/>
      <c r="AW73" s="1530"/>
      <c r="AX73" s="1796"/>
      <c r="AY73" s="1796"/>
      <c r="AZ73" s="1796"/>
      <c r="BA73" s="1796"/>
      <c r="BB73" s="1796"/>
      <c r="BC73" s="1796"/>
      <c r="BD73" s="497"/>
      <c r="BE73" s="497"/>
      <c r="BF73" s="1181"/>
      <c r="BG73" s="1181"/>
      <c r="BH73" s="1181"/>
      <c r="BI73" s="1184"/>
      <c r="BJ73" s="1184"/>
    </row>
    <row s="497" customFormat="1" customHeight="1" ht="14.625">
      <c r="A74" s="172"/>
      <c r="B74" s="785"/>
      <c r="C74" s="172"/>
      <c r="D74" s="172"/>
      <c r="E74" s="794">
        <v>15</v>
      </c>
      <c r="F74" s="172"/>
      <c r="Q74" s="736"/>
      <c r="R74" s="736"/>
      <c r="T74" s="172"/>
      <c r="U74" s="172"/>
      <c r="V74" s="172"/>
      <c r="W74" s="168" t="s">
        <v>1271</v>
      </c>
      <c r="X74" s="172"/>
      <c r="Y74" s="172"/>
      <c r="Z74" s="172"/>
      <c r="AB74" s="1475" t="s">
        <v>701</v>
      </c>
      <c r="AC74" s="1476"/>
      <c r="AD74" s="380"/>
      <c r="AE74" s="380"/>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82"/>
      <c r="BF74" s="1181"/>
      <c r="BG74" s="1181"/>
      <c r="BH74" s="1181"/>
      <c r="BI74" s="1184"/>
      <c r="BJ74" s="1184"/>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217"/>
    </row>
  </sheetData>
  <sheetProtection formatColumns="0" formatRows="0" insertRows="0" deleteColumns="0" deleteRows="0" sort="0" autoFilter="0" insertColumns="1"/>
  <mergeCells count="14">
    <mergeCell ref="X27:X40"/>
    <mergeCell ref="Z27:Z40"/>
    <mergeCell ref="AB74:AC74"/>
    <mergeCell ref="AB71:BC71"/>
    <mergeCell ref="AB72:BC72"/>
    <mergeCell ref="AB24:AB25"/>
    <mergeCell ref="AC24:AC25"/>
    <mergeCell ref="AD24:AD25"/>
    <mergeCell ref="BC24:BC25"/>
    <mergeCell ref="AB73:BC73"/>
    <mergeCell ref="X41:X54"/>
    <mergeCell ref="Z41:Z54"/>
    <mergeCell ref="X55:X68"/>
    <mergeCell ref="Z55:Z68"/>
  </mergeCells>
  <dataValidations count="2">
    <dataValidation allowBlank="1" showInputMessage="1" showErrorMessage="1" sqref="AI38:BB38 AI70:BC65530 AI52 AJ52 AK52 AL52 AM52 AN52 AO52 AP52 AQ52 AR52 AS52 AT52 AU52 AV52 AW52 AX52 AY52 AZ52 BA52 BB52 AI66 AJ66 AK66 AL66 AM66 AN66 AO66 AP66 AQ66 AR66 AS66 AT66 AU66 AV66 AW66 AX66 AY66 AZ66 BA66 BB66"/>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21844A-65D8-5A5A-9628-D69B9EC66E7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B27" s="1014">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c r="A30" s="1440"/>
      <c r="B30" s="1014" cm="1" t="str">
        <f t="array" ref="B30:B30">'Баланс Пр'!$A$1</f>
        <v>true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19</v>
      </c>
      <c r="AC30" s="394" t="s">
        <v>32</v>
      </c>
      <c r="AD30" s="408" t="s">
        <v>33</v>
      </c>
      <c r="AE30" s="390"/>
      <c r="AF30" s="390"/>
      <c r="AG30" s="820"/>
    </row>
    <row customHeight="1" ht="27.202499999999997" hidden="1">
      <c r="A31" s="1440"/>
      <c r="B31" s="1014" cm="1" t="str">
        <f t="array" ref="B31:B31">'Баланс Тр'!$A$1</f>
        <v>false</v>
      </c>
      <c r="C31" s="1440"/>
      <c r="D31" s="1440"/>
      <c r="E31" s="794">
        <v>27.9</v>
      </c>
      <c r="F31" s="1440"/>
      <c r="G31" s="1440"/>
      <c r="H31" s="176">
        <f>IF(B30,H30+1,H30)</f>
        <v>8</v>
      </c>
      <c r="I31" s="1440"/>
      <c r="J31" s="1440"/>
      <c r="K31" s="1440"/>
      <c r="L31" s="1440"/>
      <c r="M31" s="1440"/>
      <c r="N31" s="1440"/>
      <c r="O31" s="1440"/>
      <c r="P31" s="1440"/>
      <c r="Q31" s="1440"/>
      <c r="R31" s="1440"/>
      <c r="S31" s="1440"/>
      <c r="T31" s="1440"/>
      <c r="U31" s="1440"/>
      <c r="V31" s="1440"/>
      <c r="W31" s="1440"/>
      <c r="X31" s="1440"/>
      <c r="Y31" s="1440"/>
      <c r="Z31" s="1440"/>
      <c r="AA31" s="934"/>
      <c r="AB31" s="393" t="s">
        <v>30</v>
      </c>
      <c r="AC31" s="394" t="s">
        <v>34</v>
      </c>
      <c r="AD31" s="395" t="s">
        <v>35</v>
      </c>
      <c r="AE31" s="390"/>
      <c r="AF31" s="390"/>
      <c r="AG31" s="820"/>
    </row>
    <row customHeight="1" ht="27.202499999999997">
      <c r="B32" s="1014">
        <f>NOT(method_reg="Метод сравнения аналогов")</f>
        <v>1</v>
      </c>
      <c r="E32" s="794">
        <v>27.9</v>
      </c>
      <c r="H32" s="176" cm="1" t="str">
        <f t="array" ref="H32:H32">IF(B31,H31+1,H31)</f>
        <v>8</v>
      </c>
      <c r="AB32" s="393" t="s">
        <v>19</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19</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c r="A38" s="1440"/>
      <c r="B38" s="1014">
        <f>AND(god=first_year,NOT(method_reg="Метод сравнения аналогов"))</f>
        <v>1</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19</v>
      </c>
      <c r="AC38" s="394" t="s">
        <v>48</v>
      </c>
      <c r="AD38" s="408" t="s">
        <v>49</v>
      </c>
      <c r="AE38" s="390"/>
      <c r="AF38" s="390"/>
      <c r="AG38" s="820"/>
    </row>
    <row customHeight="1" ht="27.105">
      <c r="B39" s="1014">
        <f>NOT(method_reg="Метод сравнения аналогов")</f>
        <v>1</v>
      </c>
      <c r="E39" s="794">
        <v>27.8</v>
      </c>
      <c r="H39" s="176">
        <f>IF(B38,H38+1,H38)</f>
        <v>15</v>
      </c>
      <c r="AB39" s="393" t="s">
        <v>19</v>
      </c>
      <c r="AC39" s="394" t="s">
        <v>50</v>
      </c>
      <c r="AD39" s="394" t="s">
        <v>51</v>
      </c>
    </row>
    <row customHeight="1" ht="28.567500000000006">
      <c r="B40" s="1014">
        <f>NOT(method_reg="Метод сравнения аналогов")</f>
        <v>1</v>
      </c>
      <c r="E40" s="794">
        <v>29.3</v>
      </c>
      <c r="H40" s="176">
        <f>IF(B39,H39+1,H39)</f>
        <v>16</v>
      </c>
      <c r="AB40" s="393" t="s">
        <v>19</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17</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18</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19</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20</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21</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22</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22</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23</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23</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23</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23</v>
      </c>
      <c r="AB51" s="393" t="s">
        <v>19</v>
      </c>
      <c r="AC51" s="394" t="s">
        <v>74</v>
      </c>
      <c r="AD51" s="395" t="s">
        <v>75</v>
      </c>
    </row>
    <row customHeight="1" ht="27.202499999999997">
      <c r="B52" s="1014">
        <f>NOT(method_reg="Метод сравнения аналогов")</f>
        <v>1</v>
      </c>
      <c r="E52" s="794">
        <v>27.9</v>
      </c>
      <c r="H52" s="176">
        <f>IF(B51,H51+1,H51)</f>
        <v>24</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25</v>
      </c>
      <c r="I53" s="1440"/>
      <c r="J53" s="1440"/>
      <c r="K53" s="1440"/>
      <c r="L53" s="1440"/>
      <c r="M53" s="1440"/>
      <c r="N53" s="1440"/>
      <c r="O53" s="1440"/>
      <c r="P53" s="1440"/>
      <c r="Q53" s="1440"/>
      <c r="R53" s="1440"/>
      <c r="S53" s="1440"/>
      <c r="T53" s="1440"/>
      <c r="U53" s="1440"/>
      <c r="V53" s="1440"/>
      <c r="W53" s="1440"/>
      <c r="X53" s="1440"/>
      <c r="Y53" s="1440"/>
      <c r="Z53" s="1440"/>
      <c r="AA53" s="934"/>
      <c r="AB53" s="393" t="s">
        <v>19</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F901B-BA29-1FE5-64D9-1063D1F9B7E8}" mc:Ignorable="x14ac xr xr2 xr3">
  <sheetPr>
    <tabColor rgb="FF002060"/>
    <outlinePr summaryRight="0" summaryBelow="0"/>
  </sheetPr>
  <dimension ref="A1:BB57"/>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2" style="217" width="12.6328125" customWidth="1"/>
    <col min="33" max="33" style="217" width="18.1328125" customWidth="1"/>
    <col min="34" max="35" style="217" width="12.6328125" customWidth="1"/>
    <col min="36" max="40" style="217" width="12.6328125" hidden="1" customWidth="1"/>
    <col min="41" max="45" style="217" width="12.6328125" customWidth="1"/>
    <col min="46"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376</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377</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430</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431</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432</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390</v>
      </c>
      <c r="AC24" s="1464" t="s">
        <v>722</v>
      </c>
      <c r="AD24" s="1464" t="s">
        <v>434</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587</v>
      </c>
    </row>
    <row customHeight="1" ht="56.355">
      <c r="E25" s="794">
        <v>57.8</v>
      </c>
      <c r="AB25" s="1465"/>
      <c r="AC25" s="1464"/>
      <c r="AD25" s="1464"/>
      <c r="AE25" s="1355" t="s">
        <v>1272</v>
      </c>
      <c r="AF25" s="1355" t="s">
        <v>1272</v>
      </c>
      <c r="AG25" s="1355" t="s">
        <v>1272</v>
      </c>
      <c r="AH25" s="1355" t="s">
        <v>1272</v>
      </c>
      <c r="AI25" s="1355" t="s">
        <v>1272</v>
      </c>
      <c r="AJ25" s="1355" t="s">
        <v>1272</v>
      </c>
      <c r="AK25" s="1355" t="s">
        <v>1272</v>
      </c>
      <c r="AL25" s="1355" t="s">
        <v>1272</v>
      </c>
      <c r="AM25" s="1355" t="s">
        <v>1272</v>
      </c>
      <c r="AN25" s="1355" t="s">
        <v>1272</v>
      </c>
      <c r="AO25" s="166" t="s">
        <v>407</v>
      </c>
      <c r="AP25" s="166" t="s">
        <v>407</v>
      </c>
      <c r="AQ25" s="166" t="s">
        <v>407</v>
      </c>
      <c r="AR25" s="166" t="s">
        <v>407</v>
      </c>
      <c r="AS25" s="166" t="s">
        <v>407</v>
      </c>
      <c r="AT25" s="166" t="s">
        <v>407</v>
      </c>
      <c r="AU25" s="166" t="s">
        <v>407</v>
      </c>
      <c r="AV25" s="166" t="s">
        <v>407</v>
      </c>
      <c r="AW25" s="166" t="s">
        <v>407</v>
      </c>
      <c r="AX25" s="166" t="s">
        <v>407</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309</v>
      </c>
      <c r="X27" s="172">
        <v>0</v>
      </c>
      <c r="AB27" s="317" cm="1" t="str">
        <f t="array" ref="AB27:AB27">INDEX('Общие сведения'!$AG$169:$AG$218,MATCH($F27,'Общие сведения'!$Z$169:$Z$218,0))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335</v>
      </c>
      <c r="AC28" s="160" t="s">
        <v>1273</v>
      </c>
      <c r="AD28" s="322" t="s">
        <v>805</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3"/>
      <c r="BB28" s="1203" t="s">
        <v>1274</v>
      </c>
    </row>
    <row customHeight="1" ht="16.575" hidden="1">
      <c r="E29" s="794">
        <v>17</v>
      </c>
      <c r="F29" s="919" cm="1" t="str">
        <f t="array" ref="F29:F29">F28</f>
        <v>0</v>
      </c>
      <c r="T29" s="805" cm="1" t="str">
        <f t="array" ref="T29:T29">T28</f>
        <v>false</v>
      </c>
      <c r="AB29" s="170" t="s">
        <v>442</v>
      </c>
      <c r="AC29" s="161" t="s">
        <v>1275</v>
      </c>
      <c r="AD29" s="170" t="s">
        <v>805</v>
      </c>
      <c r="AE29" s="297"/>
      <c r="AF29" s="325"/>
      <c r="AG29" s="325"/>
      <c r="AH29" s="325"/>
      <c r="AI29" s="325"/>
      <c r="AJ29" s="110"/>
      <c r="AK29" s="110"/>
      <c r="AL29" s="110"/>
      <c r="AM29" s="110"/>
      <c r="AN29" s="110"/>
      <c r="AO29" s="297"/>
      <c r="AP29" s="325"/>
      <c r="AQ29" s="325"/>
      <c r="AR29" s="325"/>
      <c r="AS29" s="325"/>
      <c r="AT29" s="110"/>
      <c r="AU29" s="110"/>
      <c r="AV29" s="110"/>
      <c r="AW29" s="110"/>
      <c r="AX29" s="110"/>
      <c r="AY29" s="73"/>
      <c r="BB29" s="1203" t="s">
        <v>1276</v>
      </c>
    </row>
    <row customHeight="1" ht="16.575" hidden="1">
      <c r="E30" s="794">
        <v>17</v>
      </c>
      <c r="F30" s="919" cm="1" t="str">
        <f t="array" ref="F30:F30">F29</f>
        <v>0</v>
      </c>
      <c r="T30" s="805" cm="1" t="str">
        <f t="array" ref="T30:T30">T29</f>
        <v>false</v>
      </c>
      <c r="AB30" s="170" t="s">
        <v>931</v>
      </c>
      <c r="AC30" s="161" t="s">
        <v>1277</v>
      </c>
      <c r="AD30" s="170" t="s">
        <v>805</v>
      </c>
      <c r="AE30" s="297"/>
      <c r="AF30" s="325"/>
      <c r="AG30" s="325"/>
      <c r="AH30" s="325"/>
      <c r="AI30" s="325"/>
      <c r="AJ30" s="110"/>
      <c r="AK30" s="110"/>
      <c r="AL30" s="110"/>
      <c r="AM30" s="110"/>
      <c r="AN30" s="110"/>
      <c r="AO30" s="297"/>
      <c r="AP30" s="325"/>
      <c r="AQ30" s="325"/>
      <c r="AR30" s="325"/>
      <c r="AS30" s="325"/>
      <c r="AT30" s="110"/>
      <c r="AU30" s="110"/>
      <c r="AV30" s="110"/>
      <c r="AW30" s="110"/>
      <c r="AX30" s="110"/>
      <c r="AY30" s="73"/>
      <c r="BB30" s="1203" t="s">
        <v>1278</v>
      </c>
    </row>
    <row customHeight="1" ht="33.345000000000006" hidden="1">
      <c r="E31" s="794">
        <v>34.2</v>
      </c>
      <c r="F31" s="919" cm="1" t="str">
        <f t="array" ref="F31:F31">F30</f>
        <v>0</v>
      </c>
      <c r="T31" s="805" cm="1" t="str">
        <f t="array" ref="T31:T31">T30</f>
        <v>false</v>
      </c>
      <c r="AB31" s="170" t="s">
        <v>933</v>
      </c>
      <c r="AC31" s="161" t="s">
        <v>1279</v>
      </c>
      <c r="AD31" s="170" t="s">
        <v>805</v>
      </c>
      <c r="AE31" s="297"/>
      <c r="AF31" s="325"/>
      <c r="AG31" s="325"/>
      <c r="AH31" s="325"/>
      <c r="AI31" s="325"/>
      <c r="AJ31" s="110"/>
      <c r="AK31" s="110"/>
      <c r="AL31" s="110"/>
      <c r="AM31" s="110"/>
      <c r="AN31" s="110"/>
      <c r="AO31" s="297"/>
      <c r="AP31" s="325"/>
      <c r="AQ31" s="325"/>
      <c r="AR31" s="325"/>
      <c r="AS31" s="325"/>
      <c r="AT31" s="110"/>
      <c r="AU31" s="110"/>
      <c r="AV31" s="110"/>
      <c r="AW31" s="110"/>
      <c r="AX31" s="110"/>
      <c r="AY31" s="73"/>
      <c r="BB31" s="1203" t="s">
        <v>1280</v>
      </c>
    </row>
    <row customHeight="1" ht="16.575" hidden="1">
      <c r="E32" s="794">
        <v>17</v>
      </c>
      <c r="F32" s="919" cm="1" t="str">
        <f t="array" ref="F32:F32">F31</f>
        <v>0</v>
      </c>
      <c r="T32" s="805" cm="1" t="str">
        <f t="array" ref="T32:T32">T31</f>
        <v>false</v>
      </c>
      <c r="AB32" s="170" t="s">
        <v>343</v>
      </c>
      <c r="AC32" s="320" t="s">
        <v>1281</v>
      </c>
      <c r="AD32" s="170" t="s">
        <v>490</v>
      </c>
      <c r="AE32" s="1140">
        <f>_xlfn.SUMIFS(Сценарии!AE$25:AE$110,Сценарии!$F$25:$F$110,$F32,Сценарии!$AC$25:$AC$110,"Индекс потребительских цен")</f>
        <v>0</v>
      </c>
      <c r="AF32" s="1140">
        <f>_xlfn.SUMIFS(Сценарии!AF$25:AF$110,Сценарии!$F$25:$F$110,$F32,Сценарии!$AC$25:$AC$110,"Индекс потребительских цен")</f>
        <v>0</v>
      </c>
      <c r="AG32" s="1140">
        <f>_xlfn.SUMIFS(Сценарии!AG$25:AG$110,Сценарии!$F$25:$F$110,$F32,Сценарии!$AC$25:$AC$110,"Индекс потребительских цен")</f>
        <v>0</v>
      </c>
      <c r="AH32" s="1140">
        <f>_xlfn.SUMIFS(Сценарии!AH$25:AH$110,Сценарии!$F$25:$F$110,$F32,Сценарии!$AC$25:$AC$110,"Индекс потребительских цен")</f>
        <v>0</v>
      </c>
      <c r="AI32" s="1140">
        <f>_xlfn.SUMIFS(Сценарии!AI$25:AI$110,Сценарии!$F$25:$F$110,$F32,Сценарии!$AC$25:$AC$110,"Индекс потребительских цен")</f>
        <v>0</v>
      </c>
      <c r="AJ32" s="1140">
        <f>_xlfn.SUMIFS(Сценарии!AJ$25:AJ$110,Сценарии!$F$25:$F$110,$F32,Сценарии!$AC$25:$AC$110,"Индекс потребительских цен")</f>
        <v>0</v>
      </c>
      <c r="AK32" s="1140">
        <f>_xlfn.SUMIFS(Сценарии!AK$25:AK$110,Сценарии!$F$25:$F$110,$F32,Сценарии!$AC$25:$AC$110,"Индекс потребительских цен")</f>
        <v>0</v>
      </c>
      <c r="AL32" s="1140">
        <f>_xlfn.SUMIFS(Сценарии!AL$25:AL$110,Сценарии!$F$25:$F$110,$F32,Сценарии!$AC$25:$AC$110,"Индекс потребительских цен")</f>
        <v>0</v>
      </c>
      <c r="AM32" s="1140">
        <f>_xlfn.SUMIFS(Сценарии!AM$25:AM$110,Сценарии!$F$25:$F$110,$F32,Сценарии!$AC$25:$AC$110,"Индекс потребительских цен")</f>
        <v>0</v>
      </c>
      <c r="AN32" s="1140">
        <f>_xlfn.SUMIFS(Сценарии!AN$25:AN$110,Сценарии!$F$25:$F$110,$F32,Сценарии!$AC$25:$AC$110,"Индекс потребительских цен")</f>
        <v>0</v>
      </c>
      <c r="AO32" s="1140">
        <f>_xlfn.SUMIFS(Сценарии!AO$25:AO$110,Сценарии!$F$25:$F$110,$F32,Сценарии!$AC$25:$AC$110,"Индекс потребительских цен")</f>
        <v>0</v>
      </c>
      <c r="AP32" s="1140">
        <f>_xlfn.SUMIFS(Сценарии!AP$25:AP$110,Сценарии!$F$25:$F$110,$F32,Сценарии!$AC$25:$AC$110,"Индекс потребительских цен")</f>
        <v>0</v>
      </c>
      <c r="AQ32" s="1140">
        <f>_xlfn.SUMIFS(Сценарии!AQ$25:AQ$110,Сценарии!$F$25:$F$110,$F32,Сценарии!$AC$25:$AC$110,"Индекс потребительских цен")</f>
        <v>0</v>
      </c>
      <c r="AR32" s="1140">
        <f>_xlfn.SUMIFS(Сценарии!AR$25:AR$110,Сценарии!$F$25:$F$110,$F32,Сценарии!$AC$25:$AC$110,"Индекс потребительских цен")</f>
        <v>0</v>
      </c>
      <c r="AS32" s="1140">
        <f>_xlfn.SUMIFS(Сценарии!AS$25:AS$110,Сценарии!$F$25:$F$110,$F32,Сценарии!$AC$25:$AC$110,"Индекс потребительских цен")</f>
        <v>0</v>
      </c>
      <c r="AT32" s="1140">
        <f>_xlfn.SUMIFS(Сценарии!AT$25:AT$110,Сценарии!$F$25:$F$110,$F32,Сценарии!$AC$25:$AC$110,"Индекс потребительских цен")</f>
        <v>0</v>
      </c>
      <c r="AU32" s="1140">
        <f>_xlfn.SUMIFS(Сценарии!AU$25:AU$110,Сценарии!$F$25:$F$110,$F32,Сценарии!$AC$25:$AC$110,"Индекс потребительских цен")</f>
        <v>0</v>
      </c>
      <c r="AV32" s="1140">
        <f>_xlfn.SUMIFS(Сценарии!AV$25:AV$110,Сценарии!$F$25:$F$110,$F32,Сценарии!$AC$25:$AC$110,"Индекс потребительских цен")</f>
        <v>0</v>
      </c>
      <c r="AW32" s="1140">
        <f>_xlfn.SUMIFS(Сценарии!AW$25:AW$110,Сценарии!$F$25:$F$110,$F32,Сценарии!$AC$25:$AC$110,"Индекс потребительских цен")</f>
        <v>0</v>
      </c>
      <c r="AX32" s="1140">
        <f>_xlfn.SUMIFS(Сценарии!AX$25:AX$110,Сценарии!$F$25:$F$110,$F32,Сценарии!$AC$25:$AC$110,"Индекс потребительских цен")</f>
        <v>0</v>
      </c>
      <c r="AY32" s="73"/>
      <c r="BB32" s="1203" t="s">
        <v>505</v>
      </c>
    </row>
    <row customHeight="1" ht="16.575" hidden="1">
      <c r="E33" s="794">
        <v>17</v>
      </c>
      <c r="F33" s="919" cm="1" t="str">
        <f t="array" ref="F33:F33">F32</f>
        <v>0</v>
      </c>
      <c r="T33" s="805" cm="1" t="str">
        <f t="array" ref="T33:T33">T32</f>
        <v>false</v>
      </c>
      <c r="AB33" s="321">
        <v>3</v>
      </c>
      <c r="AC33" s="320" t="s">
        <v>1282</v>
      </c>
      <c r="AD33" s="170"/>
      <c r="AE33" s="385">
        <f>1+AE32%</f>
        <v>1</v>
      </c>
      <c r="AF33" s="386">
        <f>AE33*(1+AF32%)</f>
        <v>1</v>
      </c>
      <c r="AG33" s="386">
        <f>AF33*(1+AG32%)</f>
        <v>1</v>
      </c>
      <c r="AH33" s="386">
        <f>AG33*(1+AH32%)</f>
        <v>1</v>
      </c>
      <c r="AI33" s="386">
        <f>AH33*(1+AI32%)</f>
        <v>1</v>
      </c>
      <c r="AJ33" s="111">
        <f>AI33*(1+AJ32%)</f>
        <v>1</v>
      </c>
      <c r="AK33" s="111">
        <f>AJ33*(1+AK32%)</f>
        <v>1</v>
      </c>
      <c r="AL33" s="111">
        <f>AK33*(1+AL32%)</f>
        <v>1</v>
      </c>
      <c r="AM33" s="111">
        <f>AL33*(1+AM32%)</f>
        <v>1</v>
      </c>
      <c r="AN33" s="111">
        <f>AM33*(1+AN32%)</f>
        <v>1</v>
      </c>
      <c r="AO33" s="385">
        <f>1+AO32%</f>
        <v>1</v>
      </c>
      <c r="AP33" s="386">
        <f>AO33*(1+AP32%)</f>
        <v>1</v>
      </c>
      <c r="AQ33" s="386">
        <f>AP33*(1+AQ32%)</f>
        <v>1</v>
      </c>
      <c r="AR33" s="386">
        <f>AQ33*(1+AR32%)</f>
        <v>1</v>
      </c>
      <c r="AS33" s="386">
        <f>AR33*(1+AS32%)</f>
        <v>1</v>
      </c>
      <c r="AT33" s="111">
        <f>AS33*(1+AT32%)</f>
        <v>1</v>
      </c>
      <c r="AU33" s="111">
        <f>AT33*(1+AU32%)</f>
        <v>1</v>
      </c>
      <c r="AV33" s="111">
        <f>AU33*(1+AV32%)</f>
        <v>1</v>
      </c>
      <c r="AW33" s="111">
        <f>AV33*(1+AW32%)</f>
        <v>1</v>
      </c>
      <c r="AX33" s="111">
        <f>AW33*(1+AX32%)</f>
        <v>1</v>
      </c>
      <c r="AY33" s="73"/>
      <c r="BB33" s="1203" t="s">
        <v>1283</v>
      </c>
    </row>
    <row s="316" customFormat="1" customHeight="1" ht="16.575" hidden="1">
      <c r="E34" s="794">
        <v>17</v>
      </c>
      <c r="F34" s="919" cm="1" t="str">
        <f t="array" ref="F34:F34">F33</f>
        <v>0</v>
      </c>
      <c r="G34" s="736" t="s">
        <v>1284</v>
      </c>
      <c r="T34" s="805" cm="1" t="str">
        <f t="array" ref="T34:T34">T33</f>
        <v>false</v>
      </c>
      <c r="AB34" s="322" t="s">
        <v>624</v>
      </c>
      <c r="AC34" s="160" t="s">
        <v>1285</v>
      </c>
      <c r="AD34" s="322" t="s">
        <v>805</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3"/>
      <c r="BB34" s="1203" t="s">
        <v>1286</v>
      </c>
    </row>
    <row s="1619"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W35" s="1461"/>
      <c r="X35" s="172" t="s">
        <v>335</v>
      </c>
      <c r="Y35" s="1461"/>
      <c r="Z35" s="1461"/>
      <c r="AA35" s="217"/>
      <c r="AB35" s="317" cm="1" t="str">
        <f t="array" ref="AB35:AB35">IF(ISBLANK(Налоги!$AB$41),"",Налоги!$AB$41)</f>
        <v>Тариф 1 (Теплоснабжение) - Тариф на тепловую энергию (мощность), поставляемую потребителям (Тариф: Носитель - горячая вода (Т); Носитель - горячая вода (Т))</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853"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335</v>
      </c>
      <c r="AC36" s="160" t="s">
        <v>1273</v>
      </c>
      <c r="AD36" s="322" t="s">
        <v>805</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30"/>
      <c r="AZ36" s="316"/>
      <c r="BA36" s="316"/>
      <c r="BB36" s="1203" t="s">
        <v>1274</v>
      </c>
    </row>
    <row s="1619"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442</v>
      </c>
      <c r="AC37" s="161" t="s">
        <v>1275</v>
      </c>
      <c r="AD37" s="170" t="s">
        <v>805</v>
      </c>
      <c r="AE37" s="297"/>
      <c r="AF37" s="325"/>
      <c r="AG37" s="325"/>
      <c r="AH37" s="325"/>
      <c r="AI37" s="325"/>
      <c r="AJ37" s="1855"/>
      <c r="AK37" s="1855"/>
      <c r="AL37" s="1855"/>
      <c r="AM37" s="1855"/>
      <c r="AN37" s="1855"/>
      <c r="AO37" s="297"/>
      <c r="AP37" s="325"/>
      <c r="AQ37" s="325"/>
      <c r="AR37" s="325"/>
      <c r="AS37" s="325"/>
      <c r="AT37" s="1855"/>
      <c r="AU37" s="1855"/>
      <c r="AV37" s="1855"/>
      <c r="AW37" s="1855"/>
      <c r="AX37" s="1855"/>
      <c r="AY37" s="1730"/>
      <c r="AZ37" s="217"/>
      <c r="BA37" s="217"/>
      <c r="BB37" s="1203" t="s">
        <v>1276</v>
      </c>
    </row>
    <row s="1619"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931</v>
      </c>
      <c r="AC38" s="161" t="s">
        <v>1277</v>
      </c>
      <c r="AD38" s="170" t="s">
        <v>805</v>
      </c>
      <c r="AE38" s="297"/>
      <c r="AF38" s="325"/>
      <c r="AG38" s="325"/>
      <c r="AH38" s="325"/>
      <c r="AI38" s="325"/>
      <c r="AJ38" s="1855"/>
      <c r="AK38" s="1855"/>
      <c r="AL38" s="1855"/>
      <c r="AM38" s="1855"/>
      <c r="AN38" s="1855"/>
      <c r="AO38" s="297"/>
      <c r="AP38" s="325"/>
      <c r="AQ38" s="325"/>
      <c r="AR38" s="325"/>
      <c r="AS38" s="325"/>
      <c r="AT38" s="1855"/>
      <c r="AU38" s="1855"/>
      <c r="AV38" s="1855"/>
      <c r="AW38" s="1855"/>
      <c r="AX38" s="1855"/>
      <c r="AY38" s="1730"/>
      <c r="AZ38" s="217"/>
      <c r="BA38" s="217"/>
      <c r="BB38" s="1203" t="s">
        <v>1278</v>
      </c>
    </row>
    <row s="1619"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933</v>
      </c>
      <c r="AC39" s="161" t="s">
        <v>1279</v>
      </c>
      <c r="AD39" s="170" t="s">
        <v>805</v>
      </c>
      <c r="AE39" s="297"/>
      <c r="AF39" s="325"/>
      <c r="AG39" s="325"/>
      <c r="AH39" s="325"/>
      <c r="AI39" s="325"/>
      <c r="AJ39" s="1855"/>
      <c r="AK39" s="1855"/>
      <c r="AL39" s="1855"/>
      <c r="AM39" s="1855"/>
      <c r="AN39" s="1855"/>
      <c r="AO39" s="297"/>
      <c r="AP39" s="325"/>
      <c r="AQ39" s="325"/>
      <c r="AR39" s="325"/>
      <c r="AS39" s="325"/>
      <c r="AT39" s="1855"/>
      <c r="AU39" s="1855"/>
      <c r="AV39" s="1855"/>
      <c r="AW39" s="1855"/>
      <c r="AX39" s="1855"/>
      <c r="AY39" s="1730"/>
      <c r="AZ39" s="217"/>
      <c r="BA39" s="217"/>
      <c r="BB39" s="1203" t="s">
        <v>1280</v>
      </c>
    </row>
    <row s="1619"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343</v>
      </c>
      <c r="AC40" s="320" t="s">
        <v>1281</v>
      </c>
      <c r="AD40" s="170" t="s">
        <v>490</v>
      </c>
      <c r="AE40" s="1140">
        <f>_xlfn.SUMIFS(Сценарии!AE$25:AE$110,Сценарии!$F$25:$F$110,$F40,Сценарии!$AC$25:$AC$110,"Индекс потребительских цен")</f>
        <v>5.1</v>
      </c>
      <c r="AF40" s="1140">
        <f>_xlfn.SUMIFS(Сценарии!AF$25:AF$110,Сценарии!$F$25:$F$110,$F40,Сценарии!$AC$25:$AC$110,"Индекс потребительских цен")</f>
        <v>4</v>
      </c>
      <c r="AG40" s="1140">
        <f>_xlfn.SUMIFS(Сценарии!AG$25:AG$110,Сценарии!$F$25:$F$110,$F40,Сценарии!$AC$25:$AC$110,"Индекс потребительских цен")</f>
        <v>4</v>
      </c>
      <c r="AH40" s="1140">
        <f>_xlfn.SUMIFS(Сценарии!AH$25:AH$110,Сценарии!$F$25:$F$110,$F40,Сценарии!$AC$25:$AC$110,"Индекс потребительских цен")</f>
        <v>4</v>
      </c>
      <c r="AI40" s="1140">
        <f>_xlfn.SUMIFS(Сценарии!AI$25:AI$110,Сценарии!$F$25:$F$110,$F40,Сценарии!$AC$25:$AC$110,"Индекс потребительских цен")</f>
        <v>4</v>
      </c>
      <c r="AJ40" s="1140">
        <f>_xlfn.SUMIFS(Сценарии!AJ$25:AJ$110,Сценарии!$F$25:$F$110,$F40,Сценарии!$AC$25:$AC$110,"Индекс потребительских цен")</f>
        <v>0</v>
      </c>
      <c r="AK40" s="1140">
        <f>_xlfn.SUMIFS(Сценарии!AK$25:AK$110,Сценарии!$F$25:$F$110,$F40,Сценарии!$AC$25:$AC$110,"Индекс потребительских цен")</f>
        <v>0</v>
      </c>
      <c r="AL40" s="1140">
        <f>_xlfn.SUMIFS(Сценарии!AL$25:AL$110,Сценарии!$F$25:$F$110,$F40,Сценарии!$AC$25:$AC$110,"Индекс потребительских цен")</f>
        <v>0</v>
      </c>
      <c r="AM40" s="1140">
        <f>_xlfn.SUMIFS(Сценарии!AM$25:AM$110,Сценарии!$F$25:$F$110,$F40,Сценарии!$AC$25:$AC$110,"Индекс потребительских цен")</f>
        <v>0</v>
      </c>
      <c r="AN40" s="1140">
        <f>_xlfn.SUMIFS(Сценарии!AN$25:AN$110,Сценарии!$F$25:$F$110,$F40,Сценарии!$AC$25:$AC$110,"Индекс потребительских цен")</f>
        <v>0</v>
      </c>
      <c r="AO40" s="1140">
        <f>_xlfn.SUMIFS(Сценарии!AO$25:AO$110,Сценарии!$F$25:$F$110,$F40,Сценарии!$AC$25:$AC$110,"Индекс потребительских цен")</f>
        <v>5.1</v>
      </c>
      <c r="AP40" s="1140">
        <f>_xlfn.SUMIFS(Сценарии!AP$25:AP$110,Сценарии!$F$25:$F$110,$F40,Сценарии!$AC$25:$AC$110,"Индекс потребительских цен")</f>
        <v>4</v>
      </c>
      <c r="AQ40" s="1140">
        <f>_xlfn.SUMIFS(Сценарии!AQ$25:AQ$110,Сценарии!$F$25:$F$110,$F40,Сценарии!$AC$25:$AC$110,"Индекс потребительских цен")</f>
        <v>4</v>
      </c>
      <c r="AR40" s="1140">
        <f>_xlfn.SUMIFS(Сценарии!AR$25:AR$110,Сценарии!$F$25:$F$110,$F40,Сценарии!$AC$25:$AC$110,"Индекс потребительских цен")</f>
        <v>4</v>
      </c>
      <c r="AS40" s="1140">
        <f>_xlfn.SUMIFS(Сценарии!AS$25:AS$110,Сценарии!$F$25:$F$110,$F40,Сценарии!$AC$25:$AC$110,"Индекс потребительских цен")</f>
        <v>4</v>
      </c>
      <c r="AT40" s="1140">
        <f>_xlfn.SUMIFS(Сценарии!AT$25:AT$110,Сценарии!$F$25:$F$110,$F40,Сценарии!$AC$25:$AC$110,"Индекс потребительских цен")</f>
        <v>0</v>
      </c>
      <c r="AU40" s="1140">
        <f>_xlfn.SUMIFS(Сценарии!AU$25:AU$110,Сценарии!$F$25:$F$110,$F40,Сценарии!$AC$25:$AC$110,"Индекс потребительских цен")</f>
        <v>0</v>
      </c>
      <c r="AV40" s="1140">
        <f>_xlfn.SUMIFS(Сценарии!AV$25:AV$110,Сценарии!$F$25:$F$110,$F40,Сценарии!$AC$25:$AC$110,"Индекс потребительских цен")</f>
        <v>0</v>
      </c>
      <c r="AW40" s="1140">
        <f>_xlfn.SUMIFS(Сценарии!AW$25:AW$110,Сценарии!$F$25:$F$110,$F40,Сценарии!$AC$25:$AC$110,"Индекс потребительских цен")</f>
        <v>0</v>
      </c>
      <c r="AX40" s="1140">
        <f>_xlfn.SUMIFS(Сценарии!AX$25:AX$110,Сценарии!$F$25:$F$110,$F40,Сценарии!$AC$25:$AC$110,"Индекс потребительских цен")</f>
        <v>0</v>
      </c>
      <c r="AY40" s="1730"/>
      <c r="AZ40" s="217"/>
      <c r="BA40" s="217"/>
      <c r="BB40" s="1203" t="s">
        <v>505</v>
      </c>
    </row>
    <row s="1619"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1282</v>
      </c>
      <c r="AD41" s="170"/>
      <c r="AE41" s="385">
        <f>1+AE40%</f>
        <v>1.051</v>
      </c>
      <c r="AF41" s="386">
        <f>AE41*(1+AF40%)</f>
        <v>1.09304</v>
      </c>
      <c r="AG41" s="386">
        <f>AF41*(1+AG40%)</f>
        <v>1.1367616</v>
      </c>
      <c r="AH41" s="386">
        <f>AG41*(1+AH40%)</f>
        <v>1.182232064</v>
      </c>
      <c r="AI41" s="386">
        <f>AH41*(1+AI40%)</f>
        <v>1.22952134656</v>
      </c>
      <c r="AJ41" s="1858">
        <f>AI41*(1+AJ40%)</f>
        <v>1.22952134656</v>
      </c>
      <c r="AK41" s="1858">
        <f>AJ41*(1+AK40%)</f>
        <v>1.22952134656</v>
      </c>
      <c r="AL41" s="1858">
        <f>AK41*(1+AL40%)</f>
        <v>1.22952134656</v>
      </c>
      <c r="AM41" s="1858">
        <f>AL41*(1+AM40%)</f>
        <v>1.22952134656</v>
      </c>
      <c r="AN41" s="1858">
        <f>AM41*(1+AN40%)</f>
        <v>1.22952134656</v>
      </c>
      <c r="AO41" s="385">
        <f>1+AO40%</f>
        <v>1.051</v>
      </c>
      <c r="AP41" s="386">
        <f>AO41*(1+AP40%)</f>
        <v>1.09304</v>
      </c>
      <c r="AQ41" s="386">
        <f>AP41*(1+AQ40%)</f>
        <v>1.1367616</v>
      </c>
      <c r="AR41" s="386">
        <f>AQ41*(1+AR40%)</f>
        <v>1.182232064</v>
      </c>
      <c r="AS41" s="386">
        <f>AR41*(1+AS40%)</f>
        <v>1.22952134656</v>
      </c>
      <c r="AT41" s="1858">
        <f>AS41*(1+AT40%)</f>
        <v>1.22952134656</v>
      </c>
      <c r="AU41" s="1858">
        <f>AT41*(1+AU40%)</f>
        <v>1.22952134656</v>
      </c>
      <c r="AV41" s="1858">
        <f>AU41*(1+AV40%)</f>
        <v>1.22952134656</v>
      </c>
      <c r="AW41" s="1858">
        <f>AV41*(1+AW40%)</f>
        <v>1.22952134656</v>
      </c>
      <c r="AX41" s="1858">
        <f>AW41*(1+AX40%)</f>
        <v>1.22952134656</v>
      </c>
      <c r="AY41" s="1730"/>
      <c r="AZ41" s="217"/>
      <c r="BA41" s="217"/>
      <c r="BB41" s="1203" t="s">
        <v>1283</v>
      </c>
    </row>
    <row s="1859" customFormat="1" customHeight="1" ht="16.5">
      <c r="A42" s="316"/>
      <c r="B42" s="316"/>
      <c r="C42" s="316"/>
      <c r="D42" s="316"/>
      <c r="E42" s="794">
        <v>17</v>
      </c>
      <c r="F42" s="919" cm="1" t="str">
        <f t="array" ref="F42:F42">F41</f>
        <v>1</v>
      </c>
      <c r="G42" s="736" t="s">
        <v>1284</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624</v>
      </c>
      <c r="AC42" s="160" t="s">
        <v>1285</v>
      </c>
      <c r="AD42" s="322" t="s">
        <v>805</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30"/>
      <c r="AZ42" s="316"/>
      <c r="BA42" s="316"/>
      <c r="BB42" s="1203" t="s">
        <v>1286</v>
      </c>
    </row>
    <row s="1619" customFormat="1" customHeight="1" ht="16.5">
      <c r="A43" s="1461"/>
      <c r="B43" s="924"/>
      <c r="C43" s="1461"/>
      <c r="D43" s="1461"/>
      <c r="E43" s="794">
        <v>17</v>
      </c>
      <c r="F43" s="919" cm="1" t="str">
        <f t="array" ref="F43:F43">X43</f>
        <v>2</v>
      </c>
      <c r="G43" s="497"/>
      <c r="H43" s="497"/>
      <c r="I43" s="497"/>
      <c r="J43" s="497"/>
      <c r="K43" s="497"/>
      <c r="L43" s="497"/>
      <c r="M43" s="497"/>
      <c r="N43" s="497"/>
      <c r="O43" s="497"/>
      <c r="P43" s="497"/>
      <c r="Q43" s="925"/>
      <c r="R43" s="925"/>
      <c r="S43" s="497"/>
      <c r="T43" s="805">
        <f>X43&gt;0</f>
        <v>1</v>
      </c>
      <c r="U43" s="1461"/>
      <c r="V43" s="172" cm="1" t="str">
        <f t="array" ref="V43:V43">Налоги!$AB$55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43" s="1461"/>
      <c r="X43" s="172" t="s">
        <v>343</v>
      </c>
      <c r="Y43" s="1461"/>
      <c r="Z43" s="1461"/>
      <c r="AA43" s="217"/>
      <c r="AB43" s="317" cm="1" t="str">
        <f t="array" ref="AB43:AB43">IF(ISBLANK(Налоги!$AB$55),"",Налоги!$AB$55)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217"/>
      <c r="BA43" s="217"/>
      <c r="BB43" s="1203"/>
    </row>
    <row s="1860" customFormat="1" customHeight="1" ht="16.5">
      <c r="A44" s="316"/>
      <c r="B44" s="316"/>
      <c r="C44" s="316"/>
      <c r="D44" s="316"/>
      <c r="E44" s="794">
        <v>17</v>
      </c>
      <c r="F44" s="919" cm="1" t="str">
        <f t="array" ref="F44:F44">F43</f>
        <v>2</v>
      </c>
      <c r="G44" s="316"/>
      <c r="H44" s="316"/>
      <c r="I44" s="316"/>
      <c r="J44" s="316"/>
      <c r="K44" s="316"/>
      <c r="L44" s="316"/>
      <c r="M44" s="316"/>
      <c r="N44" s="316"/>
      <c r="O44" s="316"/>
      <c r="P44" s="316"/>
      <c r="Q44" s="316"/>
      <c r="R44" s="316"/>
      <c r="S44" s="316"/>
      <c r="T44" s="805" cm="1" t="str">
        <f t="array" ref="T44:T44">T43</f>
        <v>true</v>
      </c>
      <c r="U44" s="316"/>
      <c r="V44" s="316"/>
      <c r="W44" s="316"/>
      <c r="X44" s="316"/>
      <c r="Y44" s="316"/>
      <c r="Z44" s="316"/>
      <c r="AA44" s="316"/>
      <c r="AB44" s="322" t="s">
        <v>335</v>
      </c>
      <c r="AC44" s="160" t="s">
        <v>1273</v>
      </c>
      <c r="AD44" s="322" t="s">
        <v>805</v>
      </c>
      <c r="AE44" s="295">
        <f>AE45+AE46+AE47</f>
        <v>0</v>
      </c>
      <c r="AF44" s="324">
        <f>AF45+AF46+AF47</f>
        <v>0</v>
      </c>
      <c r="AG44" s="324">
        <f>AG45+AG46+AG47</f>
        <v>0</v>
      </c>
      <c r="AH44" s="324">
        <f>AH45+AH46+AH47</f>
        <v>0</v>
      </c>
      <c r="AI44" s="324">
        <f>AI45+AI46+AI47</f>
        <v>0</v>
      </c>
      <c r="AJ44" s="324">
        <f>AJ45+AJ46+AJ47</f>
        <v>0</v>
      </c>
      <c r="AK44" s="324">
        <f>AK45+AK46+AK47</f>
        <v>0</v>
      </c>
      <c r="AL44" s="324">
        <f>AL45+AL46+AL47</f>
        <v>0</v>
      </c>
      <c r="AM44" s="324">
        <f>AM45+AM46+AM47</f>
        <v>0</v>
      </c>
      <c r="AN44" s="324">
        <f>AN45+AN46+AN47</f>
        <v>0</v>
      </c>
      <c r="AO44" s="295">
        <f>AO45+AO46+AO47</f>
        <v>0</v>
      </c>
      <c r="AP44" s="324">
        <f>AP45+AP46+AP47</f>
        <v>0</v>
      </c>
      <c r="AQ44" s="324">
        <f>AQ45+AQ46+AQ47</f>
        <v>0</v>
      </c>
      <c r="AR44" s="324">
        <f>AR45+AR46+AR47</f>
        <v>0</v>
      </c>
      <c r="AS44" s="324">
        <f>AS45+AS46+AS47</f>
        <v>0</v>
      </c>
      <c r="AT44" s="324">
        <f>AT45+AT46+AT47</f>
        <v>0</v>
      </c>
      <c r="AU44" s="324">
        <f>AU45+AU46+AU47</f>
        <v>0</v>
      </c>
      <c r="AV44" s="324">
        <f>AV45+AV46+AV47</f>
        <v>0</v>
      </c>
      <c r="AW44" s="324">
        <f>AW45+AW46+AW47</f>
        <v>0</v>
      </c>
      <c r="AX44" s="324">
        <f>AX45+AX46+AX47</f>
        <v>0</v>
      </c>
      <c r="AY44" s="1730"/>
      <c r="AZ44" s="316"/>
      <c r="BA44" s="316"/>
      <c r="BB44" s="1203" t="s">
        <v>1274</v>
      </c>
    </row>
    <row s="1619" customFormat="1" customHeight="1" ht="16.5">
      <c r="A45" s="1461"/>
      <c r="B45" s="924"/>
      <c r="C45" s="1461"/>
      <c r="D45" s="1461"/>
      <c r="E45" s="794">
        <v>17</v>
      </c>
      <c r="F45" s="919" cm="1" t="str">
        <f t="array" ref="F45:F45">F44</f>
        <v>2</v>
      </c>
      <c r="G45" s="497"/>
      <c r="H45" s="497"/>
      <c r="I45" s="497"/>
      <c r="J45" s="497"/>
      <c r="K45" s="497"/>
      <c r="L45" s="497"/>
      <c r="M45" s="497"/>
      <c r="N45" s="497"/>
      <c r="O45" s="497"/>
      <c r="P45" s="497"/>
      <c r="Q45" s="925"/>
      <c r="R45" s="925"/>
      <c r="S45" s="497"/>
      <c r="T45" s="805" cm="1" t="str">
        <f t="array" ref="T45:T45">T44</f>
        <v>true</v>
      </c>
      <c r="U45" s="1461"/>
      <c r="V45" s="1461"/>
      <c r="W45" s="1461"/>
      <c r="X45" s="1461"/>
      <c r="Y45" s="1461"/>
      <c r="Z45" s="1461"/>
      <c r="AA45" s="217"/>
      <c r="AB45" s="170" t="s">
        <v>442</v>
      </c>
      <c r="AC45" s="161" t="s">
        <v>1275</v>
      </c>
      <c r="AD45" s="170" t="s">
        <v>805</v>
      </c>
      <c r="AE45" s="297"/>
      <c r="AF45" s="325"/>
      <c r="AG45" s="325"/>
      <c r="AH45" s="325"/>
      <c r="AI45" s="325"/>
      <c r="AJ45" s="1855"/>
      <c r="AK45" s="1855"/>
      <c r="AL45" s="1855"/>
      <c r="AM45" s="1855"/>
      <c r="AN45" s="1855"/>
      <c r="AO45" s="297"/>
      <c r="AP45" s="325"/>
      <c r="AQ45" s="325"/>
      <c r="AR45" s="325"/>
      <c r="AS45" s="325"/>
      <c r="AT45" s="1855"/>
      <c r="AU45" s="1855"/>
      <c r="AV45" s="1855"/>
      <c r="AW45" s="1855"/>
      <c r="AX45" s="1855"/>
      <c r="AY45" s="1730"/>
      <c r="AZ45" s="217"/>
      <c r="BA45" s="217"/>
      <c r="BB45" s="1203" t="s">
        <v>1276</v>
      </c>
    </row>
    <row s="1619" customFormat="1" customHeight="1" ht="16.5">
      <c r="A46" s="1461"/>
      <c r="B46" s="924"/>
      <c r="C46" s="1461"/>
      <c r="D46" s="1461"/>
      <c r="E46" s="794">
        <v>17</v>
      </c>
      <c r="F46" s="919" cm="1" t="str">
        <f t="array" ref="F46:F46">F45</f>
        <v>2</v>
      </c>
      <c r="G46" s="497"/>
      <c r="H46" s="497"/>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170" t="s">
        <v>931</v>
      </c>
      <c r="AC46" s="161" t="s">
        <v>1277</v>
      </c>
      <c r="AD46" s="170" t="s">
        <v>805</v>
      </c>
      <c r="AE46" s="297"/>
      <c r="AF46" s="325"/>
      <c r="AG46" s="325"/>
      <c r="AH46" s="325"/>
      <c r="AI46" s="325"/>
      <c r="AJ46" s="1855"/>
      <c r="AK46" s="1855"/>
      <c r="AL46" s="1855"/>
      <c r="AM46" s="1855"/>
      <c r="AN46" s="1855"/>
      <c r="AO46" s="297"/>
      <c r="AP46" s="325"/>
      <c r="AQ46" s="325"/>
      <c r="AR46" s="325"/>
      <c r="AS46" s="325"/>
      <c r="AT46" s="1855"/>
      <c r="AU46" s="1855"/>
      <c r="AV46" s="1855"/>
      <c r="AW46" s="1855"/>
      <c r="AX46" s="1855"/>
      <c r="AY46" s="1730"/>
      <c r="AZ46" s="217"/>
      <c r="BA46" s="217"/>
      <c r="BB46" s="1203" t="s">
        <v>1278</v>
      </c>
    </row>
    <row s="1619" customFormat="1" customHeight="1" ht="33">
      <c r="A47" s="1461"/>
      <c r="B47" s="924"/>
      <c r="C47" s="1461"/>
      <c r="D47" s="1461"/>
      <c r="E47" s="794">
        <v>34.2</v>
      </c>
      <c r="F47" s="919" cm="1" t="str">
        <f t="array" ref="F47:F47">F46</f>
        <v>2</v>
      </c>
      <c r="G47" s="497"/>
      <c r="H47" s="497"/>
      <c r="I47" s="497"/>
      <c r="J47" s="497"/>
      <c r="K47" s="497"/>
      <c r="L47" s="497"/>
      <c r="M47" s="497"/>
      <c r="N47" s="497"/>
      <c r="O47" s="497"/>
      <c r="P47" s="497"/>
      <c r="Q47" s="925"/>
      <c r="R47" s="925"/>
      <c r="S47" s="497"/>
      <c r="T47" s="805" cm="1" t="str">
        <f t="array" ref="T47:T47">T46</f>
        <v>true</v>
      </c>
      <c r="U47" s="1461"/>
      <c r="V47" s="1461"/>
      <c r="W47" s="1461"/>
      <c r="X47" s="1461"/>
      <c r="Y47" s="1461"/>
      <c r="Z47" s="1461"/>
      <c r="AA47" s="217"/>
      <c r="AB47" s="170" t="s">
        <v>933</v>
      </c>
      <c r="AC47" s="161" t="s">
        <v>1279</v>
      </c>
      <c r="AD47" s="170" t="s">
        <v>805</v>
      </c>
      <c r="AE47" s="297"/>
      <c r="AF47" s="325"/>
      <c r="AG47" s="325"/>
      <c r="AH47" s="325"/>
      <c r="AI47" s="325"/>
      <c r="AJ47" s="1855"/>
      <c r="AK47" s="1855"/>
      <c r="AL47" s="1855"/>
      <c r="AM47" s="1855"/>
      <c r="AN47" s="1855"/>
      <c r="AO47" s="297"/>
      <c r="AP47" s="325"/>
      <c r="AQ47" s="325"/>
      <c r="AR47" s="325"/>
      <c r="AS47" s="325"/>
      <c r="AT47" s="1855"/>
      <c r="AU47" s="1855"/>
      <c r="AV47" s="1855"/>
      <c r="AW47" s="1855"/>
      <c r="AX47" s="1855"/>
      <c r="AY47" s="1730"/>
      <c r="AZ47" s="217"/>
      <c r="BA47" s="217"/>
      <c r="BB47" s="1203" t="s">
        <v>1280</v>
      </c>
    </row>
    <row s="1619" customFormat="1" customHeight="1" ht="16.5">
      <c r="A48" s="1461"/>
      <c r="B48" s="924"/>
      <c r="C48" s="1461"/>
      <c r="D48" s="1461"/>
      <c r="E48" s="794">
        <v>17</v>
      </c>
      <c r="F48" s="919" cm="1" t="str">
        <f t="array" ref="F48:F48">F47</f>
        <v>2</v>
      </c>
      <c r="G48" s="497"/>
      <c r="H48" s="497"/>
      <c r="I48" s="497"/>
      <c r="J48" s="497"/>
      <c r="K48" s="497"/>
      <c r="L48" s="497"/>
      <c r="M48" s="497"/>
      <c r="N48" s="497"/>
      <c r="O48" s="497"/>
      <c r="P48" s="497"/>
      <c r="Q48" s="925"/>
      <c r="R48" s="925"/>
      <c r="S48" s="497"/>
      <c r="T48" s="805" cm="1" t="str">
        <f t="array" ref="T48:T48">T47</f>
        <v>true</v>
      </c>
      <c r="U48" s="1461"/>
      <c r="V48" s="1461"/>
      <c r="W48" s="1461"/>
      <c r="X48" s="1461"/>
      <c r="Y48" s="1461"/>
      <c r="Z48" s="1461"/>
      <c r="AA48" s="217"/>
      <c r="AB48" s="170" t="s">
        <v>343</v>
      </c>
      <c r="AC48" s="320" t="s">
        <v>1281</v>
      </c>
      <c r="AD48" s="170" t="s">
        <v>490</v>
      </c>
      <c r="AE48" s="1140">
        <f>_xlfn.SUMIFS(Сценарии!AE$25:AE$110,Сценарии!$F$25:$F$110,$F48,Сценарии!$AC$25:$AC$110,"Индекс потребительских цен")</f>
        <v>0</v>
      </c>
      <c r="AF48" s="1140">
        <f>_xlfn.SUMIFS(Сценарии!AF$25:AF$110,Сценарии!$F$25:$F$110,$F48,Сценарии!$AC$25:$AC$110,"Индекс потребительских цен")</f>
        <v>4</v>
      </c>
      <c r="AG48" s="1140">
        <f>_xlfn.SUMIFS(Сценарии!AG$25:AG$110,Сценарии!$F$25:$F$110,$F48,Сценарии!$AC$25:$AC$110,"Индекс потребительских цен")</f>
        <v>4</v>
      </c>
      <c r="AH48" s="1140">
        <f>_xlfn.SUMIFS(Сценарии!AH$25:AH$110,Сценарии!$F$25:$F$110,$F48,Сценарии!$AC$25:$AC$110,"Индекс потребительских цен")</f>
        <v>4</v>
      </c>
      <c r="AI48" s="1140">
        <f>_xlfn.SUMIFS(Сценарии!AI$25:AI$110,Сценарии!$F$25:$F$110,$F48,Сценарии!$AC$25:$AC$110,"Индекс потребительских цен")</f>
        <v>4</v>
      </c>
      <c r="AJ48" s="1140">
        <f>_xlfn.SUMIFS(Сценарии!AJ$25:AJ$110,Сценарии!$F$25:$F$110,$F48,Сценарии!$AC$25:$AC$110,"Индекс потребительских цен")</f>
        <v>0</v>
      </c>
      <c r="AK48" s="1140">
        <f>_xlfn.SUMIFS(Сценарии!AK$25:AK$110,Сценарии!$F$25:$F$110,$F48,Сценарии!$AC$25:$AC$110,"Индекс потребительских цен")</f>
        <v>0</v>
      </c>
      <c r="AL48" s="1140">
        <f>_xlfn.SUMIFS(Сценарии!AL$25:AL$110,Сценарии!$F$25:$F$110,$F48,Сценарии!$AC$25:$AC$110,"Индекс потребительских цен")</f>
        <v>0</v>
      </c>
      <c r="AM48" s="1140">
        <f>_xlfn.SUMIFS(Сценарии!AM$25:AM$110,Сценарии!$F$25:$F$110,$F48,Сценарии!$AC$25:$AC$110,"Индекс потребительских цен")</f>
        <v>0</v>
      </c>
      <c r="AN48" s="1140">
        <f>_xlfn.SUMIFS(Сценарии!AN$25:AN$110,Сценарии!$F$25:$F$110,$F48,Сценарии!$AC$25:$AC$110,"Индекс потребительских цен")</f>
        <v>0</v>
      </c>
      <c r="AO48" s="1140">
        <f>_xlfn.SUMIFS(Сценарии!AO$25:AO$110,Сценарии!$F$25:$F$110,$F48,Сценарии!$AC$25:$AC$110,"Индекс потребительских цен")</f>
        <v>5.1</v>
      </c>
      <c r="AP48" s="1140">
        <f>_xlfn.SUMIFS(Сценарии!AP$25:AP$110,Сценарии!$F$25:$F$110,$F48,Сценарии!$AC$25:$AC$110,"Индекс потребительских цен")</f>
        <v>4</v>
      </c>
      <c r="AQ48" s="1140">
        <f>_xlfn.SUMIFS(Сценарии!AQ$25:AQ$110,Сценарии!$F$25:$F$110,$F48,Сценарии!$AC$25:$AC$110,"Индекс потребительских цен")</f>
        <v>4</v>
      </c>
      <c r="AR48" s="1140">
        <f>_xlfn.SUMIFS(Сценарии!AR$25:AR$110,Сценарии!$F$25:$F$110,$F48,Сценарии!$AC$25:$AC$110,"Индекс потребительских цен")</f>
        <v>4</v>
      </c>
      <c r="AS48" s="1140">
        <f>_xlfn.SUMIFS(Сценарии!AS$25:AS$110,Сценарии!$F$25:$F$110,$F48,Сценарии!$AC$25:$AC$110,"Индекс потребительских цен")</f>
        <v>4</v>
      </c>
      <c r="AT48" s="1140">
        <f>_xlfn.SUMIFS(Сценарии!AT$25:AT$110,Сценарии!$F$25:$F$110,$F48,Сценарии!$AC$25:$AC$110,"Индекс потребительских цен")</f>
        <v>0</v>
      </c>
      <c r="AU48" s="1140">
        <f>_xlfn.SUMIFS(Сценарии!AU$25:AU$110,Сценарии!$F$25:$F$110,$F48,Сценарии!$AC$25:$AC$110,"Индекс потребительских цен")</f>
        <v>0</v>
      </c>
      <c r="AV48" s="1140">
        <f>_xlfn.SUMIFS(Сценарии!AV$25:AV$110,Сценарии!$F$25:$F$110,$F48,Сценарии!$AC$25:$AC$110,"Индекс потребительских цен")</f>
        <v>0</v>
      </c>
      <c r="AW48" s="1140">
        <f>_xlfn.SUMIFS(Сценарии!AW$25:AW$110,Сценарии!$F$25:$F$110,$F48,Сценарии!$AC$25:$AC$110,"Индекс потребительских цен")</f>
        <v>0</v>
      </c>
      <c r="AX48" s="1140">
        <f>_xlfn.SUMIFS(Сценарии!AX$25:AX$110,Сценарии!$F$25:$F$110,$F48,Сценарии!$AC$25:$AC$110,"Индекс потребительских цен")</f>
        <v>0</v>
      </c>
      <c r="AY48" s="1730"/>
      <c r="AZ48" s="217"/>
      <c r="BA48" s="217"/>
      <c r="BB48" s="1203" t="s">
        <v>505</v>
      </c>
    </row>
    <row s="1619" customFormat="1" customHeight="1" ht="16.5">
      <c r="A49" s="1461"/>
      <c r="B49" s="924"/>
      <c r="C49" s="1461"/>
      <c r="D49" s="1461"/>
      <c r="E49" s="794">
        <v>17</v>
      </c>
      <c r="F49" s="919" cm="1" t="str">
        <f t="array" ref="F49:F49">F48</f>
        <v>2</v>
      </c>
      <c r="G49" s="497"/>
      <c r="H49" s="497"/>
      <c r="I49" s="497"/>
      <c r="J49" s="497"/>
      <c r="K49" s="497"/>
      <c r="L49" s="497"/>
      <c r="M49" s="497"/>
      <c r="N49" s="497"/>
      <c r="O49" s="497"/>
      <c r="P49" s="497"/>
      <c r="Q49" s="925"/>
      <c r="R49" s="925"/>
      <c r="S49" s="497"/>
      <c r="T49" s="805" cm="1" t="str">
        <f t="array" ref="T49:T49">T48</f>
        <v>true</v>
      </c>
      <c r="U49" s="1461"/>
      <c r="V49" s="1461"/>
      <c r="W49" s="1461"/>
      <c r="X49" s="1461"/>
      <c r="Y49" s="1461"/>
      <c r="Z49" s="1461"/>
      <c r="AA49" s="217"/>
      <c r="AB49" s="321">
        <v>3</v>
      </c>
      <c r="AC49" s="320" t="s">
        <v>1282</v>
      </c>
      <c r="AD49" s="170"/>
      <c r="AE49" s="385">
        <f>1+AE48%</f>
        <v>1</v>
      </c>
      <c r="AF49" s="386">
        <f>AE49*(1+AF48%)</f>
        <v>1.04</v>
      </c>
      <c r="AG49" s="386">
        <f>AF49*(1+AG48%)</f>
        <v>1.0816</v>
      </c>
      <c r="AH49" s="386">
        <f>AG49*(1+AH48%)</f>
        <v>1.124864</v>
      </c>
      <c r="AI49" s="386">
        <f>AH49*(1+AI48%)</f>
        <v>1.16985856</v>
      </c>
      <c r="AJ49" s="1858">
        <f>AI49*(1+AJ48%)</f>
        <v>1.16985856</v>
      </c>
      <c r="AK49" s="1858">
        <f>AJ49*(1+AK48%)</f>
        <v>1.16985856</v>
      </c>
      <c r="AL49" s="1858">
        <f>AK49*(1+AL48%)</f>
        <v>1.16985856</v>
      </c>
      <c r="AM49" s="1858">
        <f>AL49*(1+AM48%)</f>
        <v>1.16985856</v>
      </c>
      <c r="AN49" s="1858">
        <f>AM49*(1+AN48%)</f>
        <v>1.16985856</v>
      </c>
      <c r="AO49" s="385">
        <f>1+AO48%</f>
        <v>1.051</v>
      </c>
      <c r="AP49" s="386">
        <f>AO49*(1+AP48%)</f>
        <v>1.09304</v>
      </c>
      <c r="AQ49" s="386">
        <f>AP49*(1+AQ48%)</f>
        <v>1.1367616</v>
      </c>
      <c r="AR49" s="386">
        <f>AQ49*(1+AR48%)</f>
        <v>1.182232064</v>
      </c>
      <c r="AS49" s="386">
        <f>AR49*(1+AS48%)</f>
        <v>1.22952134656</v>
      </c>
      <c r="AT49" s="1858">
        <f>AS49*(1+AT48%)</f>
        <v>1.22952134656</v>
      </c>
      <c r="AU49" s="1858">
        <f>AT49*(1+AU48%)</f>
        <v>1.22952134656</v>
      </c>
      <c r="AV49" s="1858">
        <f>AU49*(1+AV48%)</f>
        <v>1.22952134656</v>
      </c>
      <c r="AW49" s="1858">
        <f>AV49*(1+AW48%)</f>
        <v>1.22952134656</v>
      </c>
      <c r="AX49" s="1858">
        <f>AW49*(1+AX48%)</f>
        <v>1.22952134656</v>
      </c>
      <c r="AY49" s="1730"/>
      <c r="AZ49" s="217"/>
      <c r="BA49" s="217"/>
      <c r="BB49" s="1203" t="s">
        <v>1283</v>
      </c>
    </row>
    <row s="1861" customFormat="1" customHeight="1" ht="16.5">
      <c r="A50" s="316"/>
      <c r="B50" s="316"/>
      <c r="C50" s="316"/>
      <c r="D50" s="316"/>
      <c r="E50" s="794">
        <v>17</v>
      </c>
      <c r="F50" s="919" cm="1" t="str">
        <f t="array" ref="F50:F50">F49</f>
        <v>2</v>
      </c>
      <c r="G50" s="736" t="s">
        <v>1284</v>
      </c>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22" t="s">
        <v>624</v>
      </c>
      <c r="AC50" s="160" t="s">
        <v>1285</v>
      </c>
      <c r="AD50" s="322" t="s">
        <v>805</v>
      </c>
      <c r="AE50" s="295">
        <f>AE44*AE49</f>
        <v>0</v>
      </c>
      <c r="AF50" s="295">
        <f>AF44*AF49</f>
        <v>0</v>
      </c>
      <c r="AG50" s="295">
        <f>AG44*AG49</f>
        <v>0</v>
      </c>
      <c r="AH50" s="295">
        <f>AH44*AH49</f>
        <v>0</v>
      </c>
      <c r="AI50" s="295">
        <f>AI44*AI49</f>
        <v>0</v>
      </c>
      <c r="AJ50" s="295">
        <f>AJ44*AJ49</f>
        <v>0</v>
      </c>
      <c r="AK50" s="295">
        <f>AK44*AK49</f>
        <v>0</v>
      </c>
      <c r="AL50" s="295">
        <f>AL44*AL49</f>
        <v>0</v>
      </c>
      <c r="AM50" s="295">
        <f>AM44*AM49</f>
        <v>0</v>
      </c>
      <c r="AN50" s="295">
        <f>AN44*AN49</f>
        <v>0</v>
      </c>
      <c r="AO50" s="295">
        <f>AO44*AO49</f>
        <v>0</v>
      </c>
      <c r="AP50" s="295">
        <f>AP44*AP49</f>
        <v>0</v>
      </c>
      <c r="AQ50" s="295">
        <f>AQ44*AQ49</f>
        <v>0</v>
      </c>
      <c r="AR50" s="295">
        <f>AR44*AR49</f>
        <v>0</v>
      </c>
      <c r="AS50" s="295">
        <f>AS44*AS49</f>
        <v>0</v>
      </c>
      <c r="AT50" s="295">
        <f>AT44*AT49</f>
        <v>0</v>
      </c>
      <c r="AU50" s="295">
        <f>AU44*AU49</f>
        <v>0</v>
      </c>
      <c r="AV50" s="295">
        <f>AV44*AV49</f>
        <v>0</v>
      </c>
      <c r="AW50" s="295">
        <f>AW44*AW49</f>
        <v>0</v>
      </c>
      <c r="AX50" s="295">
        <f>AX44*AX49</f>
        <v>0</v>
      </c>
      <c r="AY50" s="1730"/>
      <c r="AZ50" s="316"/>
      <c r="BA50" s="316"/>
      <c r="BB50" s="1203" t="s">
        <v>1286</v>
      </c>
    </row>
    <row customHeight="1" ht="11.115">
      <c r="E51" s="794">
        <v>11.4</v>
      </c>
      <c r="U51" s="176" t="s">
        <v>235</v>
      </c>
      <c r="V51" s="168" t="s">
        <v>1287</v>
      </c>
      <c r="AE51" s="217"/>
      <c r="AF51" s="217"/>
      <c r="AG51" s="217"/>
      <c r="AH51" s="217"/>
      <c r="AI51" s="217"/>
      <c r="AJ51" s="217"/>
      <c r="AK51" s="217"/>
      <c r="AL51" s="217"/>
      <c r="AM51" s="217"/>
      <c r="AN51" s="217"/>
      <c r="AO51" s="217"/>
      <c r="AP51" s="217"/>
      <c r="AQ51" s="217"/>
      <c r="AR51" s="217"/>
      <c r="AS51" s="217"/>
      <c r="AT51" s="217"/>
      <c r="AU51" s="217"/>
      <c r="AV51" s="217"/>
      <c r="AW51" s="217"/>
      <c r="AX51" s="217"/>
    </row>
    <row customHeight="1" ht="11.25" hidden="1">
      <c r="E52" s="794">
        <v>0</v>
      </c>
      <c r="AE52" s="217"/>
      <c r="AF52" s="217"/>
      <c r="AG52" s="217"/>
      <c r="AH52" s="217"/>
      <c r="AI52" s="217"/>
      <c r="AJ52" s="217"/>
      <c r="AK52" s="217"/>
      <c r="AL52" s="217"/>
      <c r="AM52" s="217"/>
      <c r="AN52" s="217"/>
      <c r="AO52" s="217"/>
      <c r="AP52" s="217"/>
      <c r="AQ52" s="217"/>
      <c r="AR52" s="217"/>
      <c r="AS52" s="217"/>
      <c r="AT52" s="217"/>
      <c r="AU52" s="217"/>
      <c r="AV52" s="217"/>
      <c r="AW52" s="217"/>
      <c r="AX52" s="217"/>
    </row>
    <row customHeight="1" ht="14.625">
      <c r="E53" s="794">
        <v>15</v>
      </c>
      <c r="AB53" s="1527" t="s">
        <v>700</v>
      </c>
      <c r="AC53" s="1527"/>
      <c r="AD53" s="1527"/>
      <c r="AE53" s="1527"/>
      <c r="AF53" s="1527"/>
      <c r="AG53" s="1527"/>
      <c r="AH53" s="1527"/>
      <c r="AI53" s="1527"/>
      <c r="AJ53" s="1527"/>
      <c r="AK53" s="1527"/>
      <c r="AL53" s="1527"/>
      <c r="AM53" s="1527"/>
      <c r="AN53" s="1527"/>
      <c r="AO53" s="1527"/>
      <c r="AP53" s="1527"/>
      <c r="AQ53" s="1527"/>
      <c r="AR53" s="1527"/>
      <c r="AS53" s="1527"/>
      <c r="AT53" s="1527"/>
      <c r="AU53" s="1527"/>
      <c r="AV53" s="1527"/>
      <c r="AW53" s="1527"/>
      <c r="AX53" s="1528"/>
      <c r="AY53" s="1528"/>
    </row>
    <row customHeight="1" ht="14.625">
      <c r="E54" s="794">
        <v>15</v>
      </c>
      <c r="AA54" s="918"/>
      <c r="AB54" s="1540"/>
      <c r="AC54" s="1541"/>
      <c r="AD54" s="1541"/>
      <c r="AE54" s="1541"/>
      <c r="AF54" s="1541"/>
      <c r="AG54" s="1541"/>
      <c r="AH54" s="1541"/>
      <c r="AI54" s="1541"/>
      <c r="AJ54" s="1541"/>
      <c r="AK54" s="1541"/>
      <c r="AL54" s="1541"/>
      <c r="AM54" s="1541"/>
      <c r="AN54" s="1541"/>
      <c r="AO54" s="1541"/>
      <c r="AP54" s="1541"/>
      <c r="AQ54" s="1541"/>
      <c r="AR54" s="1541"/>
      <c r="AS54" s="1541"/>
      <c r="AT54" s="1541"/>
      <c r="AU54" s="1541"/>
      <c r="AV54" s="1541"/>
      <c r="AW54" s="1541"/>
      <c r="AX54" s="1542"/>
      <c r="AY54" s="1542"/>
    </row>
    <row customHeight="1" ht="14.625" hidden="1">
      <c r="A55" s="1461"/>
      <c r="B55" s="924"/>
      <c r="C55" s="1461"/>
      <c r="D55" s="1461"/>
      <c r="E55" s="794">
        <v>15</v>
      </c>
      <c r="F55" s="1461"/>
      <c r="G55" s="497"/>
      <c r="H55" s="497"/>
      <c r="I55" s="497"/>
      <c r="J55" s="497"/>
      <c r="K55" s="497"/>
      <c r="L55" s="497"/>
      <c r="M55" s="497"/>
      <c r="N55" s="497"/>
      <c r="O55" s="497"/>
      <c r="P55" s="497"/>
      <c r="Q55" s="925"/>
      <c r="R55" s="925"/>
      <c r="S55" s="497"/>
      <c r="T55" s="805">
        <f>ROW(W55)&gt;ROW(W$55)</f>
        <v>0</v>
      </c>
      <c r="U55" s="1461"/>
      <c r="V55" s="1461"/>
      <c r="W55" s="172" t="s">
        <v>233</v>
      </c>
      <c r="X55" s="1461"/>
      <c r="Y55" s="1461"/>
      <c r="Z55" s="1461"/>
      <c r="AA55" s="914" t="s">
        <v>217</v>
      </c>
      <c r="AB55" s="1865"/>
      <c r="AC55" s="1541"/>
      <c r="AD55" s="1541"/>
      <c r="AE55" s="1541"/>
      <c r="AF55" s="1541"/>
      <c r="AG55" s="1541"/>
      <c r="AH55" s="1541"/>
      <c r="AI55" s="1541"/>
      <c r="AJ55" s="1541"/>
      <c r="AK55" s="1541"/>
      <c r="AL55" s="1541"/>
      <c r="AM55" s="1541"/>
      <c r="AN55" s="1541"/>
      <c r="AO55" s="1541"/>
      <c r="AP55" s="1541"/>
      <c r="AQ55" s="1541"/>
      <c r="AR55" s="1541"/>
      <c r="AS55" s="1541"/>
      <c r="AT55" s="1541"/>
      <c r="AU55" s="1541"/>
      <c r="AV55" s="1541"/>
      <c r="AW55" s="1541"/>
      <c r="AX55" s="1542"/>
      <c r="AY55" s="1542"/>
      <c r="AZ55" s="217"/>
      <c r="BA55" s="217"/>
      <c r="BB55" s="1203"/>
    </row>
    <row customHeight="1" ht="14.625">
      <c r="E56" s="794">
        <v>15</v>
      </c>
      <c r="W56" s="168" t="s">
        <v>234</v>
      </c>
      <c r="AA56" s="210"/>
      <c r="AB56" s="1475" t="s">
        <v>701</v>
      </c>
      <c r="AC56" s="1476"/>
      <c r="AD56" s="380"/>
      <c r="AE56" s="380"/>
      <c r="AF56" s="380"/>
      <c r="AG56" s="380"/>
      <c r="AH56" s="380"/>
      <c r="AI56" s="380"/>
      <c r="AJ56" s="380"/>
      <c r="AK56" s="380"/>
      <c r="AL56" s="380"/>
      <c r="AM56" s="380"/>
      <c r="AN56" s="380"/>
      <c r="AO56" s="380"/>
      <c r="AP56" s="380"/>
      <c r="AQ56" s="380"/>
      <c r="AR56" s="380"/>
      <c r="AS56" s="380"/>
      <c r="AT56" s="380"/>
      <c r="AU56" s="380"/>
      <c r="AV56" s="380"/>
      <c r="AW56" s="380"/>
      <c r="AX56" s="380"/>
      <c r="AY56" s="347"/>
    </row>
    <row customHeight="1" ht="11.25">
      <c r="AE57" s="217"/>
      <c r="AF57" s="217"/>
      <c r="AG57" s="217"/>
      <c r="AH57" s="217"/>
      <c r="AI57" s="217"/>
      <c r="AJ57" s="217"/>
      <c r="AK57" s="217"/>
      <c r="AL57" s="217"/>
      <c r="AM57" s="217"/>
      <c r="AN57" s="217"/>
      <c r="AO57" s="217"/>
      <c r="AP57" s="217"/>
      <c r="AQ57" s="217"/>
      <c r="AR57" s="217"/>
      <c r="AS57" s="217"/>
      <c r="AT57" s="217"/>
      <c r="AU57" s="217"/>
      <c r="AV57" s="217"/>
      <c r="AW57" s="217"/>
      <c r="AX57" s="217"/>
      <c r="AZ57" s="198"/>
    </row>
  </sheetData>
  <sheetProtection formatColumns="0" formatRows="0" insertRows="0" deleteColumns="0" deleteRows="0" sort="0" autoFilter="0" insertColumns="1"/>
  <mergeCells count="14">
    <mergeCell ref="Z27:Z34"/>
    <mergeCell ref="X27:X34"/>
    <mergeCell ref="AB56:AC56"/>
    <mergeCell ref="AB53:AY53"/>
    <mergeCell ref="AB54:AY54"/>
    <mergeCell ref="AB24:AB25"/>
    <mergeCell ref="AC24:AC25"/>
    <mergeCell ref="AD24:AD25"/>
    <mergeCell ref="AY24:AY25"/>
    <mergeCell ref="AB55:AY55"/>
    <mergeCell ref="Z35:Z42"/>
    <mergeCell ref="X35:X42"/>
    <mergeCell ref="Z43:Z50"/>
    <mergeCell ref="X43:X50"/>
  </mergeCells>
  <dataValidations count="1">
    <dataValidation allowBlank="1" showInputMessage="1" showErrorMessage="1" sqref="AY53:AY55"/>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A3FA8-C208-C128-ED08-40AEA82A1FA8}" mc:Ignorable="x14ac xr xr2 xr3">
  <sheetPr>
    <tabColor rgb="FF92D050"/>
    <outlinePr summaryRight="0" summaryBelow="0"/>
    <pageSetUpPr fitToPage="1"/>
  </sheetPr>
  <dimension ref="A1:AV105"/>
  <sheetViews>
    <sheetView showGridLines="0" workbookViewId="0">
      <pane xSplit="30" ySplit="26" topLeftCell="AJ57" activePane="bottomRight" state="frozen"/>
      <selection pane="bottomLeft" activeCell="A27" sqref="A27"/>
      <selection pane="topRight" activeCell="AE1" sqref="AE1"/>
      <selection pane="bottomRight" activeCell="AJ86" sqref="AJ86:AK88"/>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8.13281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376</v>
      </c>
      <c r="Z1" s="805" t="s">
        <v>93</v>
      </c>
      <c r="AA1" s="816" t="s">
        <v>90</v>
      </c>
      <c r="AB1" s="816" t="s">
        <v>92</v>
      </c>
      <c r="AC1" s="816" t="s">
        <v>92</v>
      </c>
      <c r="AJ1" s="225"/>
      <c r="AK1" s="225"/>
      <c r="AL1" s="225"/>
      <c r="AR1" s="1232" t="s">
        <v>377</v>
      </c>
      <c r="AS1" s="1232" t="s">
        <v>378</v>
      </c>
      <c r="AT1" s="1232" t="s">
        <v>379</v>
      </c>
      <c r="AU1" s="1233" t="s">
        <v>382</v>
      </c>
      <c r="AV1" s="1233" t="s">
        <v>383</v>
      </c>
    </row>
    <row s="924" customFormat="1" customHeight="1" ht="12" hidden="1">
      <c r="B2" s="907" t="s">
        <v>15</v>
      </c>
      <c r="G2" s="927"/>
      <c r="H2" s="927"/>
      <c r="I2" s="927"/>
      <c r="J2" s="927"/>
      <c r="K2" s="927"/>
      <c r="L2" s="927"/>
      <c r="M2" s="927"/>
      <c r="N2" s="927"/>
      <c r="O2" s="927"/>
      <c r="P2" s="927"/>
      <c r="Q2" s="927"/>
      <c r="R2" s="927"/>
      <c r="S2" s="927"/>
      <c r="AC2" s="789"/>
      <c r="AJ2" s="806">
        <f>god=first_year</f>
        <v>1</v>
      </c>
      <c r="AK2" s="806" cm="1" t="str">
        <f t="array" ref="AK2:AK2">AJ2</f>
        <v>true</v>
      </c>
      <c r="AL2" s="806" cm="1" t="str">
        <f t="array" ref="AL2:AL2">AK2</f>
        <v>true</v>
      </c>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430</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431</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432</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388</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379</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487</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433</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390</v>
      </c>
      <c r="AC24" s="1544" t="s">
        <v>433</v>
      </c>
      <c r="AD24" s="1544" t="s">
        <v>434</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1288</v>
      </c>
      <c r="AN24" s="1543" t="s">
        <v>587</v>
      </c>
      <c r="AO24" s="1543" t="s">
        <v>1289</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407</v>
      </c>
      <c r="AF25" s="1355" t="s">
        <v>588</v>
      </c>
      <c r="AG25" s="166" t="s">
        <v>589</v>
      </c>
      <c r="AH25" s="258" t="s">
        <v>1290</v>
      </c>
      <c r="AI25" s="166" t="s">
        <v>407</v>
      </c>
      <c r="AJ25" s="1354" t="s">
        <v>408</v>
      </c>
      <c r="AK25" s="410" t="s">
        <v>407</v>
      </c>
      <c r="AL25" s="258" t="s">
        <v>1291</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T27" s="816">
        <f>X27&gt;0</f>
        <v>0</v>
      </c>
      <c r="V27" s="172" t="s">
        <v>309</v>
      </c>
      <c r="X27" s="172">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1292</v>
      </c>
      <c r="T28" s="805" cm="1" t="str">
        <f t="array" ref="T28:T28">T27</f>
        <v>false</v>
      </c>
      <c r="AB28" s="1545" t="s">
        <v>1293</v>
      </c>
      <c r="AC28" s="1546"/>
      <c r="AD28" s="302" t="s">
        <v>805</v>
      </c>
      <c r="AE28" s="112">
        <f>SUM(AE29:AE33)+SUM(AE39:AE43)+AE47</f>
        <v>0</v>
      </c>
      <c r="AF28" s="112">
        <f>SUM(AF29:AF33)+SUM(AF39:AF43)+AF47</f>
        <v>0</v>
      </c>
      <c r="AG28" s="112">
        <f>SUM(AG29:AG33)+SUM(AG39:AG43)+AG47</f>
        <v>0</v>
      </c>
      <c r="AH28" s="112">
        <f>AG28-AF28</f>
        <v>0</v>
      </c>
      <c r="AI28" s="112">
        <f>SUM(AI29:AI33)+SUM(AI39:AI43)+AI47</f>
        <v>0</v>
      </c>
      <c r="AJ28" s="375">
        <f>SUM(AJ29:AJ33)+SUM(AJ39:AJ43)+AJ47</f>
        <v>0</v>
      </c>
      <c r="AK28" s="375">
        <f>SUM(AK29:AK33)+SUM(AK39:AK43)+AK47</f>
        <v>0</v>
      </c>
      <c r="AL28" s="306">
        <f>IF(AI28=0,0,(AK28-AI28)/AI28*100)</f>
        <v>0</v>
      </c>
      <c r="AM28" s="73"/>
      <c r="AN28" s="73"/>
      <c r="AO28" s="73"/>
      <c r="AR28" s="1232" t="s">
        <v>1294</v>
      </c>
      <c r="AS28" s="1238"/>
      <c r="AT28" s="1238"/>
      <c r="AU28" s="1239"/>
      <c r="AV28" s="1239"/>
    </row>
    <row customHeight="1" ht="29.25" hidden="1">
      <c r="E29" s="794">
        <v>30</v>
      </c>
      <c r="F29" s="919" cm="1" t="str">
        <f t="array" ref="F29:F29">OFFSET(G29,-1,-1)</f>
        <v>0</v>
      </c>
      <c r="T29" s="805" cm="1" t="str">
        <f t="array" ref="T29:T29">T28</f>
        <v>false</v>
      </c>
      <c r="AB29" s="157">
        <v>1</v>
      </c>
      <c r="AC29" s="165" t="s">
        <v>1295</v>
      </c>
      <c r="AD29" s="555" t="s">
        <v>1019</v>
      </c>
      <c r="AE29" s="113"/>
      <c r="AF29" s="113"/>
      <c r="AG29" s="113"/>
      <c r="AH29" s="379">
        <f>AG29-AF29</f>
        <v>0</v>
      </c>
      <c r="AI29" s="113"/>
      <c r="AJ29" s="378"/>
      <c r="AK29" s="378"/>
      <c r="AL29" s="307">
        <f>IF(AI29=0,0,(AK29-AI29)/AI29*100)</f>
        <v>0</v>
      </c>
      <c r="AM29" s="73"/>
      <c r="AN29" s="73"/>
      <c r="AO29" s="73"/>
      <c r="AR29" s="1232" t="s">
        <v>1296</v>
      </c>
    </row>
    <row s="230" customFormat="1" customHeight="1" ht="14.625" hidden="1">
      <c r="E30" s="800">
        <v>15</v>
      </c>
      <c r="F30" s="919" cm="1" t="str">
        <f t="array" ref="F30:F30">OFFSET(G30,-1,-1)</f>
        <v>0</v>
      </c>
      <c r="T30" s="805" cm="1" t="str">
        <f t="array" ref="T30:T30">T29</f>
        <v>false</v>
      </c>
      <c r="AB30" s="157">
        <v>2</v>
      </c>
      <c r="AC30" s="165" t="s">
        <v>1297</v>
      </c>
      <c r="AD30" s="555" t="s">
        <v>1019</v>
      </c>
      <c r="AE30" s="113"/>
      <c r="AF30" s="113"/>
      <c r="AG30" s="113"/>
      <c r="AH30" s="307">
        <f>AG30-AF30</f>
        <v>0</v>
      </c>
      <c r="AI30" s="113"/>
      <c r="AJ30" s="378"/>
      <c r="AK30" s="378"/>
      <c r="AL30" s="307">
        <f>IF(AI30=0,0,(AK30-AI30)/AI30*100)</f>
        <v>0</v>
      </c>
      <c r="AM30" s="73"/>
      <c r="AN30" s="73"/>
      <c r="AO30" s="73"/>
      <c r="AR30" s="1232" t="s">
        <v>1298</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1019</v>
      </c>
      <c r="AE31" s="98">
        <f>_xlfn.SUMIFS(ФОТ!AE$26:AE$108,ФОТ!$F$26:$F$108,$F31,ФОТ!$G$26:$G$108,$G31)</f>
        <v>0</v>
      </c>
      <c r="AF31" s="98">
        <f>_xlfn.SUMIFS(ФОТ!AF$26:AF$108,ФОТ!$F$26:$F$108,$F31,ФОТ!$G$26:$G$108,$G31)</f>
        <v>0</v>
      </c>
      <c r="AG31" s="98">
        <f>_xlfn.SUMIFS(ФОТ!AG$26:AG$108,ФОТ!$F$26:$F$108,$F31,ФОТ!$G$26:$G$108,$G31)</f>
        <v>0</v>
      </c>
      <c r="AH31" s="307">
        <f>AG31-AF31</f>
        <v>0</v>
      </c>
      <c r="AI31" s="98">
        <f>_xlfn.SUMIFS(ФОТ!AH$26:AH$108,ФОТ!$F$26:$F$108,$F31,ФОТ!$G$26:$G$108,$G31)</f>
        <v>0</v>
      </c>
      <c r="AJ31" s="307">
        <f>_xlfn.SUMIFS(ФОТ!AI$26:AI$108,ФОТ!$F$26:$F$108,$F31,ФОТ!$G$26:$G$108,$G31)</f>
        <v>0</v>
      </c>
      <c r="AK31" s="307">
        <f>_xlfn.SUMIFS(ФОТ!AJ$26:AJ$108,ФОТ!$F$26:$F$108,$F31,ФОТ!$G$26:$G$108,$G31)</f>
        <v>0</v>
      </c>
      <c r="AL31" s="307">
        <f>IF(AI31=0,0,(AK31-AI31)/AI31*100)</f>
        <v>0</v>
      </c>
      <c r="AM31" s="73"/>
      <c r="AN31" s="73"/>
      <c r="AO31" s="73"/>
      <c r="AR31" s="1232" t="s">
        <v>1299</v>
      </c>
    </row>
    <row customHeight="1" ht="52.650000000000006" hidden="1">
      <c r="E32" s="794">
        <v>54</v>
      </c>
      <c r="F32" s="919" cm="1" t="str">
        <f t="array" ref="F32:F32">OFFSET(G32,-1,-1)</f>
        <v>0</v>
      </c>
      <c r="T32" s="805" cm="1" t="str">
        <f t="array" ref="T32:T32">T31</f>
        <v>false</v>
      </c>
      <c r="AB32" s="157">
        <v>4</v>
      </c>
      <c r="AC32" s="165" t="s">
        <v>1300</v>
      </c>
      <c r="AD32" s="485" t="s">
        <v>1019</v>
      </c>
      <c r="AE32" s="98"/>
      <c r="AF32" s="98"/>
      <c r="AG32" s="98"/>
      <c r="AH32" s="307">
        <f>AG32-AF32</f>
        <v>0</v>
      </c>
      <c r="AI32" s="98"/>
      <c r="AJ32" s="308"/>
      <c r="AK32" s="308"/>
      <c r="AL32" s="307">
        <f>IF(AI32=0,0,(AK32-AI32)/AI32*100)</f>
        <v>0</v>
      </c>
      <c r="AM32" s="73"/>
      <c r="AN32" s="73"/>
      <c r="AO32" s="73"/>
      <c r="AR32" s="1232" t="s">
        <v>1301</v>
      </c>
    </row>
    <row customHeight="1" ht="30.712500000000002" hidden="1">
      <c r="E33" s="794">
        <v>31.5</v>
      </c>
      <c r="F33" s="919" cm="1" t="str">
        <f t="array" ref="F33:F33">OFFSET(G33,-1,-1)</f>
        <v>0</v>
      </c>
      <c r="T33" s="805" cm="1" t="str">
        <f t="array" ref="T33:T33">T32</f>
        <v>false</v>
      </c>
      <c r="AB33" s="157">
        <v>5</v>
      </c>
      <c r="AC33" s="165" t="s">
        <v>1302</v>
      </c>
      <c r="AD33" s="485" t="s">
        <v>1019</v>
      </c>
      <c r="AE33" s="307">
        <f>SUM(AE34:AE38)</f>
        <v>0</v>
      </c>
      <c r="AF33" s="307">
        <f>SUM(AF34:AF38)</f>
        <v>0</v>
      </c>
      <c r="AG33" s="98">
        <f>SUM(AG34:AG38)</f>
        <v>0</v>
      </c>
      <c r="AH33" s="307">
        <f>AG33-AF33</f>
        <v>0</v>
      </c>
      <c r="AI33" s="307">
        <f>SUM(AI34:AI38)</f>
        <v>0</v>
      </c>
      <c r="AJ33" s="307">
        <f>SUM(AJ34:AJ38)</f>
        <v>0</v>
      </c>
      <c r="AK33" s="307">
        <f>SUM(AK34:AK38)</f>
        <v>0</v>
      </c>
      <c r="AL33" s="307">
        <f>IF(AI33=0,0,(AK33-AI33)/AI33*100)</f>
        <v>0</v>
      </c>
      <c r="AM33" s="73"/>
      <c r="AN33" s="73"/>
      <c r="AO33" s="73"/>
      <c r="AR33" s="1232" t="s">
        <v>1303</v>
      </c>
    </row>
    <row customHeight="1" ht="14.625" hidden="1">
      <c r="E34" s="794">
        <v>15</v>
      </c>
      <c r="F34" s="919" cm="1" t="str">
        <f t="array" ref="F34:F34">OFFSET(G34,-1,-1)</f>
        <v>0</v>
      </c>
      <c r="T34" s="805" cm="1" t="str">
        <f t="array" ref="T34:T34">T33</f>
        <v>false</v>
      </c>
      <c r="AB34" s="157" t="s">
        <v>751</v>
      </c>
      <c r="AC34" s="165" t="s">
        <v>1304</v>
      </c>
      <c r="AD34" s="485" t="s">
        <v>1019</v>
      </c>
      <c r="AE34" s="98"/>
      <c r="AF34" s="98"/>
      <c r="AG34" s="98"/>
      <c r="AH34" s="307">
        <f>AG34-AF34</f>
        <v>0</v>
      </c>
      <c r="AI34" s="98"/>
      <c r="AJ34" s="308"/>
      <c r="AK34" s="308"/>
      <c r="AL34" s="307">
        <f>IF(AI34=0,0,(AK34-AI34)/AI34*100)</f>
        <v>0</v>
      </c>
      <c r="AM34" s="73"/>
      <c r="AN34" s="73"/>
      <c r="AO34" s="73"/>
      <c r="AR34" s="1232" t="s">
        <v>1305</v>
      </c>
    </row>
    <row customHeight="1" ht="14.625" hidden="1">
      <c r="E35" s="794">
        <v>15</v>
      </c>
      <c r="F35" s="919" cm="1" t="str">
        <f t="array" ref="F35:F35">OFFSET(G35,-1,-1)</f>
        <v>0</v>
      </c>
      <c r="T35" s="805" cm="1" t="str">
        <f t="array" ref="T35:T35">T34</f>
        <v>false</v>
      </c>
      <c r="AB35" s="157" t="s">
        <v>1306</v>
      </c>
      <c r="AC35" s="165" t="s">
        <v>1307</v>
      </c>
      <c r="AD35" s="485" t="s">
        <v>1019</v>
      </c>
      <c r="AE35" s="98"/>
      <c r="AF35" s="98"/>
      <c r="AG35" s="98"/>
      <c r="AH35" s="307">
        <f>AG35-AF35</f>
        <v>0</v>
      </c>
      <c r="AI35" s="98"/>
      <c r="AJ35" s="308"/>
      <c r="AK35" s="308"/>
      <c r="AL35" s="307">
        <f>IF(AI35=0,0,(AK35-AI35)/AI35*100)</f>
        <v>0</v>
      </c>
      <c r="AM35" s="73"/>
      <c r="AN35" s="73"/>
      <c r="AO35" s="73"/>
      <c r="AR35" s="1232" t="s">
        <v>1308</v>
      </c>
    </row>
    <row customHeight="1" ht="14.625" hidden="1">
      <c r="E36" s="794">
        <v>15</v>
      </c>
      <c r="F36" s="919" cm="1" t="str">
        <f t="array" ref="F36:F36">OFFSET(G36,-1,-1)</f>
        <v>0</v>
      </c>
      <c r="T36" s="805" cm="1" t="str">
        <f t="array" ref="T36:T36">T35</f>
        <v>false</v>
      </c>
      <c r="AB36" s="157" t="s">
        <v>1309</v>
      </c>
      <c r="AC36" s="165" t="s">
        <v>1310</v>
      </c>
      <c r="AD36" s="485" t="s">
        <v>1019</v>
      </c>
      <c r="AE36" s="98"/>
      <c r="AF36" s="98"/>
      <c r="AG36" s="98"/>
      <c r="AH36" s="307">
        <f>AG36-AF36</f>
        <v>0</v>
      </c>
      <c r="AI36" s="98"/>
      <c r="AJ36" s="308"/>
      <c r="AK36" s="308"/>
      <c r="AL36" s="307">
        <f>IF(AI36=0,0,(AK36-AI36)/AI36*100)</f>
        <v>0</v>
      </c>
      <c r="AM36" s="73"/>
      <c r="AN36" s="73"/>
      <c r="AO36" s="73"/>
      <c r="AR36" s="1232" t="s">
        <v>1311</v>
      </c>
    </row>
    <row customHeight="1" ht="23.400000000000002" hidden="1">
      <c r="E37" s="794">
        <v>24</v>
      </c>
      <c r="F37" s="919" cm="1" t="str">
        <f t="array" ref="F37:F37">OFFSET(G37,-1,-1)</f>
        <v>0</v>
      </c>
      <c r="T37" s="805" cm="1" t="str">
        <f t="array" ref="T37:T37">T36</f>
        <v>false</v>
      </c>
      <c r="AB37" s="157" t="s">
        <v>1312</v>
      </c>
      <c r="AC37" s="165" t="s">
        <v>1313</v>
      </c>
      <c r="AD37" s="485" t="s">
        <v>1019</v>
      </c>
      <c r="AE37" s="98"/>
      <c r="AF37" s="98"/>
      <c r="AG37" s="98"/>
      <c r="AH37" s="307">
        <f>AG37-AF37</f>
        <v>0</v>
      </c>
      <c r="AI37" s="98"/>
      <c r="AJ37" s="308"/>
      <c r="AK37" s="308"/>
      <c r="AL37" s="307">
        <f>IF(AI37=0,0,(AK37-AI37)/AI37*100)</f>
        <v>0</v>
      </c>
      <c r="AM37" s="73"/>
      <c r="AN37" s="73"/>
      <c r="AO37" s="73"/>
      <c r="AR37" s="1232" t="s">
        <v>1314</v>
      </c>
    </row>
    <row customHeight="1" ht="14.625" hidden="1">
      <c r="E38" s="794">
        <v>15</v>
      </c>
      <c r="F38" s="919" cm="1" t="str">
        <f t="array" ref="F38:F38">OFFSET(G38,-1,-1)</f>
        <v>0</v>
      </c>
      <c r="T38" s="805" cm="1" t="str">
        <f t="array" ref="T38:T38">T37</f>
        <v>false</v>
      </c>
      <c r="AB38" s="157" t="s">
        <v>1315</v>
      </c>
      <c r="AC38" s="165" t="s">
        <v>1316</v>
      </c>
      <c r="AD38" s="485" t="s">
        <v>1019</v>
      </c>
      <c r="AE38" s="98"/>
      <c r="AF38" s="98"/>
      <c r="AG38" s="98"/>
      <c r="AH38" s="307">
        <f>AG38-AF38</f>
        <v>0</v>
      </c>
      <c r="AI38" s="98"/>
      <c r="AJ38" s="308"/>
      <c r="AK38" s="308"/>
      <c r="AL38" s="307">
        <f>IF(AI38=0,0,(AK38-AI38)/AI38*100)</f>
        <v>0</v>
      </c>
      <c r="AM38" s="73"/>
      <c r="AN38" s="73"/>
      <c r="AO38" s="73"/>
      <c r="AR38" s="1232" t="s">
        <v>1317</v>
      </c>
    </row>
    <row s="232" customFormat="1" customHeight="1" ht="14.625" hidden="1">
      <c r="E39" s="794">
        <v>15</v>
      </c>
      <c r="F39" s="919" cm="1" t="str">
        <f t="array" ref="F39:F39">OFFSET(G39,-1,-1)</f>
        <v>0</v>
      </c>
      <c r="T39" s="805" cm="1" t="str">
        <f t="array" ref="T39:T39">T38</f>
        <v>false</v>
      </c>
      <c r="AB39" s="157" t="s">
        <v>632</v>
      </c>
      <c r="AC39" s="165" t="s">
        <v>1318</v>
      </c>
      <c r="AD39" s="485" t="s">
        <v>1019</v>
      </c>
      <c r="AE39" s="98"/>
      <c r="AF39" s="98"/>
      <c r="AG39" s="98"/>
      <c r="AH39" s="307">
        <f>AG39-AF39</f>
        <v>0</v>
      </c>
      <c r="AI39" s="98"/>
      <c r="AJ39" s="308"/>
      <c r="AK39" s="308"/>
      <c r="AL39" s="307">
        <f>IF(AI39=0,0,(AK39-AI39)/AI39*100)</f>
        <v>0</v>
      </c>
      <c r="AM39" s="73"/>
      <c r="AN39" s="73"/>
      <c r="AO39" s="73"/>
      <c r="AR39" s="1232" t="s">
        <v>1319</v>
      </c>
      <c r="AS39" s="1240"/>
      <c r="AT39" s="1240"/>
      <c r="AU39" s="1241"/>
      <c r="AV39" s="1241"/>
    </row>
    <row customHeight="1" ht="14.625" hidden="1">
      <c r="E40" s="794">
        <v>15</v>
      </c>
      <c r="F40" s="919" cm="1" t="str">
        <f t="array" ref="F40:F40">OFFSET(G40,-1,-1)</f>
        <v>0</v>
      </c>
      <c r="T40" s="805" cm="1" t="str">
        <f t="array" ref="T40:T40">T39</f>
        <v>false</v>
      </c>
      <c r="AB40" s="157" t="s">
        <v>651</v>
      </c>
      <c r="AC40" s="165" t="s">
        <v>1320</v>
      </c>
      <c r="AD40" s="485" t="s">
        <v>1019</v>
      </c>
      <c r="AE40" s="98"/>
      <c r="AF40" s="98"/>
      <c r="AG40" s="98"/>
      <c r="AH40" s="307">
        <f>AG40-AF40</f>
        <v>0</v>
      </c>
      <c r="AI40" s="98"/>
      <c r="AJ40" s="308"/>
      <c r="AK40" s="308"/>
      <c r="AL40" s="307">
        <f>IF(AI40=0,0,(AK40-AI40)/AI40*100)</f>
        <v>0</v>
      </c>
      <c r="AM40" s="73"/>
      <c r="AN40" s="73"/>
      <c r="AO40" s="73"/>
      <c r="AR40" s="1232" t="s">
        <v>1321</v>
      </c>
    </row>
    <row customHeight="1" ht="14.625" hidden="1">
      <c r="E41" s="794">
        <v>15</v>
      </c>
      <c r="F41" s="919" cm="1" t="str">
        <f t="array" ref="F41:F41">OFFSET(G41,-1,-1)</f>
        <v>0</v>
      </c>
      <c r="G41" s="190" t="s">
        <v>1164</v>
      </c>
      <c r="T41" s="805" cm="1" t="str">
        <f t="array" ref="T41:T41">T40</f>
        <v>false</v>
      </c>
      <c r="AB41" s="157" t="s">
        <v>656</v>
      </c>
      <c r="AC41" s="164" t="s">
        <v>1322</v>
      </c>
      <c r="AD41" s="485" t="s">
        <v>1019</v>
      </c>
      <c r="AE41" s="307">
        <f>_xlfn.SUMIFS(Аренда!AE$26:AE$63,Аренда!$F$26:$F$63,$F41,Аренда!$G$26:$G$63,$G41)</f>
        <v>0</v>
      </c>
      <c r="AF41" s="307">
        <f>_xlfn.SUMIFS(Аренда!AF$26:AF$63,Аренда!$F$26:$F$63,$F41,Аренда!$G$26:$G$63,$G41)</f>
        <v>0</v>
      </c>
      <c r="AG41" s="98">
        <f>_xlfn.SUMIFS(Аренда!AG$26:AG$63,Аренда!$F$26:$F$63,$F41,Аренда!$G$26:$G$63,$G41)</f>
        <v>0</v>
      </c>
      <c r="AH41" s="307">
        <f>AG41-AF41</f>
        <v>0</v>
      </c>
      <c r="AI41" s="307">
        <f>_xlfn.SUMIFS(Аренда!AH$26:AH$63,Аренда!$F$26:$F$63,$F41,Аренда!$G$26:$G$63,$G41)</f>
        <v>0</v>
      </c>
      <c r="AJ41" s="307">
        <f>_xlfn.SUMIFS(Аренда!AI$26:AI$63,Аренда!$F$26:$F$63,$F41,Аренда!$G$26:$G$63,$G41)</f>
        <v>0</v>
      </c>
      <c r="AK41" s="307">
        <f>_xlfn.SUMIFS(Аренда!AS$26:AS$63,Аренда!$F$26:$F$63,$F41,Аренда!$G$26:$G$63,$G41)</f>
        <v>0</v>
      </c>
      <c r="AL41" s="307">
        <f>IF(AI41=0,0,(AK41-AI41)/AI41*100)</f>
        <v>0</v>
      </c>
      <c r="AM41" s="73"/>
      <c r="AN41" s="73"/>
      <c r="AO41" s="73"/>
      <c r="AR41" s="1232" t="s">
        <v>1323</v>
      </c>
    </row>
    <row s="232" customFormat="1" customHeight="1" ht="14.625" hidden="1">
      <c r="E42" s="794">
        <v>15</v>
      </c>
      <c r="F42" s="919" cm="1" t="str">
        <f t="array" ref="F42:F42">OFFSET(G42,-1,-1)</f>
        <v>0</v>
      </c>
      <c r="G42" s="190" t="s">
        <v>1151</v>
      </c>
      <c r="T42" s="805" cm="1" t="str">
        <f t="array" ref="T42:T42">T41</f>
        <v>false</v>
      </c>
      <c r="AB42" s="157" t="s">
        <v>664</v>
      </c>
      <c r="AC42" s="164" t="s">
        <v>1324</v>
      </c>
      <c r="AD42" s="485" t="s">
        <v>1019</v>
      </c>
      <c r="AE42" s="307">
        <f>_xlfn.SUMIFS(Аренда!AE$26:AE$63,Аренда!$F$26:$F$63,$F42,Аренда!$G$26:$G$63,$G42)</f>
        <v>0</v>
      </c>
      <c r="AF42" s="307">
        <f>_xlfn.SUMIFS(Аренда!AF$26:AF$63,Аренда!$F$26:$F$63,$F42,Аренда!$G$26:$G$63,$G42)</f>
        <v>0</v>
      </c>
      <c r="AG42" s="98">
        <f>_xlfn.SUMIFS(Аренда!AG$26:AG$63,Аренда!$F$26:$F$63,$F42,Аренда!$G$26:$G$63,$G42)</f>
        <v>0</v>
      </c>
      <c r="AH42" s="307">
        <f>AG42-AF42</f>
        <v>0</v>
      </c>
      <c r="AI42" s="307">
        <f>_xlfn.SUMIFS(Аренда!AH$26:AH$63,Аренда!$F$26:$F$63,$F42,Аренда!$G$26:$G$63,$G42)</f>
        <v>0</v>
      </c>
      <c r="AJ42" s="307">
        <f>_xlfn.SUMIFS(Аренда!AI$26:AI$63,Аренда!$F$26:$F$63,$F42,Аренда!$G$26:$G$63,$G42)</f>
        <v>0</v>
      </c>
      <c r="AK42" s="307">
        <f>_xlfn.SUMIFS(Аренда!AS$26:AS$63,Аренда!$F$26:$F$63,$F42,Аренда!$G$26:$G$63,$G42)</f>
        <v>0</v>
      </c>
      <c r="AL42" s="307">
        <f>IF(AI42=0,0,(AK42-AI42)/AI42*100)</f>
        <v>0</v>
      </c>
      <c r="AM42" s="73"/>
      <c r="AN42" s="73"/>
      <c r="AO42" s="73"/>
      <c r="AR42" s="1232" t="s">
        <v>1154</v>
      </c>
      <c r="AS42" s="1240"/>
      <c r="AT42" s="1240"/>
      <c r="AU42" s="1241"/>
      <c r="AV42" s="1241"/>
    </row>
    <row customHeight="1" ht="29.25" hidden="1">
      <c r="E43" s="794">
        <v>30</v>
      </c>
      <c r="F43" s="919" cm="1" t="str">
        <f t="array" ref="F43:F43">OFFSET(G43,-1,-1)</f>
        <v>0</v>
      </c>
      <c r="T43" s="805" cm="1" t="str">
        <f t="array" ref="T43:T43">T42</f>
        <v>false</v>
      </c>
      <c r="AB43" s="157" t="s">
        <v>688</v>
      </c>
      <c r="AC43" s="165" t="s">
        <v>1325</v>
      </c>
      <c r="AD43" s="485" t="s">
        <v>1019</v>
      </c>
      <c r="AE43" s="307">
        <f>SUM(AE44:AE46)</f>
        <v>0</v>
      </c>
      <c r="AF43" s="307">
        <f>SUM(AF44:AF46)</f>
        <v>0</v>
      </c>
      <c r="AG43" s="98">
        <f>SUM(AG44:AG46)</f>
        <v>0</v>
      </c>
      <c r="AH43" s="307">
        <f>AG43-AF43</f>
        <v>0</v>
      </c>
      <c r="AI43" s="307">
        <f>SUM(AI44:AI46)</f>
        <v>0</v>
      </c>
      <c r="AJ43" s="307">
        <f>SUM(AJ44:AJ46)</f>
        <v>0</v>
      </c>
      <c r="AK43" s="307">
        <f>SUM(AK44:AK46)</f>
        <v>0</v>
      </c>
      <c r="AL43" s="307">
        <f>IF(AI43=0,0,(AK43-AI43)/AI43*100)</f>
        <v>0</v>
      </c>
      <c r="AM43" s="73"/>
      <c r="AN43" s="73"/>
      <c r="AO43" s="73"/>
      <c r="AR43" s="1232" t="s">
        <v>1268</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233</v>
      </c>
      <c r="Y45" s="172">
        <v>0</v>
      </c>
      <c r="AA45" s="1120" t="s">
        <v>217</v>
      </c>
      <c r="AB45" s="639" t="str">
        <f>"10."&amp;Y45</f>
        <v>10.0</v>
      </c>
      <c r="AC45" s="114"/>
      <c r="AD45" s="496" t="s">
        <v>1019</v>
      </c>
      <c r="AE45" s="115"/>
      <c r="AF45" s="115"/>
      <c r="AG45" s="115"/>
      <c r="AH45" s="548">
        <f>AG45-AF45</f>
        <v>0</v>
      </c>
      <c r="AI45" s="115"/>
      <c r="AJ45" s="705"/>
      <c r="AK45" s="705"/>
      <c r="AL45" s="548">
        <f>IF(AI45=0,0,(AK45-AI45)/AI45*100)</f>
        <v>0</v>
      </c>
      <c r="AM45" s="68"/>
      <c r="AN45" s="68"/>
      <c r="AO45" s="68"/>
      <c r="AR45" s="1232" t="s">
        <v>1268</v>
      </c>
      <c r="AS45" s="1232" t="s">
        <v>1196</v>
      </c>
      <c r="AT45" s="1242" cm="1" t="str">
        <f t="array" ref="AT45:AT45">AC45</f>
        <v>0</v>
      </c>
      <c r="AV45" s="1233" t="b">
        <v>1</v>
      </c>
    </row>
    <row customHeight="1" ht="13.747500000000002" hidden="1">
      <c r="E46" s="794">
        <v>14.1</v>
      </c>
      <c r="F46" s="919" cm="1" t="str">
        <f t="array" ref="F46:F46">OFFSET(G46,-1,-1)</f>
        <v>0</v>
      </c>
      <c r="T46" s="805">
        <f>F46&gt;0</f>
        <v>0</v>
      </c>
      <c r="W46" s="371" t="s">
        <v>501</v>
      </c>
      <c r="AB46" s="728"/>
      <c r="AC46" s="732" t="s">
        <v>235</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1196</v>
      </c>
    </row>
    <row customHeight="1" ht="13.747500000000002" hidden="1">
      <c r="E47" s="794">
        <v>14.1</v>
      </c>
      <c r="F47" s="919" cm="1" t="str">
        <f t="array" ref="F47:F47">OFFSET(G47,-1,-1)</f>
        <v>0</v>
      </c>
      <c r="T47" s="805">
        <f>F47&gt;0</f>
        <v>0</v>
      </c>
      <c r="AB47" s="640" t="s">
        <v>696</v>
      </c>
      <c r="AC47" s="726" t="s">
        <v>1326</v>
      </c>
      <c r="AD47" s="555" t="s">
        <v>1019</v>
      </c>
      <c r="AE47" s="642">
        <f>SUM(AE48:AE50)</f>
        <v>0</v>
      </c>
      <c r="AF47" s="642">
        <f>SUM(AF48:AF50)</f>
        <v>0</v>
      </c>
      <c r="AG47" s="116">
        <f>SUM(AG48:AG50)</f>
        <v>0</v>
      </c>
      <c r="AH47" s="642">
        <f>AG47-AF47</f>
        <v>0</v>
      </c>
      <c r="AI47" s="642">
        <f>SUM(AI48:AI50)</f>
        <v>0</v>
      </c>
      <c r="AJ47" s="642">
        <f>SUM(AJ48:AJ50)</f>
        <v>0</v>
      </c>
      <c r="AK47" s="642">
        <f>SUM(AK48:AK50)</f>
        <v>0</v>
      </c>
      <c r="AL47" s="642">
        <f>IF(AI47=0,0,(AK47-AI47)/AI47*100)</f>
        <v>0</v>
      </c>
      <c r="AM47" s="80"/>
      <c r="AN47" s="80"/>
      <c r="AO47" s="80"/>
      <c r="AR47" s="1232" t="s">
        <v>1327</v>
      </c>
    </row>
    <row customHeight="1" ht="11.25" hidden="1">
      <c r="E48" s="794">
        <v>0</v>
      </c>
      <c r="F48" s="919" cm="1" t="str">
        <f t="array" ref="F48:F48">OFFSET(G48,-1,-1)</f>
        <v>0</v>
      </c>
      <c r="T48" s="805">
        <f>F48&gt;0</f>
        <v>0</v>
      </c>
      <c r="AB48" s="639"/>
      <c r="AC48" s="669"/>
      <c r="AD48" s="670"/>
      <c r="AE48" s="485"/>
      <c r="AF48" s="485"/>
      <c r="AG48" s="485"/>
      <c r="AI48" s="485"/>
      <c r="AJ48" s="485"/>
      <c r="AK48" s="485"/>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233</v>
      </c>
      <c r="Y49" s="172">
        <v>0</v>
      </c>
      <c r="AA49" s="1120" t="s">
        <v>217</v>
      </c>
      <c r="AB49" s="639" t="str">
        <f>"11."&amp;Y49</f>
        <v>11.0</v>
      </c>
      <c r="AC49" s="109"/>
      <c r="AD49" s="170" t="s">
        <v>1019</v>
      </c>
      <c r="AE49" s="98"/>
      <c r="AF49" s="98"/>
      <c r="AG49" s="98"/>
      <c r="AH49" s="307">
        <f>AG49-AF49</f>
        <v>0</v>
      </c>
      <c r="AI49" s="98"/>
      <c r="AJ49" s="308"/>
      <c r="AK49" s="308"/>
      <c r="AL49" s="307">
        <f>IF(AI49=0,0,(AK49-AI49)/AI49*100)</f>
        <v>0</v>
      </c>
      <c r="AM49" s="73"/>
      <c r="AN49" s="73"/>
      <c r="AO49" s="73"/>
      <c r="AR49" s="1232" t="s">
        <v>1327</v>
      </c>
      <c r="AS49" s="1232" t="s">
        <v>1328</v>
      </c>
      <c r="AT49" s="1242" cm="1" t="str">
        <f t="array" ref="AT49:AT49">AC49</f>
        <v>0</v>
      </c>
      <c r="AV49" s="1233" t="b">
        <v>1</v>
      </c>
    </row>
    <row customHeight="1" ht="13.747500000000002" hidden="1">
      <c r="E50" s="794">
        <v>14.1</v>
      </c>
      <c r="F50" s="919" cm="1" t="str">
        <f t="array" ref="F50:F50">OFFSET(G50,-1,-1)</f>
        <v>0</v>
      </c>
      <c r="T50" s="805">
        <f>F50&gt;0</f>
        <v>0</v>
      </c>
      <c r="W50" s="371" t="s">
        <v>1329</v>
      </c>
      <c r="AB50" s="728"/>
      <c r="AC50" s="732" t="s">
        <v>235</v>
      </c>
      <c r="AD50" s="729"/>
      <c r="AE50" s="731"/>
      <c r="AF50" s="731"/>
      <c r="AG50" s="731"/>
      <c r="AH50" s="731"/>
      <c r="AI50" s="731"/>
      <c r="AJ50" s="731"/>
      <c r="AK50" s="731"/>
      <c r="AL50" s="731"/>
      <c r="AM50" s="731"/>
      <c r="AN50" s="731"/>
      <c r="AO50" s="731"/>
      <c r="AU50" s="1233" t="s">
        <v>1328</v>
      </c>
    </row>
    <row s="1872" customFormat="1" customHeight="1" ht="13.5">
      <c r="A51" s="217"/>
      <c r="B51" s="217"/>
      <c r="C51" s="217"/>
      <c r="D51" s="217"/>
      <c r="E51" s="794">
        <v>14.1</v>
      </c>
      <c r="F51" s="919" cm="1" t="str">
        <f t="array" ref="F51:F51">X51</f>
        <v>1</v>
      </c>
      <c r="G51" s="190" cm="1" t="str">
        <f t="array" ref="G51:G51">INDEX('Общие сведения'!$AK$169:$AK$218,MATCH($F51,'Общие сведения'!$Z$169:$Z$218,0))</f>
        <v>одноставочный</v>
      </c>
      <c r="H51" s="217"/>
      <c r="I51" s="210" cm="1" t="str">
        <f t="array" ref="I51:I51">INDEX('Общие сведения'!$AE$169:$AE$218,MATCH($F51,'Общие сведения'!$Z$169:$Z$218,0))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W51" s="217"/>
      <c r="X51" s="172" t="s">
        <v>335</v>
      </c>
      <c r="Y51" s="217"/>
      <c r="Z51" s="217"/>
      <c r="AA51" s="217"/>
      <c r="AB51" s="327" cm="1" t="str">
        <f t="array" ref="AB51:AB51">IF(ISBLANK(Экономия_корр!$AB$35),"",Экономия_корр!$AB$35)</f>
        <v>Тариф 1 (Теплоснабжение) - Тариф на тепловую энергию (мощность), поставляемую потребителям (Тариф: Носитель - горячая вода (Т); Носитель - горячая вода (Т))</v>
      </c>
      <c r="AC51" s="328"/>
      <c r="AD51" s="328"/>
      <c r="AE51" s="328"/>
      <c r="AF51" s="328"/>
      <c r="AG51" s="328"/>
      <c r="AH51" s="328"/>
      <c r="AI51" s="328"/>
      <c r="AJ51" s="328"/>
      <c r="AK51" s="328"/>
      <c r="AL51" s="328"/>
      <c r="AM51" s="328"/>
      <c r="AN51" s="328"/>
      <c r="AO51" s="328"/>
      <c r="AP51" s="217"/>
      <c r="AQ51" s="217"/>
      <c r="AR51" s="1181"/>
      <c r="AS51" s="1181"/>
      <c r="AT51" s="1181"/>
      <c r="AU51" s="1184"/>
      <c r="AV51" s="1184"/>
    </row>
    <row s="1873" customFormat="1" customHeight="1" ht="13.5">
      <c r="A52" s="231"/>
      <c r="B52" s="231"/>
      <c r="C52" s="231"/>
      <c r="D52" s="231"/>
      <c r="E52" s="800">
        <v>14.1</v>
      </c>
      <c r="F52" s="919" cm="1" t="str">
        <f t="array" ref="F52:F52">OFFSET(G52,-1,-1)</f>
        <v>1</v>
      </c>
      <c r="G52" s="929" t="s">
        <v>1292</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1293</v>
      </c>
      <c r="AC52" s="1546"/>
      <c r="AD52" s="302" t="s">
        <v>805</v>
      </c>
      <c r="AE52" s="1874">
        <f>SUM(AE53:AE57)+SUM(AE63:AE67)+AE71</f>
        <v>0</v>
      </c>
      <c r="AF52" s="1874">
        <f>SUM(AF53:AF57)+SUM(AF63:AF67)+AF71</f>
        <v>0</v>
      </c>
      <c r="AG52" s="1874">
        <f>SUM(AG53:AG57)+SUM(AG63:AG67)+AG71</f>
        <v>0</v>
      </c>
      <c r="AH52" s="1874">
        <f>AG52-AF52</f>
        <v>0</v>
      </c>
      <c r="AI52" s="1874">
        <f>SUM(AI53:AI57)+SUM(AI63:AI67)+AI71</f>
        <v>0</v>
      </c>
      <c r="AJ52" s="375">
        <f>SUM(AJ53:AJ57)+SUM(AJ63:AJ67)+AJ71</f>
        <v>2955.99992</v>
      </c>
      <c r="AK52" s="375">
        <f>SUM(AK53:AK57)+SUM(AK63:AK67)+AK71</f>
        <v>1635.99992</v>
      </c>
      <c r="AL52" s="306">
        <f>IF(AI52=0,0,(AK52-AI52)/AI52*100)</f>
        <v>0</v>
      </c>
      <c r="AM52" s="1730"/>
      <c r="AN52" s="1730"/>
      <c r="AO52" s="1730"/>
      <c r="AP52" s="231"/>
      <c r="AQ52" s="231"/>
      <c r="AR52" s="1232" t="s">
        <v>1294</v>
      </c>
      <c r="AS52" s="1238"/>
      <c r="AT52" s="1238"/>
      <c r="AU52" s="1239"/>
      <c r="AV52" s="1239"/>
    </row>
    <row s="1619"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1295</v>
      </c>
      <c r="AD53" s="555" t="s">
        <v>1019</v>
      </c>
      <c r="AE53" s="1876"/>
      <c r="AF53" s="1876"/>
      <c r="AG53" s="1876"/>
      <c r="AH53" s="379">
        <f>AG53-AF53</f>
        <v>0</v>
      </c>
      <c r="AI53" s="1876"/>
      <c r="AJ53" s="378">
        <v>124</v>
      </c>
      <c r="AK53" s="378">
        <v>102</v>
      </c>
      <c r="AL53" s="307">
        <f>IF(AI53=0,0,(AK53-AI53)/AI53*100)</f>
        <v>0</v>
      </c>
      <c r="AM53" s="1730"/>
      <c r="AN53" s="1730"/>
      <c r="AO53" s="1730"/>
      <c r="AP53" s="227"/>
      <c r="AQ53" s="227"/>
      <c r="AR53" s="1232" t="s">
        <v>1296</v>
      </c>
      <c r="AS53" s="1232"/>
      <c r="AT53" s="1232"/>
      <c r="AU53" s="1233"/>
      <c r="AV53" s="1233"/>
    </row>
    <row s="1878"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1297</v>
      </c>
      <c r="AD54" s="555" t="s">
        <v>1019</v>
      </c>
      <c r="AE54" s="1876"/>
      <c r="AF54" s="1876"/>
      <c r="AG54" s="1876"/>
      <c r="AH54" s="307">
        <f>AG54-AF54</f>
        <v>0</v>
      </c>
      <c r="AI54" s="1876"/>
      <c r="AJ54" s="378"/>
      <c r="AK54" s="378"/>
      <c r="AL54" s="307">
        <f>IF(AI54=0,0,(AK54-AI54)/AI54*100)</f>
        <v>0</v>
      </c>
      <c r="AM54" s="1730"/>
      <c r="AN54" s="1730"/>
      <c r="AO54" s="1730"/>
      <c r="AP54" s="230"/>
      <c r="AQ54" s="230"/>
      <c r="AR54" s="1232" t="s">
        <v>1298</v>
      </c>
      <c r="AS54" s="1238"/>
      <c r="AT54" s="1238"/>
      <c r="AU54" s="1239"/>
      <c r="AV54" s="1239"/>
    </row>
    <row s="1619"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1019</v>
      </c>
      <c r="AE55" s="1785">
        <f>_xlfn.SUMIFS(ФОТ!AE$26:AE$108,ФОТ!$F$26:$F$108,$F55,ФОТ!$G$26:$G$108,$G55)</f>
        <v>0</v>
      </c>
      <c r="AF55" s="1785">
        <f>_xlfn.SUMIFS(ФОТ!AF$26:AF$108,ФОТ!$F$26:$F$108,$F55,ФОТ!$G$26:$G$108,$G55)</f>
        <v>0</v>
      </c>
      <c r="AG55" s="1785">
        <f>_xlfn.SUMIFS(ФОТ!AG$26:AG$108,ФОТ!$F$26:$F$108,$F55,ФОТ!$G$26:$G$108,$G55)</f>
        <v>0</v>
      </c>
      <c r="AH55" s="307">
        <f>AG55-AF55</f>
        <v>0</v>
      </c>
      <c r="AI55" s="1785">
        <f>_xlfn.SUMIFS(ФОТ!AH$26:AH$108,ФОТ!$F$26:$F$108,$F55,ФОТ!$G$26:$G$108,$G55)</f>
        <v>0</v>
      </c>
      <c r="AJ55" s="307">
        <f>_xlfn.SUMIFS(ФОТ!AI$26:AI$108,ФОТ!$F$26:$F$108,$F55,ФОТ!$G$26:$G$108,$G55)</f>
        <v>1081.99992</v>
      </c>
      <c r="AK55" s="307">
        <f>_xlfn.SUMIFS(ФОТ!AJ$26:AJ$108,ФОТ!$F$26:$F$108,$F55,ФОТ!$G$26:$G$108,$G55)</f>
        <v>601.99992</v>
      </c>
      <c r="AL55" s="307">
        <f>IF(AI55=0,0,(AK55-AI55)/AI55*100)</f>
        <v>0</v>
      </c>
      <c r="AM55" s="1730"/>
      <c r="AN55" s="1730"/>
      <c r="AO55" s="1730"/>
      <c r="AP55" s="227"/>
      <c r="AQ55" s="227"/>
      <c r="AR55" s="1232" t="s">
        <v>1299</v>
      </c>
      <c r="AS55" s="1232"/>
      <c r="AT55" s="1232"/>
      <c r="AU55" s="1233"/>
      <c r="AV55" s="1233"/>
    </row>
    <row s="1619"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1300</v>
      </c>
      <c r="AD56" s="485" t="s">
        <v>1019</v>
      </c>
      <c r="AE56" s="1785"/>
      <c r="AF56" s="1785"/>
      <c r="AG56" s="1785"/>
      <c r="AH56" s="307">
        <f>AG56-AF56</f>
        <v>0</v>
      </c>
      <c r="AI56" s="1785"/>
      <c r="AJ56" s="308">
        <v>1629</v>
      </c>
      <c r="AK56" s="308">
        <v>868</v>
      </c>
      <c r="AL56" s="307">
        <f>IF(AI56=0,0,(AK56-AI56)/AI56*100)</f>
        <v>0</v>
      </c>
      <c r="AM56" s="1730"/>
      <c r="AN56" s="1730"/>
      <c r="AO56" s="1730"/>
      <c r="AP56" s="227"/>
      <c r="AQ56" s="227"/>
      <c r="AR56" s="1232" t="s">
        <v>1301</v>
      </c>
      <c r="AS56" s="1232"/>
      <c r="AT56" s="1232"/>
      <c r="AU56" s="1233"/>
      <c r="AV56" s="1233"/>
    </row>
    <row s="1619"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1302</v>
      </c>
      <c r="AD57" s="485" t="s">
        <v>1019</v>
      </c>
      <c r="AE57" s="307">
        <f>SUM(AE58:AE62)</f>
        <v>0</v>
      </c>
      <c r="AF57" s="307">
        <f>SUM(AF58:AF62)</f>
        <v>0</v>
      </c>
      <c r="AG57" s="1785">
        <f>SUM(AG58:AG62)</f>
        <v>0</v>
      </c>
      <c r="AH57" s="307">
        <f>AG57-AF57</f>
        <v>0</v>
      </c>
      <c r="AI57" s="307">
        <f>SUM(AI58:AI62)</f>
        <v>0</v>
      </c>
      <c r="AJ57" s="307">
        <f>SUM(AJ58:AJ62)</f>
        <v>112</v>
      </c>
      <c r="AK57" s="307">
        <f>SUM(AK58:AK62)</f>
        <v>56</v>
      </c>
      <c r="AL57" s="307">
        <f>IF(AI57=0,0,(AK57-AI57)/AI57*100)</f>
        <v>0</v>
      </c>
      <c r="AM57" s="1730"/>
      <c r="AN57" s="1730"/>
      <c r="AO57" s="1730"/>
      <c r="AP57" s="227"/>
      <c r="AQ57" s="227"/>
      <c r="AR57" s="1232" t="s">
        <v>1303</v>
      </c>
      <c r="AS57" s="1232"/>
      <c r="AT57" s="1232"/>
      <c r="AU57" s="1233"/>
      <c r="AV57" s="1233"/>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751</v>
      </c>
      <c r="AC58" s="165" t="s">
        <v>1304</v>
      </c>
      <c r="AD58" s="485" t="s">
        <v>1019</v>
      </c>
      <c r="AE58" s="1785"/>
      <c r="AF58" s="1785"/>
      <c r="AG58" s="1785"/>
      <c r="AH58" s="307">
        <f>AG58-AF58</f>
        <v>0</v>
      </c>
      <c r="AI58" s="1785"/>
      <c r="AJ58" s="308"/>
      <c r="AK58" s="308"/>
      <c r="AL58" s="307">
        <f>IF(AI58=0,0,(AK58-AI58)/AI58*100)</f>
        <v>0</v>
      </c>
      <c r="AM58" s="1730"/>
      <c r="AN58" s="1730"/>
      <c r="AO58" s="1730"/>
      <c r="AP58" s="227"/>
      <c r="AQ58" s="227"/>
      <c r="AR58" s="1232" t="s">
        <v>1305</v>
      </c>
      <c r="AS58" s="1232"/>
      <c r="AT58" s="1232"/>
      <c r="AU58" s="1233"/>
      <c r="AV58" s="1233"/>
    </row>
    <row s="1619"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1306</v>
      </c>
      <c r="AC59" s="165" t="s">
        <v>1307</v>
      </c>
      <c r="AD59" s="485" t="s">
        <v>1019</v>
      </c>
      <c r="AE59" s="1785"/>
      <c r="AF59" s="1785"/>
      <c r="AG59" s="1785"/>
      <c r="AH59" s="307">
        <f>AG59-AF59</f>
        <v>0</v>
      </c>
      <c r="AI59" s="1785"/>
      <c r="AJ59" s="308"/>
      <c r="AK59" s="308"/>
      <c r="AL59" s="307">
        <f>IF(AI59=0,0,(AK59-AI59)/AI59*100)</f>
        <v>0</v>
      </c>
      <c r="AM59" s="1730"/>
      <c r="AN59" s="1730"/>
      <c r="AO59" s="1730"/>
      <c r="AP59" s="227"/>
      <c r="AQ59" s="227"/>
      <c r="AR59" s="1232" t="s">
        <v>1308</v>
      </c>
      <c r="AS59" s="1232"/>
      <c r="AT59" s="1232"/>
      <c r="AU59" s="1233"/>
      <c r="AV59" s="1233"/>
    </row>
    <row s="1619"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1309</v>
      </c>
      <c r="AC60" s="165" t="s">
        <v>1310</v>
      </c>
      <c r="AD60" s="485" t="s">
        <v>1019</v>
      </c>
      <c r="AE60" s="1785"/>
      <c r="AF60" s="1785"/>
      <c r="AG60" s="1785"/>
      <c r="AH60" s="307">
        <f>AG60-AF60</f>
        <v>0</v>
      </c>
      <c r="AI60" s="1785"/>
      <c r="AJ60" s="308"/>
      <c r="AK60" s="308"/>
      <c r="AL60" s="307">
        <f>IF(AI60=0,0,(AK60-AI60)/AI60*100)</f>
        <v>0</v>
      </c>
      <c r="AM60" s="1730"/>
      <c r="AN60" s="1730"/>
      <c r="AO60" s="1730"/>
      <c r="AP60" s="227"/>
      <c r="AQ60" s="227"/>
      <c r="AR60" s="1232" t="s">
        <v>1311</v>
      </c>
      <c r="AS60" s="1232"/>
      <c r="AT60" s="1232"/>
      <c r="AU60" s="1233"/>
      <c r="AV60" s="1233"/>
    </row>
    <row s="1619"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1312</v>
      </c>
      <c r="AC61" s="165" t="s">
        <v>1313</v>
      </c>
      <c r="AD61" s="485" t="s">
        <v>1019</v>
      </c>
      <c r="AE61" s="1785"/>
      <c r="AF61" s="1785"/>
      <c r="AG61" s="1785"/>
      <c r="AH61" s="307">
        <f>AG61-AF61</f>
        <v>0</v>
      </c>
      <c r="AI61" s="1785"/>
      <c r="AJ61" s="308"/>
      <c r="AK61" s="308"/>
      <c r="AL61" s="307">
        <f>IF(AI61=0,0,(AK61-AI61)/AI61*100)</f>
        <v>0</v>
      </c>
      <c r="AM61" s="1730"/>
      <c r="AN61" s="1730"/>
      <c r="AO61" s="1730"/>
      <c r="AP61" s="227"/>
      <c r="AQ61" s="227"/>
      <c r="AR61" s="1232" t="s">
        <v>1314</v>
      </c>
      <c r="AS61" s="1232"/>
      <c r="AT61" s="1232"/>
      <c r="AU61" s="1233"/>
      <c r="AV61" s="1233"/>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1315</v>
      </c>
      <c r="AC62" s="165" t="s">
        <v>1316</v>
      </c>
      <c r="AD62" s="485" t="s">
        <v>1019</v>
      </c>
      <c r="AE62" s="1785"/>
      <c r="AF62" s="1785"/>
      <c r="AG62" s="1785"/>
      <c r="AH62" s="307">
        <f>AG62-AF62</f>
        <v>0</v>
      </c>
      <c r="AI62" s="1785"/>
      <c r="AJ62" s="308">
        <v>112</v>
      </c>
      <c r="AK62" s="308">
        <v>56</v>
      </c>
      <c r="AL62" s="307">
        <f>IF(AI62=0,0,(AK62-AI62)/AI62*100)</f>
        <v>0</v>
      </c>
      <c r="AM62" s="1730"/>
      <c r="AN62" s="1730"/>
      <c r="AO62" s="1730"/>
      <c r="AP62" s="227"/>
      <c r="AQ62" s="227"/>
      <c r="AR62" s="1232" t="s">
        <v>1317</v>
      </c>
      <c r="AS62" s="1232"/>
      <c r="AT62" s="1232"/>
      <c r="AU62" s="1233"/>
      <c r="AV62" s="1233"/>
    </row>
    <row s="1879"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632</v>
      </c>
      <c r="AC63" s="165" t="s">
        <v>1318</v>
      </c>
      <c r="AD63" s="485" t="s">
        <v>1019</v>
      </c>
      <c r="AE63" s="1785"/>
      <c r="AF63" s="1785"/>
      <c r="AG63" s="1785"/>
      <c r="AH63" s="307">
        <f>AG63-AF63</f>
        <v>0</v>
      </c>
      <c r="AI63" s="1785"/>
      <c r="AJ63" s="308">
        <v>6</v>
      </c>
      <c r="AK63" s="308">
        <v>5</v>
      </c>
      <c r="AL63" s="307">
        <f>IF(AI63=0,0,(AK63-AI63)/AI63*100)</f>
        <v>0</v>
      </c>
      <c r="AM63" s="1730"/>
      <c r="AN63" s="1730"/>
      <c r="AO63" s="1730"/>
      <c r="AP63" s="232"/>
      <c r="AQ63" s="232"/>
      <c r="AR63" s="1232" t="s">
        <v>1319</v>
      </c>
      <c r="AS63" s="1240"/>
      <c r="AT63" s="1240"/>
      <c r="AU63" s="1241"/>
      <c r="AV63" s="1241"/>
    </row>
    <row s="1619"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651</v>
      </c>
      <c r="AC64" s="165" t="s">
        <v>1320</v>
      </c>
      <c r="AD64" s="485" t="s">
        <v>1019</v>
      </c>
      <c r="AE64" s="1785"/>
      <c r="AF64" s="1785"/>
      <c r="AG64" s="1785"/>
      <c r="AH64" s="307">
        <f>AG64-AF64</f>
        <v>0</v>
      </c>
      <c r="AI64" s="1785"/>
      <c r="AJ64" s="308">
        <v>3</v>
      </c>
      <c r="AK64" s="308">
        <v>3</v>
      </c>
      <c r="AL64" s="307">
        <f>IF(AI64=0,0,(AK64-AI64)/AI64*100)</f>
        <v>0</v>
      </c>
      <c r="AM64" s="1730"/>
      <c r="AN64" s="1730"/>
      <c r="AO64" s="1730"/>
      <c r="AP64" s="227"/>
      <c r="AQ64" s="227"/>
      <c r="AR64" s="1232" t="s">
        <v>1321</v>
      </c>
      <c r="AS64" s="1232"/>
      <c r="AT64" s="1232"/>
      <c r="AU64" s="1233"/>
      <c r="AV64" s="1233"/>
    </row>
    <row s="1619" customFormat="1" customHeight="1" ht="14.25">
      <c r="A65" s="225"/>
      <c r="B65" s="924"/>
      <c r="C65" s="225"/>
      <c r="D65" s="225"/>
      <c r="E65" s="794">
        <v>15</v>
      </c>
      <c r="F65" s="919" cm="1" t="str">
        <f t="array" ref="F65:F65">OFFSET(G65,-1,-1)</f>
        <v>1</v>
      </c>
      <c r="G65" s="190" t="s">
        <v>1164</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656</v>
      </c>
      <c r="AC65" s="164" t="s">
        <v>1322</v>
      </c>
      <c r="AD65" s="485" t="s">
        <v>1019</v>
      </c>
      <c r="AE65" s="307">
        <f>_xlfn.SUMIFS(Аренда!AE$26:AE$63,Аренда!$F$26:$F$63,$F65,Аренда!$G$26:$G$63,$G65)</f>
        <v>0</v>
      </c>
      <c r="AF65" s="307">
        <f>_xlfn.SUMIFS(Аренда!AF$26:AF$63,Аренда!$F$26:$F$63,$F65,Аренда!$G$26:$G$63,$G65)</f>
        <v>0</v>
      </c>
      <c r="AG65" s="1785">
        <f>_xlfn.SUMIFS(Аренда!AG$26:AG$63,Аренда!$F$26:$F$63,$F65,Аренда!$G$26:$G$63,$G65)</f>
        <v>0</v>
      </c>
      <c r="AH65" s="307">
        <f>AG65-AF65</f>
        <v>0</v>
      </c>
      <c r="AI65" s="307">
        <f>_xlfn.SUMIFS(Аренда!AH$26:AH$63,Аренда!$F$26:$F$63,$F65,Аренда!$G$26:$G$63,$G65)</f>
        <v>0</v>
      </c>
      <c r="AJ65" s="307">
        <f>_xlfn.SUMIFS(Аренда!AI$26:AI$63,Аренда!$F$26:$F$63,$F65,Аренда!$G$26:$G$63,$G65)</f>
        <v>0</v>
      </c>
      <c r="AK65" s="307">
        <f>_xlfn.SUMIFS(Аренда!AS$26:AS$63,Аренда!$F$26:$F$63,$F65,Аренда!$G$26:$G$63,$G65)</f>
        <v>0</v>
      </c>
      <c r="AL65" s="307">
        <f>IF(AI65=0,0,(AK65-AI65)/AI65*100)</f>
        <v>0</v>
      </c>
      <c r="AM65" s="1730"/>
      <c r="AN65" s="1730"/>
      <c r="AO65" s="1730"/>
      <c r="AP65" s="227"/>
      <c r="AQ65" s="227"/>
      <c r="AR65" s="1232" t="s">
        <v>1323</v>
      </c>
      <c r="AS65" s="1232"/>
      <c r="AT65" s="1232"/>
      <c r="AU65" s="1233"/>
      <c r="AV65" s="1233"/>
    </row>
    <row s="1880" customFormat="1" customHeight="1" ht="14.25">
      <c r="A66" s="232"/>
      <c r="B66" s="232"/>
      <c r="C66" s="232"/>
      <c r="D66" s="232"/>
      <c r="E66" s="794">
        <v>15</v>
      </c>
      <c r="F66" s="919" cm="1" t="str">
        <f t="array" ref="F66:F66">OFFSET(G66,-1,-1)</f>
        <v>1</v>
      </c>
      <c r="G66" s="190" t="s">
        <v>1151</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664</v>
      </c>
      <c r="AC66" s="164" t="s">
        <v>1324</v>
      </c>
      <c r="AD66" s="485" t="s">
        <v>1019</v>
      </c>
      <c r="AE66" s="307">
        <f>_xlfn.SUMIFS(Аренда!AE$26:AE$63,Аренда!$F$26:$F$63,$F66,Аренда!$G$26:$G$63,$G66)</f>
        <v>0</v>
      </c>
      <c r="AF66" s="307">
        <f>_xlfn.SUMIFS(Аренда!AF$26:AF$63,Аренда!$F$26:$F$63,$F66,Аренда!$G$26:$G$63,$G66)</f>
        <v>0</v>
      </c>
      <c r="AG66" s="1785">
        <f>_xlfn.SUMIFS(Аренда!AG$26:AG$63,Аренда!$F$26:$F$63,$F66,Аренда!$G$26:$G$63,$G66)</f>
        <v>0</v>
      </c>
      <c r="AH66" s="307">
        <f>AG66-AF66</f>
        <v>0</v>
      </c>
      <c r="AI66" s="307">
        <f>_xlfn.SUMIFS(Аренда!AH$26:AH$63,Аренда!$F$26:$F$63,$F66,Аренда!$G$26:$G$63,$G66)</f>
        <v>0</v>
      </c>
      <c r="AJ66" s="307">
        <f>_xlfn.SUMIFS(Аренда!AI$26:AI$63,Аренда!$F$26:$F$63,$F66,Аренда!$G$26:$G$63,$G66)</f>
        <v>0</v>
      </c>
      <c r="AK66" s="307">
        <f>_xlfn.SUMIFS(Аренда!AS$26:AS$63,Аренда!$F$26:$F$63,$F66,Аренда!$G$26:$G$63,$G66)</f>
        <v>0</v>
      </c>
      <c r="AL66" s="307">
        <f>IF(AI66=0,0,(AK66-AI66)/AI66*100)</f>
        <v>0</v>
      </c>
      <c r="AM66" s="1730"/>
      <c r="AN66" s="1730"/>
      <c r="AO66" s="1730"/>
      <c r="AP66" s="232"/>
      <c r="AQ66" s="232"/>
      <c r="AR66" s="1232" t="s">
        <v>1154</v>
      </c>
      <c r="AS66" s="1240"/>
      <c r="AT66" s="1240"/>
      <c r="AU66" s="1241"/>
      <c r="AV66" s="1241"/>
    </row>
    <row s="1619"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688</v>
      </c>
      <c r="AC67" s="165" t="s">
        <v>1325</v>
      </c>
      <c r="AD67" s="485" t="s">
        <v>1019</v>
      </c>
      <c r="AE67" s="307">
        <f>SUM(AE68:AE70)</f>
        <v>0</v>
      </c>
      <c r="AF67" s="307">
        <f>SUM(AF68:AF70)</f>
        <v>0</v>
      </c>
      <c r="AG67" s="1785">
        <f>SUM(AG68:AG70)</f>
        <v>0</v>
      </c>
      <c r="AH67" s="307">
        <f>AG67-AF67</f>
        <v>0</v>
      </c>
      <c r="AI67" s="307">
        <f>SUM(AI68:AI70)</f>
        <v>0</v>
      </c>
      <c r="AJ67" s="307">
        <f>SUM(AJ68:AJ70)</f>
        <v>0</v>
      </c>
      <c r="AK67" s="307">
        <f>SUM(AK68:AK70)</f>
        <v>0</v>
      </c>
      <c r="AL67" s="307">
        <f>IF(AI67=0,0,(AK67-AI67)/AI67*100)</f>
        <v>0</v>
      </c>
      <c r="AM67" s="1730"/>
      <c r="AN67" s="1730"/>
      <c r="AO67" s="1730"/>
      <c r="AP67" s="227"/>
      <c r="AQ67" s="227"/>
      <c r="AR67" s="1232" t="s">
        <v>1268</v>
      </c>
      <c r="AS67" s="1232"/>
      <c r="AT67" s="1232"/>
      <c r="AU67" s="1233"/>
      <c r="AV67" s="1233"/>
    </row>
    <row s="1619"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19" customFormat="1" customHeight="1" ht="14.25" hidden="1">
      <c r="A69" s="225"/>
      <c r="B69" s="924"/>
      <c r="C69" s="225"/>
      <c r="D69" s="225"/>
      <c r="E69" s="794">
        <v>15</v>
      </c>
      <c r="F69" s="919" cm="1" t="str">
        <f t="array" ref="F69:F69">OFFSET(G69,-1,-1)</f>
        <v>1</v>
      </c>
      <c r="G69" s="227"/>
      <c r="H69" s="227"/>
      <c r="I69" s="227"/>
      <c r="J69" s="227"/>
      <c r="K69" s="227"/>
      <c r="L69" s="227"/>
      <c r="M69" s="227"/>
      <c r="N69" s="227"/>
      <c r="O69" s="227"/>
      <c r="P69" s="227"/>
      <c r="Q69" s="190"/>
      <c r="R69" s="190"/>
      <c r="S69" s="227"/>
      <c r="T69" s="805">
        <f>AND(F69&gt;0,Y69&gt;0)</f>
        <v>0</v>
      </c>
      <c r="U69" s="1461"/>
      <c r="V69" s="1461"/>
      <c r="W69" s="172" t="s">
        <v>233</v>
      </c>
      <c r="X69" s="1461"/>
      <c r="Y69" s="172">
        <v>0</v>
      </c>
      <c r="Z69" s="1461"/>
      <c r="AA69" s="1120" t="s">
        <v>217</v>
      </c>
      <c r="AB69" s="639" t="str">
        <f>"10."&amp;Y69</f>
        <v>10.0</v>
      </c>
      <c r="AC69" s="114"/>
      <c r="AD69" s="496" t="s">
        <v>1019</v>
      </c>
      <c r="AE69" s="115"/>
      <c r="AF69" s="115"/>
      <c r="AG69" s="115"/>
      <c r="AH69" s="548">
        <f>AG69-AF69</f>
        <v>0</v>
      </c>
      <c r="AI69" s="115"/>
      <c r="AJ69" s="705"/>
      <c r="AK69" s="705"/>
      <c r="AL69" s="548">
        <f>IF(AI69=0,0,(AK69-AI69)/AI69*100)</f>
        <v>0</v>
      </c>
      <c r="AM69" s="68"/>
      <c r="AN69" s="68"/>
      <c r="AO69" s="68"/>
      <c r="AP69" s="227"/>
      <c r="AQ69" s="227"/>
      <c r="AR69" s="1232" t="s">
        <v>1268</v>
      </c>
      <c r="AS69" s="1232" t="s">
        <v>1196</v>
      </c>
      <c r="AT69" s="1242" cm="1" t="str">
        <f t="array" ref="AT69:AT69">AC69</f>
        <v>0</v>
      </c>
      <c r="AU69" s="1233"/>
      <c r="AV69" s="1233" t="b">
        <v>1</v>
      </c>
    </row>
    <row s="1619" customFormat="1" customHeight="1" ht="13.5">
      <c r="A70" s="225"/>
      <c r="B70" s="924"/>
      <c r="C70" s="225"/>
      <c r="D70" s="225"/>
      <c r="E70" s="794">
        <v>14.1</v>
      </c>
      <c r="F70" s="919" cm="1" t="str">
        <f t="array" ref="F70:F70">OFFSET(G70,-1,-1)</f>
        <v>1</v>
      </c>
      <c r="G70" s="227"/>
      <c r="H70" s="227"/>
      <c r="I70" s="227"/>
      <c r="J70" s="227"/>
      <c r="K70" s="227"/>
      <c r="L70" s="227"/>
      <c r="M70" s="227"/>
      <c r="N70" s="227"/>
      <c r="O70" s="227"/>
      <c r="P70" s="227"/>
      <c r="Q70" s="190"/>
      <c r="R70" s="190"/>
      <c r="S70" s="227"/>
      <c r="T70" s="805">
        <f>F70&gt;0</f>
        <v>1</v>
      </c>
      <c r="U70" s="1461"/>
      <c r="V70" s="1461"/>
      <c r="W70" s="371" t="s">
        <v>501</v>
      </c>
      <c r="X70" s="1461"/>
      <c r="Y70" s="1461"/>
      <c r="Z70" s="1461"/>
      <c r="AA70" s="227"/>
      <c r="AB70" s="728"/>
      <c r="AC70" s="732" t="s">
        <v>235</v>
      </c>
      <c r="AD70" s="729"/>
      <c r="AE70" s="730"/>
      <c r="AF70" s="730"/>
      <c r="AG70" s="730"/>
      <c r="AH70" s="730"/>
      <c r="AI70" s="730"/>
      <c r="AJ70" s="730"/>
      <c r="AK70" s="730"/>
      <c r="AL70" s="730"/>
      <c r="AM70" s="1100"/>
      <c r="AN70" s="1100"/>
      <c r="AO70" s="1101"/>
      <c r="AP70" s="227"/>
      <c r="AQ70" s="227"/>
      <c r="AR70" s="1232" t="str">
        <f>IF(AND(ISNUMBER(VALUE(TRIM(SUBSTITUTE(AB70,".","")))),TRIM(SUBSTITUTE(AB70,".",""))&lt;&gt;""),"P"&amp;SUBSTITUTE(AB70,".",""),"")</f>
        <v/>
      </c>
      <c r="AS70" s="1232"/>
      <c r="AT70" s="1232"/>
      <c r="AU70" s="1233" t="s">
        <v>1196</v>
      </c>
      <c r="AV70" s="1233"/>
    </row>
    <row s="1619" customFormat="1" customHeight="1" ht="13.5">
      <c r="A71" s="225"/>
      <c r="B71" s="924"/>
      <c r="C71" s="225"/>
      <c r="D71" s="225"/>
      <c r="E71" s="794">
        <v>14.1</v>
      </c>
      <c r="F71" s="919" cm="1" t="str">
        <f t="array" ref="F71:F71">OFFSET(G71,-1,-1)</f>
        <v>1</v>
      </c>
      <c r="G71" s="227"/>
      <c r="H71" s="227"/>
      <c r="I71" s="227"/>
      <c r="J71" s="227"/>
      <c r="K71" s="227"/>
      <c r="L71" s="227"/>
      <c r="M71" s="227"/>
      <c r="N71" s="227"/>
      <c r="O71" s="227"/>
      <c r="P71" s="227"/>
      <c r="Q71" s="190"/>
      <c r="R71" s="190"/>
      <c r="S71" s="227"/>
      <c r="T71" s="805">
        <f>F71&gt;0</f>
        <v>1</v>
      </c>
      <c r="U71" s="1461"/>
      <c r="V71" s="1461"/>
      <c r="W71" s="1461"/>
      <c r="X71" s="1461"/>
      <c r="Y71" s="1461"/>
      <c r="Z71" s="1461"/>
      <c r="AA71" s="227"/>
      <c r="AB71" s="640" t="s">
        <v>696</v>
      </c>
      <c r="AC71" s="726" t="s">
        <v>1326</v>
      </c>
      <c r="AD71" s="555" t="s">
        <v>1019</v>
      </c>
      <c r="AE71" s="642">
        <f>SUM(AE72:AE74)</f>
        <v>0</v>
      </c>
      <c r="AF71" s="642">
        <f>SUM(AF72:AF74)</f>
        <v>0</v>
      </c>
      <c r="AG71" s="1881">
        <f>SUM(AG72:AG74)</f>
        <v>0</v>
      </c>
      <c r="AH71" s="642">
        <f>AG71-AF71</f>
        <v>0</v>
      </c>
      <c r="AI71" s="642">
        <f>SUM(AI72:AI74)</f>
        <v>0</v>
      </c>
      <c r="AJ71" s="642">
        <f>SUM(AJ72:AJ74)</f>
        <v>0</v>
      </c>
      <c r="AK71" s="642">
        <f>SUM(AK72:AK74)</f>
        <v>0</v>
      </c>
      <c r="AL71" s="642">
        <f>IF(AI71=0,0,(AK71-AI71)/AI71*100)</f>
        <v>0</v>
      </c>
      <c r="AM71" s="1743"/>
      <c r="AN71" s="1743"/>
      <c r="AO71" s="1743"/>
      <c r="AP71" s="227"/>
      <c r="AQ71" s="227"/>
      <c r="AR71" s="1232" t="s">
        <v>1327</v>
      </c>
      <c r="AS71" s="1232"/>
      <c r="AT71" s="1232"/>
      <c r="AU71" s="1233"/>
      <c r="AV71" s="1233"/>
    </row>
    <row s="1619" customFormat="1" customHeight="1" ht="11.25" hidden="1">
      <c r="A72" s="225"/>
      <c r="B72" s="924"/>
      <c r="C72" s="225"/>
      <c r="D72" s="225"/>
      <c r="E72" s="794">
        <v>0</v>
      </c>
      <c r="F72" s="919" cm="1" t="str">
        <f t="array" ref="F72:F72">OFFSET(G72,-1,-1)</f>
        <v>1</v>
      </c>
      <c r="G72" s="227"/>
      <c r="H72" s="227"/>
      <c r="I72" s="227"/>
      <c r="J72" s="227"/>
      <c r="K72" s="227"/>
      <c r="L72" s="227"/>
      <c r="M72" s="227"/>
      <c r="N72" s="227"/>
      <c r="O72" s="227"/>
      <c r="P72" s="227"/>
      <c r="Q72" s="190"/>
      <c r="R72" s="190"/>
      <c r="S72" s="227"/>
      <c r="T72" s="805">
        <f>F72&gt;0</f>
        <v>1</v>
      </c>
      <c r="U72" s="1461"/>
      <c r="V72" s="1461"/>
      <c r="W72" s="1461"/>
      <c r="X72" s="1461"/>
      <c r="Y72" s="1461"/>
      <c r="Z72" s="1461"/>
      <c r="AA72" s="227"/>
      <c r="AB72" s="639"/>
      <c r="AC72" s="669"/>
      <c r="AD72" s="670"/>
      <c r="AE72" s="485"/>
      <c r="AF72" s="485"/>
      <c r="AG72" s="485"/>
      <c r="AH72" s="227"/>
      <c r="AI72" s="485"/>
      <c r="AJ72" s="485"/>
      <c r="AK72" s="485"/>
      <c r="AL72" s="227"/>
      <c r="AM72" s="227"/>
      <c r="AN72" s="227"/>
      <c r="AO72" s="227"/>
      <c r="AP72" s="227"/>
      <c r="AQ72" s="227"/>
      <c r="AR72" s="1232" t="str">
        <f>IF(AND(ISNUMBER(VALUE(TRIM(SUBSTITUTE(AB72,".","")))),TRIM(SUBSTITUTE(AB72,".",""))&lt;&gt;""),"P"&amp;SUBSTITUTE(AB72,".",""),"")</f>
        <v/>
      </c>
      <c r="AS72" s="1232"/>
      <c r="AT72" s="1232"/>
      <c r="AU72" s="1233"/>
      <c r="AV72" s="1233"/>
    </row>
    <row s="1619" customFormat="1" customHeight="1" ht="13.5" hidden="1">
      <c r="A73" s="225"/>
      <c r="B73" s="924"/>
      <c r="C73" s="225"/>
      <c r="D73" s="225"/>
      <c r="E73" s="794">
        <v>14.1</v>
      </c>
      <c r="F73" s="919" cm="1" t="str">
        <f t="array" ref="F73:F73">OFFSET(G73,-1,-1)</f>
        <v>1</v>
      </c>
      <c r="G73" s="227"/>
      <c r="H73" s="227"/>
      <c r="I73" s="227"/>
      <c r="J73" s="227"/>
      <c r="K73" s="227"/>
      <c r="L73" s="227"/>
      <c r="M73" s="227"/>
      <c r="N73" s="227"/>
      <c r="O73" s="227"/>
      <c r="P73" s="227"/>
      <c r="Q73" s="190"/>
      <c r="R73" s="190"/>
      <c r="S73" s="227"/>
      <c r="T73" s="805">
        <f>AND(F73&gt;0,Y73&gt;0)</f>
        <v>0</v>
      </c>
      <c r="U73" s="1461"/>
      <c r="V73" s="1461"/>
      <c r="W73" s="172" t="s">
        <v>233</v>
      </c>
      <c r="X73" s="1461"/>
      <c r="Y73" s="172">
        <v>0</v>
      </c>
      <c r="Z73" s="1461"/>
      <c r="AA73" s="1120" t="s">
        <v>217</v>
      </c>
      <c r="AB73" s="639" t="str">
        <f>"11."&amp;Y73</f>
        <v>11.0</v>
      </c>
      <c r="AC73" s="109"/>
      <c r="AD73" s="170" t="s">
        <v>1019</v>
      </c>
      <c r="AE73" s="98"/>
      <c r="AF73" s="98"/>
      <c r="AG73" s="98"/>
      <c r="AH73" s="307">
        <f>AG73-AF73</f>
        <v>0</v>
      </c>
      <c r="AI73" s="98"/>
      <c r="AJ73" s="308"/>
      <c r="AK73" s="308"/>
      <c r="AL73" s="307">
        <f>IF(AI73=0,0,(AK73-AI73)/AI73*100)</f>
        <v>0</v>
      </c>
      <c r="AM73" s="73"/>
      <c r="AN73" s="73"/>
      <c r="AO73" s="73"/>
      <c r="AP73" s="227"/>
      <c r="AQ73" s="227"/>
      <c r="AR73" s="1232" t="s">
        <v>1327</v>
      </c>
      <c r="AS73" s="1232" t="s">
        <v>1328</v>
      </c>
      <c r="AT73" s="1242" cm="1" t="str">
        <f t="array" ref="AT73:AT73">AC73</f>
        <v>0</v>
      </c>
      <c r="AU73" s="1233"/>
      <c r="AV73" s="1233" t="b">
        <v>1</v>
      </c>
    </row>
    <row s="1619" customFormat="1" customHeight="1" ht="13.5">
      <c r="A74" s="225"/>
      <c r="B74" s="924"/>
      <c r="C74" s="225"/>
      <c r="D74" s="225"/>
      <c r="E74" s="794">
        <v>14.1</v>
      </c>
      <c r="F74" s="919" cm="1" t="str">
        <f t="array" ref="F74:F74">OFFSET(G74,-1,-1)</f>
        <v>1</v>
      </c>
      <c r="G74" s="227"/>
      <c r="H74" s="227"/>
      <c r="I74" s="227"/>
      <c r="J74" s="227"/>
      <c r="K74" s="227"/>
      <c r="L74" s="227"/>
      <c r="M74" s="227"/>
      <c r="N74" s="227"/>
      <c r="O74" s="227"/>
      <c r="P74" s="227"/>
      <c r="Q74" s="190"/>
      <c r="R74" s="190"/>
      <c r="S74" s="227"/>
      <c r="T74" s="805">
        <f>F74&gt;0</f>
        <v>1</v>
      </c>
      <c r="U74" s="1461"/>
      <c r="V74" s="1461"/>
      <c r="W74" s="371" t="s">
        <v>1329</v>
      </c>
      <c r="X74" s="1461"/>
      <c r="Y74" s="1461"/>
      <c r="Z74" s="1461"/>
      <c r="AA74" s="227"/>
      <c r="AB74" s="728"/>
      <c r="AC74" s="732" t="s">
        <v>235</v>
      </c>
      <c r="AD74" s="729"/>
      <c r="AE74" s="731"/>
      <c r="AF74" s="731"/>
      <c r="AG74" s="731"/>
      <c r="AH74" s="731"/>
      <c r="AI74" s="731"/>
      <c r="AJ74" s="731"/>
      <c r="AK74" s="731"/>
      <c r="AL74" s="731"/>
      <c r="AM74" s="731"/>
      <c r="AN74" s="731"/>
      <c r="AO74" s="731"/>
      <c r="AP74" s="227"/>
      <c r="AQ74" s="227"/>
      <c r="AR74" s="1232"/>
      <c r="AS74" s="1232"/>
      <c r="AT74" s="1232"/>
      <c r="AU74" s="1233" t="s">
        <v>1328</v>
      </c>
      <c r="AV74" s="1233"/>
    </row>
    <row s="1882" customFormat="1" customHeight="1" ht="13.5">
      <c r="A75" s="217"/>
      <c r="B75" s="217"/>
      <c r="C75" s="217"/>
      <c r="D75" s="217"/>
      <c r="E75" s="794">
        <v>14.1</v>
      </c>
      <c r="F75" s="919" cm="1" t="str">
        <f t="array" ref="F75:F75">X75</f>
        <v>2</v>
      </c>
      <c r="G75" s="190" cm="1" t="str">
        <f t="array" ref="G75:G75">INDEX('Общие сведения'!$AK$169:$AK$218,MATCH($F75,'Общие сведения'!$Z$169:$Z$218,0))</f>
        <v>одноставочный</v>
      </c>
      <c r="H75" s="217"/>
      <c r="I75" s="210" cm="1" t="str">
        <f t="array" ref="I75:I75">INDEX('Общие сведения'!$AE$169:$AE$218,MATCH($F75,'Общие сведения'!$Z$169:$Z$218,0))</f>
        <v>Теплоснабжение</v>
      </c>
      <c r="J75" s="217"/>
      <c r="K75" s="217"/>
      <c r="L75" s="217"/>
      <c r="M75" s="217"/>
      <c r="N75" s="217"/>
      <c r="O75" s="217"/>
      <c r="P75" s="217"/>
      <c r="Q75" s="217"/>
      <c r="R75" s="217"/>
      <c r="S75" s="217"/>
      <c r="T75" s="816">
        <f>X75&gt;0</f>
        <v>1</v>
      </c>
      <c r="U75" s="217"/>
      <c r="V75" s="172" cm="1" t="str">
        <f t="array" ref="V75:V75">Экономия_корр!$AB$43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75" s="217"/>
      <c r="X75" s="172" t="s">
        <v>343</v>
      </c>
      <c r="Y75" s="217"/>
      <c r="Z75" s="217"/>
      <c r="AA75" s="217"/>
      <c r="AB75" s="327" cm="1" t="str">
        <f t="array" ref="AB75:AB75">IF(ISBLANK(Экономия_корр!$AB$43),"",Экономия_корр!$AB$43)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75" s="328"/>
      <c r="AD75" s="328"/>
      <c r="AE75" s="328"/>
      <c r="AF75" s="328"/>
      <c r="AG75" s="328"/>
      <c r="AH75" s="328"/>
      <c r="AI75" s="328"/>
      <c r="AJ75" s="328"/>
      <c r="AK75" s="328"/>
      <c r="AL75" s="328"/>
      <c r="AM75" s="328"/>
      <c r="AN75" s="328"/>
      <c r="AO75" s="328"/>
      <c r="AP75" s="217"/>
      <c r="AQ75" s="217"/>
      <c r="AR75" s="1181"/>
      <c r="AS75" s="1181"/>
      <c r="AT75" s="1181"/>
      <c r="AU75" s="1184"/>
      <c r="AV75" s="1184"/>
    </row>
    <row s="1883" customFormat="1" customHeight="1" ht="13.5">
      <c r="A76" s="231"/>
      <c r="B76" s="231"/>
      <c r="C76" s="231"/>
      <c r="D76" s="231"/>
      <c r="E76" s="800">
        <v>14.1</v>
      </c>
      <c r="F76" s="919" cm="1" t="str">
        <f t="array" ref="F76:F76">OFFSET(G76,-1,-1)</f>
        <v>2</v>
      </c>
      <c r="G76" s="929" t="s">
        <v>1292</v>
      </c>
      <c r="H76" s="231"/>
      <c r="I76" s="231"/>
      <c r="J76" s="231"/>
      <c r="K76" s="231"/>
      <c r="L76" s="231"/>
      <c r="M76" s="231"/>
      <c r="N76" s="231"/>
      <c r="O76" s="231"/>
      <c r="P76" s="231"/>
      <c r="Q76" s="231"/>
      <c r="R76" s="231"/>
      <c r="S76" s="231"/>
      <c r="T76" s="805" cm="1" t="str">
        <f t="array" ref="T76:T76">T75</f>
        <v>true</v>
      </c>
      <c r="U76" s="231"/>
      <c r="V76" s="231"/>
      <c r="W76" s="231"/>
      <c r="X76" s="231"/>
      <c r="Y76" s="231"/>
      <c r="Z76" s="231"/>
      <c r="AA76" s="231"/>
      <c r="AB76" s="1545" t="s">
        <v>1293</v>
      </c>
      <c r="AC76" s="1546"/>
      <c r="AD76" s="302" t="s">
        <v>805</v>
      </c>
      <c r="AE76" s="1874">
        <f>SUM(AE77:AE81)+SUM(AE87:AE91)+AE95</f>
        <v>0</v>
      </c>
      <c r="AF76" s="1874">
        <f>SUM(AF77:AF81)+SUM(AF87:AF91)+AF95</f>
        <v>0</v>
      </c>
      <c r="AG76" s="1874">
        <f>SUM(AG77:AG81)+SUM(AG87:AG91)+AG95</f>
        <v>0</v>
      </c>
      <c r="AH76" s="1874">
        <f>AG76-AF76</f>
        <v>0</v>
      </c>
      <c r="AI76" s="1874">
        <f>SUM(AI77:AI81)+SUM(AI87:AI91)+AI95</f>
        <v>0</v>
      </c>
      <c r="AJ76" s="375">
        <f>SUM(AJ77:AJ81)+SUM(AJ87:AJ91)+AJ95</f>
        <v>2955.99992</v>
      </c>
      <c r="AK76" s="375">
        <f>SUM(AK77:AK81)+SUM(AK87:AK91)+AK95</f>
        <v>1635.99992</v>
      </c>
      <c r="AL76" s="306">
        <f>IF(AI76=0,0,(AK76-AI76)/AI76*100)</f>
        <v>0</v>
      </c>
      <c r="AM76" s="1730"/>
      <c r="AN76" s="1730"/>
      <c r="AO76" s="1730"/>
      <c r="AP76" s="231"/>
      <c r="AQ76" s="231"/>
      <c r="AR76" s="1232" t="s">
        <v>1294</v>
      </c>
      <c r="AS76" s="1238"/>
      <c r="AT76" s="1238"/>
      <c r="AU76" s="1239"/>
      <c r="AV76" s="1239"/>
    </row>
    <row s="1619" customFormat="1" customHeight="1" ht="29.25">
      <c r="A77" s="225"/>
      <c r="B77" s="924"/>
      <c r="C77" s="225"/>
      <c r="D77" s="225"/>
      <c r="E77" s="794">
        <v>30</v>
      </c>
      <c r="F77" s="919" cm="1" t="str">
        <f t="array" ref="F77:F77">OFFSET(G77,-1,-1)</f>
        <v>2</v>
      </c>
      <c r="G77" s="227"/>
      <c r="H77" s="227"/>
      <c r="I77" s="227"/>
      <c r="J77" s="227"/>
      <c r="K77" s="227"/>
      <c r="L77" s="227"/>
      <c r="M77" s="227"/>
      <c r="N77" s="227"/>
      <c r="O77" s="227"/>
      <c r="P77" s="227"/>
      <c r="Q77" s="190"/>
      <c r="R77" s="190"/>
      <c r="S77" s="227"/>
      <c r="T77" s="805" cm="1" t="str">
        <f t="array" ref="T77:T77">T76</f>
        <v>true</v>
      </c>
      <c r="U77" s="1461"/>
      <c r="V77" s="1461"/>
      <c r="W77" s="1461"/>
      <c r="X77" s="1461"/>
      <c r="Y77" s="1461"/>
      <c r="Z77" s="1461"/>
      <c r="AA77" s="227"/>
      <c r="AB77" s="157">
        <v>1</v>
      </c>
      <c r="AC77" s="165" t="s">
        <v>1295</v>
      </c>
      <c r="AD77" s="555" t="s">
        <v>1019</v>
      </c>
      <c r="AE77" s="1876"/>
      <c r="AF77" s="1876"/>
      <c r="AG77" s="1876"/>
      <c r="AH77" s="379">
        <f>AG77-AF77</f>
        <v>0</v>
      </c>
      <c r="AI77" s="1876"/>
      <c r="AJ77" s="378">
        <v>124</v>
      </c>
      <c r="AK77" s="378">
        <v>102</v>
      </c>
      <c r="AL77" s="307">
        <f>IF(AI77=0,0,(AK77-AI77)/AI77*100)</f>
        <v>0</v>
      </c>
      <c r="AM77" s="1730"/>
      <c r="AN77" s="1730"/>
      <c r="AO77" s="1730"/>
      <c r="AP77" s="227"/>
      <c r="AQ77" s="227"/>
      <c r="AR77" s="1232" t="s">
        <v>1296</v>
      </c>
      <c r="AS77" s="1232"/>
      <c r="AT77" s="1232"/>
      <c r="AU77" s="1233"/>
      <c r="AV77" s="1233"/>
    </row>
    <row s="1884" customFormat="1" customHeight="1" ht="14.25">
      <c r="A78" s="230"/>
      <c r="B78" s="230"/>
      <c r="C78" s="230"/>
      <c r="D78" s="230"/>
      <c r="E78" s="800">
        <v>15</v>
      </c>
      <c r="F78" s="919" cm="1" t="str">
        <f t="array" ref="F78:F78">OFFSET(G78,-1,-1)</f>
        <v>2</v>
      </c>
      <c r="G78" s="230"/>
      <c r="H78" s="230"/>
      <c r="I78" s="230"/>
      <c r="J78" s="230"/>
      <c r="K78" s="230"/>
      <c r="L78" s="230"/>
      <c r="M78" s="230"/>
      <c r="N78" s="230"/>
      <c r="O78" s="230"/>
      <c r="P78" s="230"/>
      <c r="Q78" s="230"/>
      <c r="R78" s="230"/>
      <c r="S78" s="230"/>
      <c r="T78" s="805" cm="1" t="str">
        <f t="array" ref="T78:T78">T77</f>
        <v>true</v>
      </c>
      <c r="U78" s="230"/>
      <c r="V78" s="230"/>
      <c r="W78" s="230"/>
      <c r="X78" s="230"/>
      <c r="Y78" s="230"/>
      <c r="Z78" s="230"/>
      <c r="AA78" s="230"/>
      <c r="AB78" s="157">
        <v>2</v>
      </c>
      <c r="AC78" s="165" t="s">
        <v>1297</v>
      </c>
      <c r="AD78" s="555" t="s">
        <v>1019</v>
      </c>
      <c r="AE78" s="1876"/>
      <c r="AF78" s="1876"/>
      <c r="AG78" s="1876"/>
      <c r="AH78" s="307">
        <f>AG78-AF78</f>
        <v>0</v>
      </c>
      <c r="AI78" s="1876"/>
      <c r="AJ78" s="378"/>
      <c r="AK78" s="378"/>
      <c r="AL78" s="307">
        <f>IF(AI78=0,0,(AK78-AI78)/AI78*100)</f>
        <v>0</v>
      </c>
      <c r="AM78" s="1730"/>
      <c r="AN78" s="1730"/>
      <c r="AO78" s="1730"/>
      <c r="AP78" s="230"/>
      <c r="AQ78" s="230"/>
      <c r="AR78" s="1232" t="s">
        <v>1298</v>
      </c>
      <c r="AS78" s="1238"/>
      <c r="AT78" s="1238"/>
      <c r="AU78" s="1239"/>
      <c r="AV78" s="1239"/>
    </row>
    <row s="1619" customFormat="1" customHeight="1" ht="14.25">
      <c r="A79" s="225"/>
      <c r="B79" s="924"/>
      <c r="C79" s="225"/>
      <c r="D79" s="225"/>
      <c r="E79" s="794">
        <v>15</v>
      </c>
      <c r="F79" s="919" cm="1" t="str">
        <f t="array" ref="F79:F79">OFFSET(G79,-1,-1)</f>
        <v>2</v>
      </c>
      <c r="G79" s="190" t="s">
        <v>48</v>
      </c>
      <c r="H79" s="227"/>
      <c r="I79" s="227"/>
      <c r="J79" s="227"/>
      <c r="K79" s="227"/>
      <c r="L79" s="227"/>
      <c r="M79" s="227"/>
      <c r="N79" s="227"/>
      <c r="O79" s="227"/>
      <c r="P79" s="227"/>
      <c r="Q79" s="190"/>
      <c r="R79" s="190"/>
      <c r="S79" s="227"/>
      <c r="T79" s="805" cm="1" t="str">
        <f t="array" ref="T79:T79">T78</f>
        <v>true</v>
      </c>
      <c r="U79" s="1461"/>
      <c r="V79" s="1461"/>
      <c r="W79" s="1461"/>
      <c r="X79" s="1461"/>
      <c r="Y79" s="1461"/>
      <c r="Z79" s="1461"/>
      <c r="AA79" s="227"/>
      <c r="AB79" s="157">
        <v>3</v>
      </c>
      <c r="AC79" s="164" t="s">
        <v>49</v>
      </c>
      <c r="AD79" s="485" t="s">
        <v>1019</v>
      </c>
      <c r="AE79" s="1785">
        <f>_xlfn.SUMIFS(ФОТ!AE$26:AE$108,ФОТ!$F$26:$F$108,$F79,ФОТ!$G$26:$G$108,$G79)</f>
        <v>0</v>
      </c>
      <c r="AF79" s="1785">
        <f>_xlfn.SUMIFS(ФОТ!AF$26:AF$108,ФОТ!$F$26:$F$108,$F79,ФОТ!$G$26:$G$108,$G79)</f>
        <v>0</v>
      </c>
      <c r="AG79" s="1785">
        <f>_xlfn.SUMIFS(ФОТ!AG$26:AG$108,ФОТ!$F$26:$F$108,$F79,ФОТ!$G$26:$G$108,$G79)</f>
        <v>0</v>
      </c>
      <c r="AH79" s="307">
        <f>AG79-AF79</f>
        <v>0</v>
      </c>
      <c r="AI79" s="1785">
        <f>_xlfn.SUMIFS(ФОТ!AH$26:AH$108,ФОТ!$F$26:$F$108,$F79,ФОТ!$G$26:$G$108,$G79)</f>
        <v>0</v>
      </c>
      <c r="AJ79" s="307">
        <f>_xlfn.SUMIFS(ФОТ!AI$26:AI$108,ФОТ!$F$26:$F$108,$F79,ФОТ!$G$26:$G$108,$G79)</f>
        <v>1081.99992</v>
      </c>
      <c r="AK79" s="307">
        <f>_xlfn.SUMIFS(ФОТ!AJ$26:AJ$108,ФОТ!$F$26:$F$108,$F79,ФОТ!$G$26:$G$108,$G79)</f>
        <v>601.99992</v>
      </c>
      <c r="AL79" s="307">
        <f>IF(AI79=0,0,(AK79-AI79)/AI79*100)</f>
        <v>0</v>
      </c>
      <c r="AM79" s="1730"/>
      <c r="AN79" s="1730"/>
      <c r="AO79" s="1730"/>
      <c r="AP79" s="227"/>
      <c r="AQ79" s="227"/>
      <c r="AR79" s="1232" t="s">
        <v>1299</v>
      </c>
      <c r="AS79" s="1232"/>
      <c r="AT79" s="1232"/>
      <c r="AU79" s="1233"/>
      <c r="AV79" s="1233"/>
    </row>
    <row s="1619" customFormat="1" customHeight="1" ht="52.5">
      <c r="A80" s="225"/>
      <c r="B80" s="924"/>
      <c r="C80" s="225"/>
      <c r="D80" s="225"/>
      <c r="E80" s="794">
        <v>54</v>
      </c>
      <c r="F80" s="919" cm="1" t="str">
        <f t="array" ref="F80:F80">OFFSET(G80,-1,-1)</f>
        <v>2</v>
      </c>
      <c r="G80" s="227"/>
      <c r="H80" s="227"/>
      <c r="I80" s="227"/>
      <c r="J80" s="227"/>
      <c r="K80" s="227"/>
      <c r="L80" s="227"/>
      <c r="M80" s="227"/>
      <c r="N80" s="227"/>
      <c r="O80" s="227"/>
      <c r="P80" s="227"/>
      <c r="Q80" s="190"/>
      <c r="R80" s="190"/>
      <c r="S80" s="227"/>
      <c r="T80" s="805" cm="1" t="str">
        <f t="array" ref="T80:T80">T79</f>
        <v>true</v>
      </c>
      <c r="U80" s="1461"/>
      <c r="V80" s="1461"/>
      <c r="W80" s="1461"/>
      <c r="X80" s="1461"/>
      <c r="Y80" s="1461"/>
      <c r="Z80" s="1461"/>
      <c r="AA80" s="227"/>
      <c r="AB80" s="157">
        <v>4</v>
      </c>
      <c r="AC80" s="165" t="s">
        <v>1300</v>
      </c>
      <c r="AD80" s="485" t="s">
        <v>1019</v>
      </c>
      <c r="AE80" s="1785"/>
      <c r="AF80" s="1785"/>
      <c r="AG80" s="1785"/>
      <c r="AH80" s="307">
        <f>AG80-AF80</f>
        <v>0</v>
      </c>
      <c r="AI80" s="1785"/>
      <c r="AJ80" s="308">
        <v>1629</v>
      </c>
      <c r="AK80" s="308">
        <v>868</v>
      </c>
      <c r="AL80" s="307">
        <f>IF(AI80=0,0,(AK80-AI80)/AI80*100)</f>
        <v>0</v>
      </c>
      <c r="AM80" s="1730"/>
      <c r="AN80" s="1730"/>
      <c r="AO80" s="1730"/>
      <c r="AP80" s="227"/>
      <c r="AQ80" s="227"/>
      <c r="AR80" s="1232" t="s">
        <v>1301</v>
      </c>
      <c r="AS80" s="1232"/>
      <c r="AT80" s="1232"/>
      <c r="AU80" s="1233"/>
      <c r="AV80" s="1233"/>
    </row>
    <row s="1619" customFormat="1" customHeight="1" ht="30">
      <c r="A81" s="225"/>
      <c r="B81" s="924"/>
      <c r="C81" s="225"/>
      <c r="D81" s="225"/>
      <c r="E81" s="794">
        <v>31.5</v>
      </c>
      <c r="F81" s="919" cm="1" t="str">
        <f t="array" ref="F81:F81">OFFSET(G81,-1,-1)</f>
        <v>2</v>
      </c>
      <c r="G81" s="227"/>
      <c r="H81" s="227"/>
      <c r="I81" s="227"/>
      <c r="J81" s="227"/>
      <c r="K81" s="227"/>
      <c r="L81" s="227"/>
      <c r="M81" s="227"/>
      <c r="N81" s="227"/>
      <c r="O81" s="227"/>
      <c r="P81" s="227"/>
      <c r="Q81" s="190"/>
      <c r="R81" s="190"/>
      <c r="S81" s="227"/>
      <c r="T81" s="805" cm="1" t="str">
        <f t="array" ref="T81:T81">T80</f>
        <v>true</v>
      </c>
      <c r="U81" s="1461"/>
      <c r="V81" s="1461"/>
      <c r="W81" s="1461"/>
      <c r="X81" s="1461"/>
      <c r="Y81" s="1461"/>
      <c r="Z81" s="1461"/>
      <c r="AA81" s="227"/>
      <c r="AB81" s="157">
        <v>5</v>
      </c>
      <c r="AC81" s="165" t="s">
        <v>1302</v>
      </c>
      <c r="AD81" s="485" t="s">
        <v>1019</v>
      </c>
      <c r="AE81" s="307">
        <f>SUM(AE82:AE86)</f>
        <v>0</v>
      </c>
      <c r="AF81" s="307">
        <f>SUM(AF82:AF86)</f>
        <v>0</v>
      </c>
      <c r="AG81" s="1785">
        <f>SUM(AG82:AG86)</f>
        <v>0</v>
      </c>
      <c r="AH81" s="307">
        <f>AG81-AF81</f>
        <v>0</v>
      </c>
      <c r="AI81" s="307">
        <f>SUM(AI82:AI86)</f>
        <v>0</v>
      </c>
      <c r="AJ81" s="307">
        <f>SUM(AJ82:AJ86)</f>
        <v>112</v>
      </c>
      <c r="AK81" s="307">
        <f>SUM(AK82:AK86)</f>
        <v>56</v>
      </c>
      <c r="AL81" s="307">
        <f>IF(AI81=0,0,(AK81-AI81)/AI81*100)</f>
        <v>0</v>
      </c>
      <c r="AM81" s="1730"/>
      <c r="AN81" s="1730"/>
      <c r="AO81" s="1730"/>
      <c r="AP81" s="227"/>
      <c r="AQ81" s="227"/>
      <c r="AR81" s="1232" t="s">
        <v>1303</v>
      </c>
      <c r="AS81" s="1232"/>
      <c r="AT81" s="1232"/>
      <c r="AU81" s="1233"/>
      <c r="AV81" s="1233"/>
    </row>
    <row s="1619" customFormat="1" customHeight="1" ht="14.25">
      <c r="A82" s="225"/>
      <c r="B82" s="924"/>
      <c r="C82" s="225"/>
      <c r="D82" s="225"/>
      <c r="E82" s="794">
        <v>15</v>
      </c>
      <c r="F82" s="919" cm="1" t="str">
        <f t="array" ref="F82:F82">OFFSET(G82,-1,-1)</f>
        <v>2</v>
      </c>
      <c r="G82" s="227"/>
      <c r="H82" s="227"/>
      <c r="I82" s="227"/>
      <c r="J82" s="227"/>
      <c r="K82" s="227"/>
      <c r="L82" s="227"/>
      <c r="M82" s="227"/>
      <c r="N82" s="227"/>
      <c r="O82" s="227"/>
      <c r="P82" s="227"/>
      <c r="Q82" s="190"/>
      <c r="R82" s="190"/>
      <c r="S82" s="227"/>
      <c r="T82" s="805" cm="1" t="str">
        <f t="array" ref="T82:T82">T81</f>
        <v>true</v>
      </c>
      <c r="U82" s="1461"/>
      <c r="V82" s="1461"/>
      <c r="W82" s="1461"/>
      <c r="X82" s="1461"/>
      <c r="Y82" s="1461"/>
      <c r="Z82" s="1461"/>
      <c r="AA82" s="227"/>
      <c r="AB82" s="157" t="s">
        <v>751</v>
      </c>
      <c r="AC82" s="165" t="s">
        <v>1304</v>
      </c>
      <c r="AD82" s="485" t="s">
        <v>1019</v>
      </c>
      <c r="AE82" s="1785"/>
      <c r="AF82" s="1785"/>
      <c r="AG82" s="1785"/>
      <c r="AH82" s="307">
        <f>AG82-AF82</f>
        <v>0</v>
      </c>
      <c r="AI82" s="1785"/>
      <c r="AJ82" s="308"/>
      <c r="AK82" s="308"/>
      <c r="AL82" s="307">
        <f>IF(AI82=0,0,(AK82-AI82)/AI82*100)</f>
        <v>0</v>
      </c>
      <c r="AM82" s="1730"/>
      <c r="AN82" s="1730"/>
      <c r="AO82" s="1730"/>
      <c r="AP82" s="227"/>
      <c r="AQ82" s="227"/>
      <c r="AR82" s="1232" t="s">
        <v>1305</v>
      </c>
      <c r="AS82" s="1232"/>
      <c r="AT82" s="1232"/>
      <c r="AU82" s="1233"/>
      <c r="AV82" s="1233"/>
    </row>
    <row s="1619" customFormat="1" customHeight="1" ht="14.25">
      <c r="A83" s="225"/>
      <c r="B83" s="924"/>
      <c r="C83" s="225"/>
      <c r="D83" s="225"/>
      <c r="E83" s="794">
        <v>15</v>
      </c>
      <c r="F83" s="919" cm="1" t="str">
        <f t="array" ref="F83:F83">OFFSET(G83,-1,-1)</f>
        <v>2</v>
      </c>
      <c r="G83" s="227"/>
      <c r="H83" s="227"/>
      <c r="I83" s="227"/>
      <c r="J83" s="227"/>
      <c r="K83" s="227"/>
      <c r="L83" s="227"/>
      <c r="M83" s="227"/>
      <c r="N83" s="227"/>
      <c r="O83" s="227"/>
      <c r="P83" s="227"/>
      <c r="Q83" s="190"/>
      <c r="R83" s="190"/>
      <c r="S83" s="227"/>
      <c r="T83" s="805" cm="1" t="str">
        <f t="array" ref="T83:T83">T82</f>
        <v>true</v>
      </c>
      <c r="U83" s="1461"/>
      <c r="V83" s="1461"/>
      <c r="W83" s="1461"/>
      <c r="X83" s="1461"/>
      <c r="Y83" s="1461"/>
      <c r="Z83" s="1461"/>
      <c r="AA83" s="227"/>
      <c r="AB83" s="157" t="s">
        <v>1306</v>
      </c>
      <c r="AC83" s="165" t="s">
        <v>1307</v>
      </c>
      <c r="AD83" s="485" t="s">
        <v>1019</v>
      </c>
      <c r="AE83" s="1785"/>
      <c r="AF83" s="1785"/>
      <c r="AG83" s="1785"/>
      <c r="AH83" s="307">
        <f>AG83-AF83</f>
        <v>0</v>
      </c>
      <c r="AI83" s="1785"/>
      <c r="AJ83" s="308"/>
      <c r="AK83" s="308"/>
      <c r="AL83" s="307">
        <f>IF(AI83=0,0,(AK83-AI83)/AI83*100)</f>
        <v>0</v>
      </c>
      <c r="AM83" s="1730"/>
      <c r="AN83" s="1730"/>
      <c r="AO83" s="1730"/>
      <c r="AP83" s="227"/>
      <c r="AQ83" s="227"/>
      <c r="AR83" s="1232" t="s">
        <v>1308</v>
      </c>
      <c r="AS83" s="1232"/>
      <c r="AT83" s="1232"/>
      <c r="AU83" s="1233"/>
      <c r="AV83" s="1233"/>
    </row>
    <row s="1619" customFormat="1" customHeight="1" ht="14.25">
      <c r="A84" s="225"/>
      <c r="B84" s="924"/>
      <c r="C84" s="225"/>
      <c r="D84" s="225"/>
      <c r="E84" s="794">
        <v>15</v>
      </c>
      <c r="F84" s="919" cm="1" t="str">
        <f t="array" ref="F84:F84">OFFSET(G84,-1,-1)</f>
        <v>2</v>
      </c>
      <c r="G84" s="227"/>
      <c r="H84" s="227"/>
      <c r="I84" s="227"/>
      <c r="J84" s="227"/>
      <c r="K84" s="227"/>
      <c r="L84" s="227"/>
      <c r="M84" s="227"/>
      <c r="N84" s="227"/>
      <c r="O84" s="227"/>
      <c r="P84" s="227"/>
      <c r="Q84" s="190"/>
      <c r="R84" s="190"/>
      <c r="S84" s="227"/>
      <c r="T84" s="805" cm="1" t="str">
        <f t="array" ref="T84:T84">T83</f>
        <v>true</v>
      </c>
      <c r="U84" s="1461"/>
      <c r="V84" s="1461"/>
      <c r="W84" s="1461"/>
      <c r="X84" s="1461"/>
      <c r="Y84" s="1461"/>
      <c r="Z84" s="1461"/>
      <c r="AA84" s="227"/>
      <c r="AB84" s="157" t="s">
        <v>1309</v>
      </c>
      <c r="AC84" s="165" t="s">
        <v>1310</v>
      </c>
      <c r="AD84" s="485" t="s">
        <v>1019</v>
      </c>
      <c r="AE84" s="1785"/>
      <c r="AF84" s="1785"/>
      <c r="AG84" s="1785"/>
      <c r="AH84" s="307">
        <f>AG84-AF84</f>
        <v>0</v>
      </c>
      <c r="AI84" s="1785"/>
      <c r="AJ84" s="308"/>
      <c r="AK84" s="308"/>
      <c r="AL84" s="307">
        <f>IF(AI84=0,0,(AK84-AI84)/AI84*100)</f>
        <v>0</v>
      </c>
      <c r="AM84" s="1730"/>
      <c r="AN84" s="1730"/>
      <c r="AO84" s="1730"/>
      <c r="AP84" s="227"/>
      <c r="AQ84" s="227"/>
      <c r="AR84" s="1232" t="s">
        <v>1311</v>
      </c>
      <c r="AS84" s="1232"/>
      <c r="AT84" s="1232"/>
      <c r="AU84" s="1233"/>
      <c r="AV84" s="1233"/>
    </row>
    <row s="1619" customFormat="1" customHeight="1" ht="23.25">
      <c r="A85" s="225"/>
      <c r="B85" s="924"/>
      <c r="C85" s="225"/>
      <c r="D85" s="225"/>
      <c r="E85" s="794">
        <v>24</v>
      </c>
      <c r="F85" s="919" cm="1" t="str">
        <f t="array" ref="F85:F85">OFFSET(G85,-1,-1)</f>
        <v>2</v>
      </c>
      <c r="G85" s="227"/>
      <c r="H85" s="227"/>
      <c r="I85" s="227"/>
      <c r="J85" s="227"/>
      <c r="K85" s="227"/>
      <c r="L85" s="227"/>
      <c r="M85" s="227"/>
      <c r="N85" s="227"/>
      <c r="O85" s="227"/>
      <c r="P85" s="227"/>
      <c r="Q85" s="190"/>
      <c r="R85" s="190"/>
      <c r="S85" s="227"/>
      <c r="T85" s="805" cm="1" t="str">
        <f t="array" ref="T85:T85">T84</f>
        <v>true</v>
      </c>
      <c r="U85" s="1461"/>
      <c r="V85" s="1461"/>
      <c r="W85" s="1461"/>
      <c r="X85" s="1461"/>
      <c r="Y85" s="1461"/>
      <c r="Z85" s="1461"/>
      <c r="AA85" s="227"/>
      <c r="AB85" s="157" t="s">
        <v>1312</v>
      </c>
      <c r="AC85" s="165" t="s">
        <v>1313</v>
      </c>
      <c r="AD85" s="485" t="s">
        <v>1019</v>
      </c>
      <c r="AE85" s="1785"/>
      <c r="AF85" s="1785"/>
      <c r="AG85" s="1785"/>
      <c r="AH85" s="307">
        <f>AG85-AF85</f>
        <v>0</v>
      </c>
      <c r="AI85" s="1785"/>
      <c r="AJ85" s="308"/>
      <c r="AK85" s="308"/>
      <c r="AL85" s="307">
        <f>IF(AI85=0,0,(AK85-AI85)/AI85*100)</f>
        <v>0</v>
      </c>
      <c r="AM85" s="1730"/>
      <c r="AN85" s="1730"/>
      <c r="AO85" s="1730"/>
      <c r="AP85" s="227"/>
      <c r="AQ85" s="227"/>
      <c r="AR85" s="1232" t="s">
        <v>1314</v>
      </c>
      <c r="AS85" s="1232"/>
      <c r="AT85" s="1232"/>
      <c r="AU85" s="1233"/>
      <c r="AV85" s="1233"/>
    </row>
    <row s="1619" customFormat="1" customHeight="1" ht="14.25">
      <c r="A86" s="225"/>
      <c r="B86" s="924"/>
      <c r="C86" s="225"/>
      <c r="D86" s="225"/>
      <c r="E86" s="794">
        <v>15</v>
      </c>
      <c r="F86" s="919" cm="1" t="str">
        <f t="array" ref="F86:F86">OFFSET(G86,-1,-1)</f>
        <v>2</v>
      </c>
      <c r="G86" s="227"/>
      <c r="H86" s="227"/>
      <c r="I86" s="227"/>
      <c r="J86" s="227"/>
      <c r="K86" s="227"/>
      <c r="L86" s="227"/>
      <c r="M86" s="227"/>
      <c r="N86" s="227"/>
      <c r="O86" s="227"/>
      <c r="P86" s="227"/>
      <c r="Q86" s="190"/>
      <c r="R86" s="190"/>
      <c r="S86" s="227"/>
      <c r="T86" s="805" cm="1" t="str">
        <f t="array" ref="T86:T86">T85</f>
        <v>true</v>
      </c>
      <c r="U86" s="1461"/>
      <c r="V86" s="1461"/>
      <c r="W86" s="1461"/>
      <c r="X86" s="1461"/>
      <c r="Y86" s="1461"/>
      <c r="Z86" s="1461"/>
      <c r="AA86" s="227"/>
      <c r="AB86" s="157" t="s">
        <v>1315</v>
      </c>
      <c r="AC86" s="165" t="s">
        <v>1316</v>
      </c>
      <c r="AD86" s="485" t="s">
        <v>1019</v>
      </c>
      <c r="AE86" s="1785"/>
      <c r="AF86" s="1785"/>
      <c r="AG86" s="1785"/>
      <c r="AH86" s="307">
        <f>AG86-AF86</f>
        <v>0</v>
      </c>
      <c r="AI86" s="1785"/>
      <c r="AJ86" s="308">
        <v>112</v>
      </c>
      <c r="AK86" s="308">
        <v>56</v>
      </c>
      <c r="AL86" s="307">
        <f>IF(AI86=0,0,(AK86-AI86)/AI86*100)</f>
        <v>0</v>
      </c>
      <c r="AM86" s="1730"/>
      <c r="AN86" s="1730"/>
      <c r="AO86" s="1730"/>
      <c r="AP86" s="227"/>
      <c r="AQ86" s="227"/>
      <c r="AR86" s="1232" t="s">
        <v>1317</v>
      </c>
      <c r="AS86" s="1232"/>
      <c r="AT86" s="1232"/>
      <c r="AU86" s="1233"/>
      <c r="AV86" s="1233"/>
    </row>
    <row s="1885" customFormat="1" customHeight="1" ht="14.25">
      <c r="A87" s="232"/>
      <c r="B87" s="232"/>
      <c r="C87" s="232"/>
      <c r="D87" s="232"/>
      <c r="E87" s="794">
        <v>15</v>
      </c>
      <c r="F87" s="919" cm="1" t="str">
        <f t="array" ref="F87:F87">OFFSET(G87,-1,-1)</f>
        <v>2</v>
      </c>
      <c r="G87" s="232"/>
      <c r="H87" s="232"/>
      <c r="I87" s="232"/>
      <c r="J87" s="232"/>
      <c r="K87" s="232"/>
      <c r="L87" s="232"/>
      <c r="M87" s="232"/>
      <c r="N87" s="232"/>
      <c r="O87" s="232"/>
      <c r="P87" s="232"/>
      <c r="Q87" s="232"/>
      <c r="R87" s="232"/>
      <c r="S87" s="232"/>
      <c r="T87" s="805" cm="1" t="str">
        <f t="array" ref="T87:T87">T86</f>
        <v>true</v>
      </c>
      <c r="U87" s="232"/>
      <c r="V87" s="232"/>
      <c r="W87" s="232"/>
      <c r="X87" s="232"/>
      <c r="Y87" s="232"/>
      <c r="Z87" s="232"/>
      <c r="AA87" s="232"/>
      <c r="AB87" s="157" t="s">
        <v>632</v>
      </c>
      <c r="AC87" s="165" t="s">
        <v>1318</v>
      </c>
      <c r="AD87" s="485" t="s">
        <v>1019</v>
      </c>
      <c r="AE87" s="1785"/>
      <c r="AF87" s="1785"/>
      <c r="AG87" s="1785"/>
      <c r="AH87" s="307">
        <f>AG87-AF87</f>
        <v>0</v>
      </c>
      <c r="AI87" s="1785"/>
      <c r="AJ87" s="308">
        <v>6</v>
      </c>
      <c r="AK87" s="308">
        <v>5</v>
      </c>
      <c r="AL87" s="307">
        <f>IF(AI87=0,0,(AK87-AI87)/AI87*100)</f>
        <v>0</v>
      </c>
      <c r="AM87" s="1730"/>
      <c r="AN87" s="1730"/>
      <c r="AO87" s="1730"/>
      <c r="AP87" s="232"/>
      <c r="AQ87" s="232"/>
      <c r="AR87" s="1232" t="s">
        <v>1319</v>
      </c>
      <c r="AS87" s="1240"/>
      <c r="AT87" s="1240"/>
      <c r="AU87" s="1241"/>
      <c r="AV87" s="1241"/>
    </row>
    <row s="1619" customFormat="1" customHeight="1" ht="14.25">
      <c r="A88" s="225"/>
      <c r="B88" s="924"/>
      <c r="C88" s="225"/>
      <c r="D88" s="225"/>
      <c r="E88" s="794">
        <v>15</v>
      </c>
      <c r="F88" s="919" cm="1" t="str">
        <f t="array" ref="F88:F88">OFFSET(G88,-1,-1)</f>
        <v>2</v>
      </c>
      <c r="G88" s="227"/>
      <c r="H88" s="227"/>
      <c r="I88" s="227"/>
      <c r="J88" s="227"/>
      <c r="K88" s="227"/>
      <c r="L88" s="227"/>
      <c r="M88" s="227"/>
      <c r="N88" s="227"/>
      <c r="O88" s="227"/>
      <c r="P88" s="227"/>
      <c r="Q88" s="190"/>
      <c r="R88" s="190"/>
      <c r="S88" s="227"/>
      <c r="T88" s="805" cm="1" t="str">
        <f t="array" ref="T88:T88">T87</f>
        <v>true</v>
      </c>
      <c r="U88" s="1461"/>
      <c r="V88" s="1461"/>
      <c r="W88" s="1461"/>
      <c r="X88" s="1461"/>
      <c r="Y88" s="1461"/>
      <c r="Z88" s="1461"/>
      <c r="AA88" s="227"/>
      <c r="AB88" s="157" t="s">
        <v>651</v>
      </c>
      <c r="AC88" s="165" t="s">
        <v>1320</v>
      </c>
      <c r="AD88" s="485" t="s">
        <v>1019</v>
      </c>
      <c r="AE88" s="1785"/>
      <c r="AF88" s="1785"/>
      <c r="AG88" s="1785"/>
      <c r="AH88" s="307">
        <f>AG88-AF88</f>
        <v>0</v>
      </c>
      <c r="AI88" s="1785"/>
      <c r="AJ88" s="308">
        <v>3</v>
      </c>
      <c r="AK88" s="308">
        <v>3</v>
      </c>
      <c r="AL88" s="307">
        <f>IF(AI88=0,0,(AK88-AI88)/AI88*100)</f>
        <v>0</v>
      </c>
      <c r="AM88" s="1730"/>
      <c r="AN88" s="1730"/>
      <c r="AO88" s="1730"/>
      <c r="AP88" s="227"/>
      <c r="AQ88" s="227"/>
      <c r="AR88" s="1232" t="s">
        <v>1321</v>
      </c>
      <c r="AS88" s="1232"/>
      <c r="AT88" s="1232"/>
      <c r="AU88" s="1233"/>
      <c r="AV88" s="1233"/>
    </row>
    <row s="1619" customFormat="1" customHeight="1" ht="14.25">
      <c r="A89" s="225"/>
      <c r="B89" s="924"/>
      <c r="C89" s="225"/>
      <c r="D89" s="225"/>
      <c r="E89" s="794">
        <v>15</v>
      </c>
      <c r="F89" s="919" cm="1" t="str">
        <f t="array" ref="F89:F89">OFFSET(G89,-1,-1)</f>
        <v>2</v>
      </c>
      <c r="G89" s="190" t="s">
        <v>1164</v>
      </c>
      <c r="H89" s="227"/>
      <c r="I89" s="227"/>
      <c r="J89" s="227"/>
      <c r="K89" s="227"/>
      <c r="L89" s="227"/>
      <c r="M89" s="227"/>
      <c r="N89" s="227"/>
      <c r="O89" s="227"/>
      <c r="P89" s="227"/>
      <c r="Q89" s="190"/>
      <c r="R89" s="190"/>
      <c r="S89" s="227"/>
      <c r="T89" s="805" cm="1" t="str">
        <f t="array" ref="T89:T89">T88</f>
        <v>true</v>
      </c>
      <c r="U89" s="1461"/>
      <c r="V89" s="1461"/>
      <c r="W89" s="1461"/>
      <c r="X89" s="1461"/>
      <c r="Y89" s="1461"/>
      <c r="Z89" s="1461"/>
      <c r="AA89" s="227"/>
      <c r="AB89" s="157" t="s">
        <v>656</v>
      </c>
      <c r="AC89" s="164" t="s">
        <v>1322</v>
      </c>
      <c r="AD89" s="485" t="s">
        <v>1019</v>
      </c>
      <c r="AE89" s="307">
        <f>_xlfn.SUMIFS(Аренда!AE$26:AE$63,Аренда!$F$26:$F$63,$F89,Аренда!$G$26:$G$63,$G89)</f>
        <v>0</v>
      </c>
      <c r="AF89" s="307">
        <f>_xlfn.SUMIFS(Аренда!AF$26:AF$63,Аренда!$F$26:$F$63,$F89,Аренда!$G$26:$G$63,$G89)</f>
        <v>0</v>
      </c>
      <c r="AG89" s="1785">
        <f>_xlfn.SUMIFS(Аренда!AG$26:AG$63,Аренда!$F$26:$F$63,$F89,Аренда!$G$26:$G$63,$G89)</f>
        <v>0</v>
      </c>
      <c r="AH89" s="307">
        <f>AG89-AF89</f>
        <v>0</v>
      </c>
      <c r="AI89" s="307">
        <f>_xlfn.SUMIFS(Аренда!AH$26:AH$63,Аренда!$F$26:$F$63,$F89,Аренда!$G$26:$G$63,$G89)</f>
        <v>0</v>
      </c>
      <c r="AJ89" s="307">
        <f>_xlfn.SUMIFS(Аренда!AI$26:AI$63,Аренда!$F$26:$F$63,$F89,Аренда!$G$26:$G$63,$G89)</f>
        <v>0</v>
      </c>
      <c r="AK89" s="307">
        <f>_xlfn.SUMIFS(Аренда!AS$26:AS$63,Аренда!$F$26:$F$63,$F89,Аренда!$G$26:$G$63,$G89)</f>
        <v>0</v>
      </c>
      <c r="AL89" s="307">
        <f>IF(AI89=0,0,(AK89-AI89)/AI89*100)</f>
        <v>0</v>
      </c>
      <c r="AM89" s="1730"/>
      <c r="AN89" s="1730"/>
      <c r="AO89" s="1730"/>
      <c r="AP89" s="227"/>
      <c r="AQ89" s="227"/>
      <c r="AR89" s="1232" t="s">
        <v>1323</v>
      </c>
      <c r="AS89" s="1232"/>
      <c r="AT89" s="1232"/>
      <c r="AU89" s="1233"/>
      <c r="AV89" s="1233"/>
    </row>
    <row s="1886" customFormat="1" customHeight="1" ht="14.25">
      <c r="A90" s="232"/>
      <c r="B90" s="232"/>
      <c r="C90" s="232"/>
      <c r="D90" s="232"/>
      <c r="E90" s="794">
        <v>15</v>
      </c>
      <c r="F90" s="919" cm="1" t="str">
        <f t="array" ref="F90:F90">OFFSET(G90,-1,-1)</f>
        <v>2</v>
      </c>
      <c r="G90" s="190" t="s">
        <v>1151</v>
      </c>
      <c r="H90" s="232"/>
      <c r="I90" s="232"/>
      <c r="J90" s="232"/>
      <c r="K90" s="232"/>
      <c r="L90" s="232"/>
      <c r="M90" s="232"/>
      <c r="N90" s="232"/>
      <c r="O90" s="232"/>
      <c r="P90" s="232"/>
      <c r="Q90" s="232"/>
      <c r="R90" s="232"/>
      <c r="S90" s="232"/>
      <c r="T90" s="805" cm="1" t="str">
        <f t="array" ref="T90:T90">T89</f>
        <v>true</v>
      </c>
      <c r="U90" s="232"/>
      <c r="V90" s="232"/>
      <c r="W90" s="232"/>
      <c r="X90" s="232"/>
      <c r="Y90" s="232"/>
      <c r="Z90" s="232"/>
      <c r="AA90" s="232"/>
      <c r="AB90" s="157" t="s">
        <v>664</v>
      </c>
      <c r="AC90" s="164" t="s">
        <v>1324</v>
      </c>
      <c r="AD90" s="485" t="s">
        <v>1019</v>
      </c>
      <c r="AE90" s="307">
        <f>_xlfn.SUMIFS(Аренда!AE$26:AE$63,Аренда!$F$26:$F$63,$F90,Аренда!$G$26:$G$63,$G90)</f>
        <v>0</v>
      </c>
      <c r="AF90" s="307">
        <f>_xlfn.SUMIFS(Аренда!AF$26:AF$63,Аренда!$F$26:$F$63,$F90,Аренда!$G$26:$G$63,$G90)</f>
        <v>0</v>
      </c>
      <c r="AG90" s="1785">
        <f>_xlfn.SUMIFS(Аренда!AG$26:AG$63,Аренда!$F$26:$F$63,$F90,Аренда!$G$26:$G$63,$G90)</f>
        <v>0</v>
      </c>
      <c r="AH90" s="307">
        <f>AG90-AF90</f>
        <v>0</v>
      </c>
      <c r="AI90" s="307">
        <f>_xlfn.SUMIFS(Аренда!AH$26:AH$63,Аренда!$F$26:$F$63,$F90,Аренда!$G$26:$G$63,$G90)</f>
        <v>0</v>
      </c>
      <c r="AJ90" s="307">
        <f>_xlfn.SUMIFS(Аренда!AI$26:AI$63,Аренда!$F$26:$F$63,$F90,Аренда!$G$26:$G$63,$G90)</f>
        <v>0</v>
      </c>
      <c r="AK90" s="307">
        <f>_xlfn.SUMIFS(Аренда!AS$26:AS$63,Аренда!$F$26:$F$63,$F90,Аренда!$G$26:$G$63,$G90)</f>
        <v>0</v>
      </c>
      <c r="AL90" s="307">
        <f>IF(AI90=0,0,(AK90-AI90)/AI90*100)</f>
        <v>0</v>
      </c>
      <c r="AM90" s="1730"/>
      <c r="AN90" s="1730"/>
      <c r="AO90" s="1730"/>
      <c r="AP90" s="232"/>
      <c r="AQ90" s="232"/>
      <c r="AR90" s="1232" t="s">
        <v>1154</v>
      </c>
      <c r="AS90" s="1240"/>
      <c r="AT90" s="1240"/>
      <c r="AU90" s="1241"/>
      <c r="AV90" s="1241"/>
    </row>
    <row s="1619" customFormat="1" customHeight="1" ht="29.25">
      <c r="A91" s="225"/>
      <c r="B91" s="924"/>
      <c r="C91" s="225"/>
      <c r="D91" s="225"/>
      <c r="E91" s="794">
        <v>30</v>
      </c>
      <c r="F91" s="919" cm="1" t="str">
        <f t="array" ref="F91:F91">OFFSET(G91,-1,-1)</f>
        <v>2</v>
      </c>
      <c r="G91" s="227"/>
      <c r="H91" s="227"/>
      <c r="I91" s="227"/>
      <c r="J91" s="227"/>
      <c r="K91" s="227"/>
      <c r="L91" s="227"/>
      <c r="M91" s="227"/>
      <c r="N91" s="227"/>
      <c r="O91" s="227"/>
      <c r="P91" s="227"/>
      <c r="Q91" s="190"/>
      <c r="R91" s="190"/>
      <c r="S91" s="227"/>
      <c r="T91" s="805" cm="1" t="str">
        <f t="array" ref="T91:T91">T90</f>
        <v>true</v>
      </c>
      <c r="U91" s="1461"/>
      <c r="V91" s="1461"/>
      <c r="W91" s="1461"/>
      <c r="X91" s="1461"/>
      <c r="Y91" s="1461"/>
      <c r="Z91" s="1461"/>
      <c r="AA91" s="227"/>
      <c r="AB91" s="157" t="s">
        <v>688</v>
      </c>
      <c r="AC91" s="165" t="s">
        <v>1325</v>
      </c>
      <c r="AD91" s="485" t="s">
        <v>1019</v>
      </c>
      <c r="AE91" s="307">
        <f>SUM(AE92:AE94)</f>
        <v>0</v>
      </c>
      <c r="AF91" s="307">
        <f>SUM(AF92:AF94)</f>
        <v>0</v>
      </c>
      <c r="AG91" s="1785">
        <f>SUM(AG92:AG94)</f>
        <v>0</v>
      </c>
      <c r="AH91" s="307">
        <f>AG91-AF91</f>
        <v>0</v>
      </c>
      <c r="AI91" s="307">
        <f>SUM(AI92:AI94)</f>
        <v>0</v>
      </c>
      <c r="AJ91" s="307">
        <f>SUM(AJ92:AJ94)</f>
        <v>0</v>
      </c>
      <c r="AK91" s="307">
        <f>SUM(AK92:AK94)</f>
        <v>0</v>
      </c>
      <c r="AL91" s="307">
        <f>IF(AI91=0,0,(AK91-AI91)/AI91*100)</f>
        <v>0</v>
      </c>
      <c r="AM91" s="1730"/>
      <c r="AN91" s="1730"/>
      <c r="AO91" s="1730"/>
      <c r="AP91" s="227"/>
      <c r="AQ91" s="227"/>
      <c r="AR91" s="1232" t="s">
        <v>1268</v>
      </c>
      <c r="AS91" s="1232"/>
      <c r="AT91" s="1232"/>
      <c r="AU91" s="1233"/>
      <c r="AV91" s="1233"/>
    </row>
    <row s="1619" customFormat="1" customHeight="1" ht="11.25" hidden="1">
      <c r="A92" s="225"/>
      <c r="B92" s="924"/>
      <c r="C92" s="225"/>
      <c r="D92" s="225"/>
      <c r="E92" s="794">
        <v>0</v>
      </c>
      <c r="F92" s="919" cm="1" t="str">
        <f t="array" ref="F92:F92">OFFSET(G92,-1,-1)</f>
        <v>2</v>
      </c>
      <c r="G92" s="227"/>
      <c r="H92" s="227"/>
      <c r="I92" s="227"/>
      <c r="J92" s="227"/>
      <c r="K92" s="227"/>
      <c r="L92" s="227"/>
      <c r="M92" s="227"/>
      <c r="N92" s="227"/>
      <c r="O92" s="227"/>
      <c r="P92" s="227"/>
      <c r="Q92" s="190"/>
      <c r="R92" s="190"/>
      <c r="S92" s="227"/>
      <c r="T92" s="805" cm="1" t="str">
        <f t="array" ref="T92:T92">T91</f>
        <v>true</v>
      </c>
      <c r="U92" s="1461"/>
      <c r="V92" s="1461"/>
      <c r="W92" s="1461"/>
      <c r="X92" s="1461"/>
      <c r="Y92" s="1461"/>
      <c r="Z92" s="1461"/>
      <c r="AA92" s="227"/>
      <c r="AB92" s="157"/>
      <c r="AC92" s="162"/>
      <c r="AD92" s="485"/>
      <c r="AE92" s="485"/>
      <c r="AF92" s="485"/>
      <c r="AG92" s="485"/>
      <c r="AH92" s="485"/>
      <c r="AI92" s="485"/>
      <c r="AJ92" s="485"/>
      <c r="AK92" s="485"/>
      <c r="AL92" s="485"/>
      <c r="AM92" s="169"/>
      <c r="AN92" s="169"/>
      <c r="AO92" s="169"/>
      <c r="AP92" s="227"/>
      <c r="AQ92" s="227"/>
      <c r="AR92" s="1232" t="str">
        <f>IF(AND(ISNUMBER(VALUE(TRIM(SUBSTITUTE(AB92,".","")))),TRIM(SUBSTITUTE(AB92,".",""))&lt;&gt;""),"P"&amp;SUBSTITUTE(AB92,".",""),"")</f>
        <v/>
      </c>
      <c r="AS92" s="1232"/>
      <c r="AT92" s="1232"/>
      <c r="AU92" s="1233"/>
      <c r="AV92" s="1233"/>
    </row>
    <row s="1619" customFormat="1" customHeight="1" ht="14.25" hidden="1">
      <c r="A93" s="225"/>
      <c r="B93" s="924"/>
      <c r="C93" s="225"/>
      <c r="D93" s="225"/>
      <c r="E93" s="794">
        <v>15</v>
      </c>
      <c r="F93" s="919" cm="1" t="str">
        <f t="array" ref="F93:F93">OFFSET(G93,-1,-1)</f>
        <v>2</v>
      </c>
      <c r="G93" s="227"/>
      <c r="H93" s="227"/>
      <c r="I93" s="227"/>
      <c r="J93" s="227"/>
      <c r="K93" s="227"/>
      <c r="L93" s="227"/>
      <c r="M93" s="227"/>
      <c r="N93" s="227"/>
      <c r="O93" s="227"/>
      <c r="P93" s="227"/>
      <c r="Q93" s="190"/>
      <c r="R93" s="190"/>
      <c r="S93" s="227"/>
      <c r="T93" s="805">
        <f>AND(F93&gt;0,Y93&gt;0)</f>
        <v>0</v>
      </c>
      <c r="U93" s="1461"/>
      <c r="V93" s="1461"/>
      <c r="W93" s="172" t="s">
        <v>233</v>
      </c>
      <c r="X93" s="1461"/>
      <c r="Y93" s="172">
        <v>0</v>
      </c>
      <c r="Z93" s="1461"/>
      <c r="AA93" s="1120" t="s">
        <v>217</v>
      </c>
      <c r="AB93" s="639" t="str">
        <f>"10."&amp;Y93</f>
        <v>10.0</v>
      </c>
      <c r="AC93" s="114"/>
      <c r="AD93" s="496" t="s">
        <v>1019</v>
      </c>
      <c r="AE93" s="115"/>
      <c r="AF93" s="115"/>
      <c r="AG93" s="115"/>
      <c r="AH93" s="548">
        <f>AG93-AF93</f>
        <v>0</v>
      </c>
      <c r="AI93" s="115"/>
      <c r="AJ93" s="705"/>
      <c r="AK93" s="705"/>
      <c r="AL93" s="548">
        <f>IF(AI93=0,0,(AK93-AI93)/AI93*100)</f>
        <v>0</v>
      </c>
      <c r="AM93" s="68"/>
      <c r="AN93" s="68"/>
      <c r="AO93" s="68"/>
      <c r="AP93" s="227"/>
      <c r="AQ93" s="227"/>
      <c r="AR93" s="1232" t="s">
        <v>1268</v>
      </c>
      <c r="AS93" s="1232" t="s">
        <v>1196</v>
      </c>
      <c r="AT93" s="1242" cm="1" t="str">
        <f t="array" ref="AT93:AT93">AC93</f>
        <v>0</v>
      </c>
      <c r="AU93" s="1233"/>
      <c r="AV93" s="1233" t="b">
        <v>1</v>
      </c>
    </row>
    <row s="1619" customFormat="1" customHeight="1" ht="13.5">
      <c r="A94" s="225"/>
      <c r="B94" s="924"/>
      <c r="C94" s="225"/>
      <c r="D94" s="225"/>
      <c r="E94" s="794">
        <v>14.1</v>
      </c>
      <c r="F94" s="919" cm="1" t="str">
        <f t="array" ref="F94:F94">OFFSET(G94,-1,-1)</f>
        <v>2</v>
      </c>
      <c r="G94" s="227"/>
      <c r="H94" s="227"/>
      <c r="I94" s="227"/>
      <c r="J94" s="227"/>
      <c r="K94" s="227"/>
      <c r="L94" s="227"/>
      <c r="M94" s="227"/>
      <c r="N94" s="227"/>
      <c r="O94" s="227"/>
      <c r="P94" s="227"/>
      <c r="Q94" s="190"/>
      <c r="R94" s="190"/>
      <c r="S94" s="227"/>
      <c r="T94" s="805">
        <f>F94&gt;0</f>
        <v>1</v>
      </c>
      <c r="U94" s="1461"/>
      <c r="V94" s="1461"/>
      <c r="W94" s="371" t="s">
        <v>501</v>
      </c>
      <c r="X94" s="1461"/>
      <c r="Y94" s="1461"/>
      <c r="Z94" s="1461"/>
      <c r="AA94" s="227"/>
      <c r="AB94" s="728"/>
      <c r="AC94" s="732" t="s">
        <v>235</v>
      </c>
      <c r="AD94" s="729"/>
      <c r="AE94" s="730"/>
      <c r="AF94" s="730"/>
      <c r="AG94" s="730"/>
      <c r="AH94" s="730"/>
      <c r="AI94" s="730"/>
      <c r="AJ94" s="730"/>
      <c r="AK94" s="730"/>
      <c r="AL94" s="730"/>
      <c r="AM94" s="1100"/>
      <c r="AN94" s="1100"/>
      <c r="AO94" s="1101"/>
      <c r="AP94" s="227"/>
      <c r="AQ94" s="227"/>
      <c r="AR94" s="1232" t="str">
        <f>IF(AND(ISNUMBER(VALUE(TRIM(SUBSTITUTE(AB94,".","")))),TRIM(SUBSTITUTE(AB94,".",""))&lt;&gt;""),"P"&amp;SUBSTITUTE(AB94,".",""),"")</f>
        <v/>
      </c>
      <c r="AS94" s="1232"/>
      <c r="AT94" s="1232"/>
      <c r="AU94" s="1233" t="s">
        <v>1196</v>
      </c>
      <c r="AV94" s="1233"/>
    </row>
    <row s="1619" customFormat="1" customHeight="1" ht="13.5">
      <c r="A95" s="225"/>
      <c r="B95" s="924"/>
      <c r="C95" s="225"/>
      <c r="D95" s="225"/>
      <c r="E95" s="794">
        <v>14.1</v>
      </c>
      <c r="F95" s="919" cm="1" t="str">
        <f t="array" ref="F95:F95">OFFSET(G95,-1,-1)</f>
        <v>2</v>
      </c>
      <c r="G95" s="227"/>
      <c r="H95" s="227"/>
      <c r="I95" s="227"/>
      <c r="J95" s="227"/>
      <c r="K95" s="227"/>
      <c r="L95" s="227"/>
      <c r="M95" s="227"/>
      <c r="N95" s="227"/>
      <c r="O95" s="227"/>
      <c r="P95" s="227"/>
      <c r="Q95" s="190"/>
      <c r="R95" s="190"/>
      <c r="S95" s="227"/>
      <c r="T95" s="805">
        <f>F95&gt;0</f>
        <v>1</v>
      </c>
      <c r="U95" s="1461"/>
      <c r="V95" s="1461"/>
      <c r="W95" s="1461"/>
      <c r="X95" s="1461"/>
      <c r="Y95" s="1461"/>
      <c r="Z95" s="1461"/>
      <c r="AA95" s="227"/>
      <c r="AB95" s="640" t="s">
        <v>696</v>
      </c>
      <c r="AC95" s="726" t="s">
        <v>1326</v>
      </c>
      <c r="AD95" s="555" t="s">
        <v>1019</v>
      </c>
      <c r="AE95" s="642">
        <f>SUM(AE96:AE98)</f>
        <v>0</v>
      </c>
      <c r="AF95" s="642">
        <f>SUM(AF96:AF98)</f>
        <v>0</v>
      </c>
      <c r="AG95" s="1881">
        <f>SUM(AG96:AG98)</f>
        <v>0</v>
      </c>
      <c r="AH95" s="642">
        <f>AG95-AF95</f>
        <v>0</v>
      </c>
      <c r="AI95" s="642">
        <f>SUM(AI96:AI98)</f>
        <v>0</v>
      </c>
      <c r="AJ95" s="642">
        <f>SUM(AJ96:AJ98)</f>
        <v>0</v>
      </c>
      <c r="AK95" s="642">
        <f>SUM(AK96:AK98)</f>
        <v>0</v>
      </c>
      <c r="AL95" s="642">
        <f>IF(AI95=0,0,(AK95-AI95)/AI95*100)</f>
        <v>0</v>
      </c>
      <c r="AM95" s="1743"/>
      <c r="AN95" s="1743"/>
      <c r="AO95" s="1743"/>
      <c r="AP95" s="227"/>
      <c r="AQ95" s="227"/>
      <c r="AR95" s="1232" t="s">
        <v>1327</v>
      </c>
      <c r="AS95" s="1232"/>
      <c r="AT95" s="1232"/>
      <c r="AU95" s="1233"/>
      <c r="AV95" s="1233"/>
    </row>
    <row s="1619" customFormat="1" customHeight="1" ht="11.25" hidden="1">
      <c r="A96" s="225"/>
      <c r="B96" s="924"/>
      <c r="C96" s="225"/>
      <c r="D96" s="225"/>
      <c r="E96" s="794">
        <v>0</v>
      </c>
      <c r="F96" s="919" cm="1" t="str">
        <f t="array" ref="F96:F96">OFFSET(G96,-1,-1)</f>
        <v>2</v>
      </c>
      <c r="G96" s="227"/>
      <c r="H96" s="227"/>
      <c r="I96" s="227"/>
      <c r="J96" s="227"/>
      <c r="K96" s="227"/>
      <c r="L96" s="227"/>
      <c r="M96" s="227"/>
      <c r="N96" s="227"/>
      <c r="O96" s="227"/>
      <c r="P96" s="227"/>
      <c r="Q96" s="190"/>
      <c r="R96" s="190"/>
      <c r="S96" s="227"/>
      <c r="T96" s="805">
        <f>F96&gt;0</f>
        <v>1</v>
      </c>
      <c r="U96" s="1461"/>
      <c r="V96" s="1461"/>
      <c r="W96" s="1461"/>
      <c r="X96" s="1461"/>
      <c r="Y96" s="1461"/>
      <c r="Z96" s="1461"/>
      <c r="AA96" s="227"/>
      <c r="AB96" s="639"/>
      <c r="AC96" s="669"/>
      <c r="AD96" s="670"/>
      <c r="AE96" s="485"/>
      <c r="AF96" s="485"/>
      <c r="AG96" s="485"/>
      <c r="AH96" s="227"/>
      <c r="AI96" s="485"/>
      <c r="AJ96" s="485"/>
      <c r="AK96" s="485"/>
      <c r="AL96" s="227"/>
      <c r="AM96" s="227"/>
      <c r="AN96" s="227"/>
      <c r="AO96" s="227"/>
      <c r="AP96" s="227"/>
      <c r="AQ96" s="227"/>
      <c r="AR96" s="1232" t="str">
        <f>IF(AND(ISNUMBER(VALUE(TRIM(SUBSTITUTE(AB96,".","")))),TRIM(SUBSTITUTE(AB96,".",""))&lt;&gt;""),"P"&amp;SUBSTITUTE(AB96,".",""),"")</f>
        <v/>
      </c>
      <c r="AS96" s="1232"/>
      <c r="AT96" s="1232"/>
      <c r="AU96" s="1233"/>
      <c r="AV96" s="1233"/>
    </row>
    <row s="1619" customFormat="1" customHeight="1" ht="13.5" hidden="1">
      <c r="A97" s="225"/>
      <c r="B97" s="924"/>
      <c r="C97" s="225"/>
      <c r="D97" s="225"/>
      <c r="E97" s="794">
        <v>14.1</v>
      </c>
      <c r="F97" s="919" cm="1" t="str">
        <f t="array" ref="F97:F97">OFFSET(G97,-1,-1)</f>
        <v>2</v>
      </c>
      <c r="G97" s="227"/>
      <c r="H97" s="227"/>
      <c r="I97" s="227"/>
      <c r="J97" s="227"/>
      <c r="K97" s="227"/>
      <c r="L97" s="227"/>
      <c r="M97" s="227"/>
      <c r="N97" s="227"/>
      <c r="O97" s="227"/>
      <c r="P97" s="227"/>
      <c r="Q97" s="190"/>
      <c r="R97" s="190"/>
      <c r="S97" s="227"/>
      <c r="T97" s="805">
        <f>AND(F97&gt;0,Y97&gt;0)</f>
        <v>0</v>
      </c>
      <c r="U97" s="1461"/>
      <c r="V97" s="1461"/>
      <c r="W97" s="172" t="s">
        <v>233</v>
      </c>
      <c r="X97" s="1461"/>
      <c r="Y97" s="172">
        <v>0</v>
      </c>
      <c r="Z97" s="1461"/>
      <c r="AA97" s="1120" t="s">
        <v>217</v>
      </c>
      <c r="AB97" s="639" t="str">
        <f>"11."&amp;Y97</f>
        <v>11.0</v>
      </c>
      <c r="AC97" s="109"/>
      <c r="AD97" s="170" t="s">
        <v>1019</v>
      </c>
      <c r="AE97" s="98"/>
      <c r="AF97" s="98"/>
      <c r="AG97" s="98"/>
      <c r="AH97" s="307">
        <f>AG97-AF97</f>
        <v>0</v>
      </c>
      <c r="AI97" s="98"/>
      <c r="AJ97" s="308"/>
      <c r="AK97" s="308"/>
      <c r="AL97" s="307">
        <f>IF(AI97=0,0,(AK97-AI97)/AI97*100)</f>
        <v>0</v>
      </c>
      <c r="AM97" s="73"/>
      <c r="AN97" s="73"/>
      <c r="AO97" s="73"/>
      <c r="AP97" s="227"/>
      <c r="AQ97" s="227"/>
      <c r="AR97" s="1232" t="s">
        <v>1327</v>
      </c>
      <c r="AS97" s="1232" t="s">
        <v>1328</v>
      </c>
      <c r="AT97" s="1242" cm="1" t="str">
        <f t="array" ref="AT97:AT97">AC97</f>
        <v>0</v>
      </c>
      <c r="AU97" s="1233"/>
      <c r="AV97" s="1233" t="b">
        <v>1</v>
      </c>
    </row>
    <row s="1619" customFormat="1" customHeight="1" ht="13.5">
      <c r="A98" s="225"/>
      <c r="B98" s="924"/>
      <c r="C98" s="225"/>
      <c r="D98" s="225"/>
      <c r="E98" s="794">
        <v>14.1</v>
      </c>
      <c r="F98" s="919" cm="1" t="str">
        <f t="array" ref="F98:F98">OFFSET(G98,-1,-1)</f>
        <v>2</v>
      </c>
      <c r="G98" s="227"/>
      <c r="H98" s="227"/>
      <c r="I98" s="227"/>
      <c r="J98" s="227"/>
      <c r="K98" s="227"/>
      <c r="L98" s="227"/>
      <c r="M98" s="227"/>
      <c r="N98" s="227"/>
      <c r="O98" s="227"/>
      <c r="P98" s="227"/>
      <c r="Q98" s="190"/>
      <c r="R98" s="190"/>
      <c r="S98" s="227"/>
      <c r="T98" s="805">
        <f>F98&gt;0</f>
        <v>1</v>
      </c>
      <c r="U98" s="1461"/>
      <c r="V98" s="1461"/>
      <c r="W98" s="371" t="s">
        <v>1329</v>
      </c>
      <c r="X98" s="1461"/>
      <c r="Y98" s="1461"/>
      <c r="Z98" s="1461"/>
      <c r="AA98" s="227"/>
      <c r="AB98" s="728"/>
      <c r="AC98" s="732" t="s">
        <v>235</v>
      </c>
      <c r="AD98" s="729"/>
      <c r="AE98" s="731"/>
      <c r="AF98" s="731"/>
      <c r="AG98" s="731"/>
      <c r="AH98" s="731"/>
      <c r="AI98" s="731"/>
      <c r="AJ98" s="731"/>
      <c r="AK98" s="731"/>
      <c r="AL98" s="731"/>
      <c r="AM98" s="731"/>
      <c r="AN98" s="731"/>
      <c r="AO98" s="731"/>
      <c r="AP98" s="227"/>
      <c r="AQ98" s="227"/>
      <c r="AR98" s="1232"/>
      <c r="AS98" s="1232"/>
      <c r="AT98" s="1232"/>
      <c r="AU98" s="1233" t="s">
        <v>1328</v>
      </c>
      <c r="AV98" s="1233"/>
    </row>
    <row customHeight="1" ht="9.945">
      <c r="E99" s="794">
        <v>10.2</v>
      </c>
      <c r="U99" s="176" t="s">
        <v>235</v>
      </c>
      <c r="V99" s="168" t="s">
        <v>1330</v>
      </c>
      <c r="AJ99" s="227"/>
      <c r="AK99" s="227"/>
      <c r="AL99" s="227"/>
    </row>
    <row customHeight="1" ht="11.25" hidden="1">
      <c r="E100" s="794">
        <v>0</v>
      </c>
      <c r="AJ100" s="227"/>
      <c r="AK100" s="227"/>
      <c r="AL100" s="227"/>
    </row>
    <row customHeight="1" ht="14.625">
      <c r="E101" s="794">
        <v>15</v>
      </c>
      <c r="AB101" s="1527" t="s">
        <v>700</v>
      </c>
      <c r="AC101" s="1527"/>
      <c r="AD101" s="1527"/>
      <c r="AE101" s="1527"/>
      <c r="AF101" s="1527"/>
      <c r="AG101" s="1527"/>
      <c r="AH101" s="1527"/>
      <c r="AI101" s="1527"/>
      <c r="AJ101" s="1527"/>
      <c r="AK101" s="1527"/>
      <c r="AL101" s="1527"/>
      <c r="AM101" s="1527"/>
      <c r="AN101" s="1527"/>
      <c r="AO101" s="1527"/>
    </row>
    <row customHeight="1" ht="14.625">
      <c r="E102" s="794">
        <v>15</v>
      </c>
      <c r="AA102" s="918"/>
      <c r="AB102" s="1540"/>
      <c r="AC102" s="1541"/>
      <c r="AD102" s="1541"/>
      <c r="AE102" s="1541"/>
      <c r="AF102" s="1541"/>
      <c r="AG102" s="1541"/>
      <c r="AH102" s="1541"/>
      <c r="AI102" s="1541"/>
      <c r="AJ102" s="1541"/>
      <c r="AK102" s="1541"/>
      <c r="AL102" s="1541"/>
      <c r="AM102" s="1541"/>
      <c r="AN102" s="1541"/>
      <c r="AO102" s="1541"/>
    </row>
    <row customHeight="1" ht="14.625" hidden="1">
      <c r="A103" s="225"/>
      <c r="B103" s="924"/>
      <c r="C103" s="225"/>
      <c r="D103" s="225"/>
      <c r="E103" s="794">
        <v>15</v>
      </c>
      <c r="F103" s="225"/>
      <c r="G103" s="227"/>
      <c r="H103" s="227"/>
      <c r="I103" s="227"/>
      <c r="J103" s="227"/>
      <c r="K103" s="227"/>
      <c r="L103" s="227"/>
      <c r="M103" s="227"/>
      <c r="N103" s="227"/>
      <c r="O103" s="227"/>
      <c r="P103" s="227"/>
      <c r="Q103" s="190"/>
      <c r="R103" s="190"/>
      <c r="S103" s="227"/>
      <c r="T103" s="805">
        <f>ROW(W103)&gt;ROW(W$103)</f>
        <v>0</v>
      </c>
      <c r="U103" s="1461"/>
      <c r="V103" s="1461"/>
      <c r="W103" s="172" t="s">
        <v>233</v>
      </c>
      <c r="X103" s="1461"/>
      <c r="Y103" s="1461"/>
      <c r="Z103" s="1461"/>
      <c r="AA103" s="914" t="s">
        <v>217</v>
      </c>
      <c r="AB103" s="1865"/>
      <c r="AC103" s="1541"/>
      <c r="AD103" s="1541"/>
      <c r="AE103" s="1541"/>
      <c r="AF103" s="1541"/>
      <c r="AG103" s="1541"/>
      <c r="AH103" s="1541"/>
      <c r="AI103" s="1541"/>
      <c r="AJ103" s="1541"/>
      <c r="AK103" s="1541"/>
      <c r="AL103" s="1541"/>
      <c r="AM103" s="1541"/>
      <c r="AN103" s="1541"/>
      <c r="AO103" s="1541"/>
      <c r="AP103" s="227"/>
      <c r="AQ103" s="227"/>
      <c r="AR103" s="1232"/>
      <c r="AS103" s="1232"/>
      <c r="AT103" s="1232"/>
      <c r="AU103" s="1233"/>
      <c r="AV103" s="1233"/>
    </row>
    <row customHeight="1" ht="14.625">
      <c r="E104" s="794">
        <v>15</v>
      </c>
      <c r="W104" s="168" t="s">
        <v>234</v>
      </c>
      <c r="AA104" s="210"/>
      <c r="AB104" s="1475" t="s">
        <v>701</v>
      </c>
      <c r="AC104" s="1476"/>
      <c r="AD104" s="380"/>
      <c r="AE104" s="380"/>
      <c r="AF104" s="380"/>
      <c r="AG104" s="380"/>
      <c r="AH104" s="380"/>
      <c r="AI104" s="380"/>
      <c r="AJ104" s="380"/>
      <c r="AK104" s="380"/>
      <c r="AL104" s="380"/>
      <c r="AM104" s="380"/>
      <c r="AN104" s="380"/>
      <c r="AO104" s="347"/>
    </row>
    <row customHeight="1" ht="11.25">
      <c r="AJ105" s="227"/>
      <c r="AK105" s="227"/>
      <c r="AL105" s="227"/>
      <c r="AP105" s="227"/>
    </row>
  </sheetData>
  <sheetProtection formatColumns="0" formatRows="0" insertRows="0" deleteColumns="0" deleteRows="0" sort="0" autoFilter="0" insertColumns="1"/>
  <mergeCells count="19">
    <mergeCell ref="X27:X50"/>
    <mergeCell ref="Z27:Z50"/>
    <mergeCell ref="AB101:AO101"/>
    <mergeCell ref="AB102:AO102"/>
    <mergeCell ref="AB104:AC104"/>
    <mergeCell ref="AB28:AC28"/>
    <mergeCell ref="AO24:AO25"/>
    <mergeCell ref="AB103:AO103"/>
    <mergeCell ref="AB24:AB25"/>
    <mergeCell ref="AC24:AC25"/>
    <mergeCell ref="AD24:AD25"/>
    <mergeCell ref="AM24:AM25"/>
    <mergeCell ref="AN24:AN25"/>
    <mergeCell ref="X51:X74"/>
    <mergeCell ref="Z51:Z74"/>
    <mergeCell ref="AB52:AC52"/>
    <mergeCell ref="X75:X98"/>
    <mergeCell ref="Z75:Z98"/>
    <mergeCell ref="AB76:AC7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13658-6435-C002-6D32-BE33B196F558}" mc:Ignorable="x14ac xr xr2 xr3">
  <sheetPr>
    <tabColor rgb="FF92D050"/>
    <outlinePr summaryRight="0" summaryBelow="0"/>
    <pageSetUpPr fitToPage="1"/>
  </sheetPr>
  <dimension ref="A1:BS60"/>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376</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377</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430</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431</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432</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390</v>
      </c>
      <c r="AC24" s="1547" t="s">
        <v>433</v>
      </c>
      <c r="AD24" s="1547" t="s">
        <v>434</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1288</v>
      </c>
      <c r="BO24" s="1543" t="s">
        <v>587</v>
      </c>
      <c r="BP24" s="1543" t="s">
        <v>1289</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407</v>
      </c>
      <c r="AF25" s="166" t="s">
        <v>588</v>
      </c>
      <c r="AG25" s="166" t="s">
        <v>589</v>
      </c>
      <c r="AH25" s="166" t="s">
        <v>1290</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1291</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T27" s="805">
        <f>X27&gt;0</f>
        <v>0</v>
      </c>
      <c r="V27" s="172" t="s">
        <v>309</v>
      </c>
      <c r="X27" s="172">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502</v>
      </c>
      <c r="T28" s="805" cm="1" t="str">
        <f t="array" ref="T28:T28">T27</f>
        <v>false</v>
      </c>
      <c r="AB28" s="157" t="s">
        <v>335</v>
      </c>
      <c r="AC28" s="739" t="s">
        <v>1331</v>
      </c>
      <c r="AD28" s="157" t="s">
        <v>490</v>
      </c>
      <c r="AE28" s="613"/>
      <c r="AF28" s="611"/>
      <c r="AG28" s="611"/>
      <c r="AH28" s="611"/>
      <c r="AI28" s="117"/>
      <c r="AJ28" s="887">
        <f>_xlfn.SUMIFS(Сценарии!AE$27:AE$109,Сценарии!$F$27:$F$109,$F28,Сценарии!$G$27:$G$109,$G28)</f>
        <v>0</v>
      </c>
      <c r="AK28" s="887">
        <f>_xlfn.SUMIFS(Сценарии!AF$27:AF$109,Сценарии!$F$27:$F$109,$F28,Сценарии!$G$27:$G$109,$G28)</f>
        <v>0</v>
      </c>
      <c r="AL28" s="887">
        <f>_xlfn.SUMIFS(Сценарии!AG$27:AG$109,Сценарии!$F$27:$F$109,$F28,Сценарии!$G$27:$G$109,$G28)</f>
        <v>0</v>
      </c>
      <c r="AM28" s="887">
        <f>_xlfn.SUMIFS(Сценарии!AH$27:AH$109,Сценарии!$F$27:$F$109,$F28,Сценарии!$G$27:$G$109,$G28)</f>
        <v>0</v>
      </c>
      <c r="AN28" s="887">
        <f>_xlfn.SUMIFS(Сценарии!AI$27:AI$109,Сценарии!$F$27:$F$109,$F28,Сценарии!$G$27:$G$109,$G28)</f>
        <v>0</v>
      </c>
      <c r="AO28" s="887">
        <f>_xlfn.SUMIFS(Сценарии!AJ$27:AJ$109,Сценарии!$F$27:$F$109,$F28,Сценарии!$G$27:$G$109,$G28)</f>
        <v>0</v>
      </c>
      <c r="AP28" s="887">
        <f>_xlfn.SUMIFS(Сценарии!AK$27:AK$109,Сценарии!$F$27:$F$109,$F28,Сценарии!$G$27:$G$109,$G28)</f>
        <v>0</v>
      </c>
      <c r="AQ28" s="887">
        <f>_xlfn.SUMIFS(Сценарии!AL$27:AL$109,Сценарии!$F$27:$F$109,$F28,Сценарии!$G$27:$G$109,$G28)</f>
        <v>0</v>
      </c>
      <c r="AR28" s="887">
        <f>_xlfn.SUMIFS(Сценарии!AM$27:AM$109,Сценарии!$F$27:$F$109,$F28,Сценарии!$G$27:$G$109,$G28)</f>
        <v>0</v>
      </c>
      <c r="AS28" s="887">
        <f>_xlfn.SUMIFS(Сценарии!AN$27:AN$109,Сценарии!$F$27:$F$109,$F28,Сценарии!$G$27:$G$109,$G28)</f>
        <v>0</v>
      </c>
      <c r="AT28" s="887">
        <f>_xlfn.SUMIFS(Сценарии!AO$27:AO$109,Сценарии!$F$27:$F$109,$F28,Сценарии!$G$27:$G$109,$G28)</f>
        <v>0</v>
      </c>
      <c r="AU28" s="887">
        <f>_xlfn.SUMIFS(Сценарии!AP$27:AP$109,Сценарии!$F$27:$F$109,$F28,Сценарии!$G$27:$G$109,$G28)</f>
        <v>0</v>
      </c>
      <c r="AV28" s="887">
        <f>_xlfn.SUMIFS(Сценарии!AQ$27:AQ$109,Сценарии!$F$27:$F$109,$F28,Сценарии!$G$27:$G$109,$G28)</f>
        <v>0</v>
      </c>
      <c r="AW28" s="887">
        <f>_xlfn.SUMIFS(Сценарии!AR$27:AR$109,Сценарии!$F$27:$F$109,$F28,Сценарии!$G$27:$G$109,$G28)</f>
        <v>0</v>
      </c>
      <c r="AX28" s="887">
        <f>_xlfn.SUMIFS(Сценарии!AS$27:AS$109,Сценарии!$F$27:$F$109,$F28,Сценарии!$G$27:$G$109,$G28)</f>
        <v>0</v>
      </c>
      <c r="AY28" s="887">
        <f>_xlfn.SUMIFS(Сценарии!AT$27:AT$109,Сценарии!$F$27:$F$109,$F28,Сценарии!$G$27:$G$109,$G28)</f>
        <v>0</v>
      </c>
      <c r="AZ28" s="887">
        <f>_xlfn.SUMIFS(Сценарии!AU$27:AU$109,Сценарии!$F$27:$F$109,$F28,Сценарии!$G$27:$G$109,$G28)</f>
        <v>0</v>
      </c>
      <c r="BA28" s="887">
        <f>_xlfn.SUMIFS(Сценарии!AV$27:AV$109,Сценарии!$F$27:$F$109,$F28,Сценарии!$G$27:$G$109,$G28)</f>
        <v>0</v>
      </c>
      <c r="BB28" s="887">
        <f>_xlfn.SUMIFS(Сценарии!AW$27:AW$109,Сценарии!$F$27:$F$109,$F28,Сценарии!$G$27:$G$109,$G28)</f>
        <v>0</v>
      </c>
      <c r="BC28" s="887">
        <f>_xlfn.SUMIFS(Сценарии!AX$27:AX$109,Сценарии!$F$27:$F$109,$F28,Сценарии!$G$27:$G$109,$G28)</f>
        <v>0</v>
      </c>
      <c r="BD28" s="1133"/>
      <c r="BE28" s="1133"/>
      <c r="BF28" s="1133"/>
      <c r="BG28" s="1133"/>
      <c r="BH28" s="1133"/>
      <c r="BI28" s="1133"/>
      <c r="BJ28" s="1133"/>
      <c r="BK28" s="1133"/>
      <c r="BL28" s="1133"/>
      <c r="BM28" s="1133"/>
      <c r="BN28" s="73"/>
      <c r="BO28" s="73"/>
      <c r="BP28" s="73"/>
      <c r="BS28" s="1230" t="s">
        <v>1332</v>
      </c>
    </row>
    <row s="230" customFormat="1" customHeight="1" ht="16.672500000000003" hidden="1">
      <c r="E29" s="794">
        <v>17.1</v>
      </c>
      <c r="F29" s="919" cm="1" t="str">
        <f t="array" ref="F29:F29">OFFSET(G29,-1,-1)</f>
        <v>0</v>
      </c>
      <c r="G29" s="929" t="s">
        <v>492</v>
      </c>
      <c r="T29" s="805" cm="1" t="str">
        <f t="array" ref="T29:T29">T28</f>
        <v>false</v>
      </c>
      <c r="AB29" s="157" t="s">
        <v>343</v>
      </c>
      <c r="AC29" s="165" t="s">
        <v>1333</v>
      </c>
      <c r="AD29" s="157" t="s">
        <v>490</v>
      </c>
      <c r="AE29" s="613"/>
      <c r="AF29" s="611"/>
      <c r="AG29" s="611"/>
      <c r="AH29" s="611"/>
      <c r="AI29" s="117"/>
      <c r="AJ29" s="887">
        <f>_xlfn.SUMIFS(Сценарии!AE$27:AE$109,Сценарии!$F$27:$F$109,$F29,Сценарии!$G$27:$G$109,$G29)</f>
        <v>1</v>
      </c>
      <c r="AK29" s="887">
        <f>_xlfn.SUMIFS(Сценарии!AF$27:AF$109,Сценарии!$F$27:$F$109,$F29,Сценарии!$G$27:$G$109,$G29)</f>
        <v>1</v>
      </c>
      <c r="AL29" s="887">
        <f>_xlfn.SUMIFS(Сценарии!AG$27:AG$109,Сценарии!$F$27:$F$109,$F29,Сценарии!$G$27:$G$109,$G29)</f>
        <v>1</v>
      </c>
      <c r="AM29" s="887">
        <f>_xlfn.SUMIFS(Сценарии!AH$27:AH$109,Сценарии!$F$27:$F$109,$F29,Сценарии!$G$27:$G$109,$G29)</f>
        <v>1</v>
      </c>
      <c r="AN29" s="887">
        <f>_xlfn.SUMIFS(Сценарии!AI$27:AI$109,Сценарии!$F$27:$F$109,$F29,Сценарии!$G$27:$G$109,$G29)</f>
        <v>1</v>
      </c>
      <c r="AO29" s="887">
        <f>_xlfn.SUMIFS(Сценарии!AJ$27:AJ$109,Сценарии!$F$27:$F$109,$F29,Сценарии!$G$27:$G$109,$G29)</f>
        <v>1</v>
      </c>
      <c r="AP29" s="887">
        <f>_xlfn.SUMIFS(Сценарии!AK$27:AK$109,Сценарии!$F$27:$F$109,$F29,Сценарии!$G$27:$G$109,$G29)</f>
        <v>1</v>
      </c>
      <c r="AQ29" s="887">
        <f>_xlfn.SUMIFS(Сценарии!AL$27:AL$109,Сценарии!$F$27:$F$109,$F29,Сценарии!$G$27:$G$109,$G29)</f>
        <v>1</v>
      </c>
      <c r="AR29" s="887">
        <f>_xlfn.SUMIFS(Сценарии!AM$27:AM$109,Сценарии!$F$27:$F$109,$F29,Сценарии!$G$27:$G$109,$G29)</f>
        <v>1</v>
      </c>
      <c r="AS29" s="887">
        <f>_xlfn.SUMIFS(Сценарии!AN$27:AN$109,Сценарии!$F$27:$F$109,$F29,Сценарии!$G$27:$G$109,$G29)</f>
        <v>1</v>
      </c>
      <c r="AT29" s="1132">
        <v>1</v>
      </c>
      <c r="AU29" s="1132">
        <v>1</v>
      </c>
      <c r="AV29" s="1132">
        <v>1</v>
      </c>
      <c r="AW29" s="1132">
        <v>1</v>
      </c>
      <c r="AX29" s="1132">
        <v>1</v>
      </c>
      <c r="AY29" s="117">
        <v>1</v>
      </c>
      <c r="AZ29" s="117">
        <v>1</v>
      </c>
      <c r="BA29" s="117">
        <v>1</v>
      </c>
      <c r="BB29" s="117">
        <v>1</v>
      </c>
      <c r="BC29" s="117">
        <v>1</v>
      </c>
      <c r="BD29" s="1133"/>
      <c r="BE29" s="1133"/>
      <c r="BF29" s="1133"/>
      <c r="BG29" s="1133"/>
      <c r="BH29" s="1133"/>
      <c r="BI29" s="1133"/>
      <c r="BJ29" s="1133"/>
      <c r="BK29" s="1133"/>
      <c r="BL29" s="1133"/>
      <c r="BM29" s="1133"/>
      <c r="BN29" s="73"/>
      <c r="BO29" s="73"/>
      <c r="BP29" s="73"/>
      <c r="BS29" s="1230" t="s">
        <v>1334</v>
      </c>
    </row>
    <row customHeight="1" ht="16.672500000000003" hidden="1">
      <c r="E30" s="794">
        <v>17.1</v>
      </c>
      <c r="F30" s="919" cm="1" t="str">
        <f t="array" ref="F30:F30">OFFSET(G30,-1,-1)</f>
        <v>0</v>
      </c>
      <c r="G30" s="190" t="s">
        <v>545</v>
      </c>
      <c r="T30" s="805" cm="1" t="str">
        <f t="array" ref="T30:T30">T29</f>
        <v>false</v>
      </c>
      <c r="AB30" s="157" t="s">
        <v>614</v>
      </c>
      <c r="AC30" s="165" t="s">
        <v>1335</v>
      </c>
      <c r="AD30" s="157"/>
      <c r="AE30" s="613"/>
      <c r="AF30" s="611"/>
      <c r="AG30" s="611"/>
      <c r="AH30" s="611"/>
      <c r="AI30" s="117"/>
      <c r="AJ30" s="887">
        <f>_xlfn.SUMIFS(Сценарии!AE$27:AE$109,Сценарии!$F$27:$F$109,$F30,Сценарии!$G$27:$G$109,$G30)</f>
        <v>0</v>
      </c>
      <c r="AK30" s="887">
        <f>_xlfn.SUMIFS(Сценарии!AF$27:AF$109,Сценарии!$F$27:$F$109,$F30,Сценарии!$G$27:$G$109,$G30)</f>
        <v>0</v>
      </c>
      <c r="AL30" s="887">
        <f>_xlfn.SUMIFS(Сценарии!AG$27:AG$109,Сценарии!$F$27:$F$109,$F30,Сценарии!$G$27:$G$109,$G30)</f>
        <v>0</v>
      </c>
      <c r="AM30" s="887">
        <f>_xlfn.SUMIFS(Сценарии!AH$27:AH$109,Сценарии!$F$27:$F$109,$F30,Сценарии!$G$27:$G$109,$G30)</f>
        <v>0</v>
      </c>
      <c r="AN30" s="887">
        <f>_xlfn.SUMIFS(Сценарии!AI$27:AI$109,Сценарии!$F$27:$F$109,$F30,Сценарии!$G$27:$G$109,$G30)</f>
        <v>0</v>
      </c>
      <c r="AO30" s="887">
        <f>_xlfn.SUMIFS(Сценарии!AJ$27:AJ$109,Сценарии!$F$27:$F$109,$F30,Сценарии!$G$27:$G$109,$G30)</f>
        <v>0</v>
      </c>
      <c r="AP30" s="887">
        <f>_xlfn.SUMIFS(Сценарии!AK$27:AK$109,Сценарии!$F$27:$F$109,$F30,Сценарии!$G$27:$G$109,$G30)</f>
        <v>0</v>
      </c>
      <c r="AQ30" s="887">
        <f>_xlfn.SUMIFS(Сценарии!AL$27:AL$109,Сценарии!$F$27:$F$109,$F30,Сценарии!$G$27:$G$109,$G30)</f>
        <v>0</v>
      </c>
      <c r="AR30" s="887">
        <f>_xlfn.SUMIFS(Сценарии!AM$27:AM$109,Сценарии!$F$27:$F$109,$F30,Сценарии!$G$27:$G$109,$G30)</f>
        <v>0</v>
      </c>
      <c r="AS30" s="887">
        <f>_xlfn.SUMIFS(Сценарии!AN$27:AN$109,Сценарии!$F$27:$F$109,$F30,Сценарии!$G$27:$G$109,$G30)</f>
        <v>0</v>
      </c>
      <c r="AT30" s="887">
        <f>_xlfn.SUMIFS(Сценарии!AO$27:AO$109,Сценарии!$F$27:$F$109,$F30,Сценарии!$G$27:$G$109,$G30)</f>
        <v>0</v>
      </c>
      <c r="AU30" s="887">
        <f>_xlfn.SUMIFS(Сценарии!AP$27:AP$109,Сценарии!$F$27:$F$109,$F30,Сценарии!$G$27:$G$109,$G30)</f>
        <v>0</v>
      </c>
      <c r="AV30" s="887">
        <f>_xlfn.SUMIFS(Сценарии!AQ$27:AQ$109,Сценарии!$F$27:$F$109,$F30,Сценарии!$G$27:$G$109,$G30)</f>
        <v>0</v>
      </c>
      <c r="AW30" s="887">
        <f>_xlfn.SUMIFS(Сценарии!AR$27:AR$109,Сценарии!$F$27:$F$109,$F30,Сценарии!$G$27:$G$109,$G30)</f>
        <v>0</v>
      </c>
      <c r="AX30" s="887">
        <f>_xlfn.SUMIFS(Сценарии!AS$27:AS$109,Сценарии!$F$27:$F$109,$F30,Сценарии!$G$27:$G$109,$G30)</f>
        <v>0</v>
      </c>
      <c r="AY30" s="887">
        <f>_xlfn.SUMIFS(Сценарии!AT$27:AT$109,Сценарии!$F$27:$F$109,$F30,Сценарии!$G$27:$G$109,$G30)</f>
        <v>0</v>
      </c>
      <c r="AZ30" s="887">
        <f>_xlfn.SUMIFS(Сценарии!AU$27:AU$109,Сценарии!$F$27:$F$109,$F30,Сценарии!$G$27:$G$109,$G30)</f>
        <v>0</v>
      </c>
      <c r="BA30" s="887">
        <f>_xlfn.SUMIFS(Сценарии!AV$27:AV$109,Сценарии!$F$27:$F$109,$F30,Сценарии!$G$27:$G$109,$G30)</f>
        <v>0</v>
      </c>
      <c r="BB30" s="887">
        <f>_xlfn.SUMIFS(Сценарии!AW$27:AW$109,Сценарии!$F$27:$F$109,$F30,Сценарии!$G$27:$G$109,$G30)</f>
        <v>0</v>
      </c>
      <c r="BC30" s="887">
        <f>_xlfn.SUMIFS(Сценарии!AX$27:AX$109,Сценарии!$F$27:$F$109,$F30,Сценарии!$G$27:$G$109,$G30)</f>
        <v>0</v>
      </c>
      <c r="BD30" s="1133"/>
      <c r="BE30" s="1133"/>
      <c r="BF30" s="1133"/>
      <c r="BG30" s="1133"/>
      <c r="BH30" s="1133"/>
      <c r="BI30" s="1133"/>
      <c r="BJ30" s="1133"/>
      <c r="BK30" s="1133"/>
      <c r="BL30" s="1133"/>
      <c r="BM30" s="1133"/>
      <c r="BN30" s="73"/>
      <c r="BO30" s="73"/>
      <c r="BP30" s="73"/>
      <c r="BS30" s="1230" t="s">
        <v>1336</v>
      </c>
    </row>
    <row customHeight="1" ht="29.25" hidden="1">
      <c r="E31" s="794">
        <v>30</v>
      </c>
      <c r="F31" s="919" cm="1" t="str">
        <f t="array" ref="F31:F31">OFFSET(G31,-1,-1)</f>
        <v>0</v>
      </c>
      <c r="G31" s="190" t="s">
        <v>436</v>
      </c>
      <c r="T31" s="805" cm="1" t="str">
        <f t="array" ref="T31:T31">T30</f>
        <v>false</v>
      </c>
      <c r="AB31" s="157" t="s">
        <v>710</v>
      </c>
      <c r="AC31" s="162" t="s">
        <v>1337</v>
      </c>
      <c r="AD31" s="157" t="s">
        <v>1338</v>
      </c>
      <c r="AE31" s="613"/>
      <c r="AF31" s="611"/>
      <c r="AG31" s="611"/>
      <c r="AH31" s="611"/>
      <c r="AI31" s="118">
        <f>_xlfn.SUMIFS('Расчет УЕ'!AE$26:AE$88,'Расчет УЕ'!$F$26:$F$88,$F31,'Расчет УЕ'!$G$26:$G$88,$G31)</f>
        <v>0</v>
      </c>
      <c r="AJ31" s="1076">
        <f>_xlfn.SUMIFS('Расчет УЕ'!AF$26:AF$88,'Расчет УЕ'!$F$26:$F$88,$F31,'Расчет УЕ'!$G$26:$G$88,$G31)</f>
        <v>0</v>
      </c>
      <c r="AK31" s="1076">
        <f>_xlfn.SUMIFS('Расчет УЕ'!AG$26:AG$88,'Расчет УЕ'!$F$26:$F$88,$F31,'Расчет УЕ'!$G$26:$G$88,$G31)</f>
        <v>0</v>
      </c>
      <c r="AL31" s="887">
        <f>_xlfn.SUMIFS('Расчет УЕ'!AH$26:AH$88,'Расчет УЕ'!$F$26:$F$88,$F31,'Расчет УЕ'!$G$26:$G$88,$G31)</f>
        <v>0</v>
      </c>
      <c r="AM31" s="887">
        <f>_xlfn.SUMIFS('Расчет УЕ'!AI$26:AI$88,'Расчет УЕ'!$F$26:$F$88,$F31,'Расчет УЕ'!$G$26:$G$88,$G31)</f>
        <v>0</v>
      </c>
      <c r="AN31" s="887">
        <f>_xlfn.SUMIFS('Расчет УЕ'!AJ$26:AJ$88,'Расчет УЕ'!$F$26:$F$88,$F31,'Расчет УЕ'!$G$26:$G$88,$G31)</f>
        <v>0</v>
      </c>
      <c r="AO31" s="887">
        <f>_xlfn.SUMIFS('Расчет УЕ'!AK$26:AK$88,'Расчет УЕ'!$F$26:$F$88,$F31,'Расчет УЕ'!$G$26:$G$88,$G31)</f>
        <v>0</v>
      </c>
      <c r="AP31" s="887">
        <f>_xlfn.SUMIFS('Расчет УЕ'!AL$26:AL$88,'Расчет УЕ'!$F$26:$F$88,$F31,'Расчет УЕ'!$G$26:$G$88,$G31)</f>
        <v>0</v>
      </c>
      <c r="AQ31" s="887">
        <f>_xlfn.SUMIFS('Расчет УЕ'!AM$26:AM$88,'Расчет УЕ'!$F$26:$F$88,$F31,'Расчет УЕ'!$G$26:$G$88,$G31)</f>
        <v>0</v>
      </c>
      <c r="AR31" s="887">
        <f>_xlfn.SUMIFS('Расчет УЕ'!AN$26:AN$88,'Расчет УЕ'!$F$26:$F$88,$F31,'Расчет УЕ'!$G$26:$G$88,$G31)</f>
        <v>0</v>
      </c>
      <c r="AS31" s="887">
        <f>_xlfn.SUMIFS('Расчет УЕ'!AO$26:AO$88,'Расчет УЕ'!$F$26:$F$88,$F31,'Расчет УЕ'!$G$26:$G$88,$G31)</f>
        <v>0</v>
      </c>
      <c r="AT31" s="887">
        <f>_xlfn.SUMIFS('Расчет УЕ'!AP$26:AP$88,'Расчет УЕ'!$F$26:$F$88,$F31,'Расчет УЕ'!$G$26:$G$88,$G31)</f>
        <v>0</v>
      </c>
      <c r="AU31" s="887">
        <f>_xlfn.SUMIFS('Расчет УЕ'!AQ$26:AQ$88,'Расчет УЕ'!$F$26:$F$88,$F31,'Расчет УЕ'!$G$26:$G$88,$G31)</f>
        <v>0</v>
      </c>
      <c r="AV31" s="887">
        <f>_xlfn.SUMIFS('Расчет УЕ'!AR$26:AR$88,'Расчет УЕ'!$F$26:$F$88,$F31,'Расчет УЕ'!$G$26:$G$88,$G31)</f>
        <v>0</v>
      </c>
      <c r="AW31" s="887">
        <f>_xlfn.SUMIFS('Расчет УЕ'!AS$26:AS$88,'Расчет УЕ'!$F$26:$F$88,$F31,'Расчет УЕ'!$G$26:$G$88,$G31)</f>
        <v>0</v>
      </c>
      <c r="AX31" s="887">
        <f>_xlfn.SUMIFS('Расчет УЕ'!AT$26:AT$88,'Расчет УЕ'!$F$26:$F$88,$F31,'Расчет УЕ'!$G$26:$G$88,$G31)</f>
        <v>0</v>
      </c>
      <c r="AY31" s="887">
        <f>_xlfn.SUMIFS('Расчет УЕ'!AU$26:AU$88,'Расчет УЕ'!$F$26:$F$88,$F31,'Расчет УЕ'!$G$26:$G$88,$G31)</f>
        <v>0</v>
      </c>
      <c r="AZ31" s="887">
        <f>_xlfn.SUMIFS('Расчет УЕ'!AV$26:AV$88,'Расчет УЕ'!$F$26:$F$88,$F31,'Расчет УЕ'!$G$26:$G$88,$G31)</f>
        <v>0</v>
      </c>
      <c r="BA31" s="887">
        <f>_xlfn.SUMIFS('Расчет УЕ'!AW$26:AW$88,'Расчет УЕ'!$F$26:$F$88,$F31,'Расчет УЕ'!$G$26:$G$88,$G31)</f>
        <v>0</v>
      </c>
      <c r="BB31" s="887">
        <f>_xlfn.SUMIFS('Расчет УЕ'!AX$26:AX$88,'Расчет УЕ'!$F$26:$F$88,$F31,'Расчет УЕ'!$G$26:$G$88,$G31)</f>
        <v>0</v>
      </c>
      <c r="BC31" s="887">
        <f>_xlfn.SUMIFS('Расчет УЕ'!AY$26:AY$88,'Расчет УЕ'!$F$26:$F$88,$F31,'Расчет УЕ'!$G$26:$G$88,$G31)</f>
        <v>0</v>
      </c>
      <c r="BD31" s="1133"/>
      <c r="BE31" s="1133"/>
      <c r="BF31" s="1133"/>
      <c r="BG31" s="1133"/>
      <c r="BH31" s="1133"/>
      <c r="BI31" s="1133"/>
      <c r="BJ31" s="1133"/>
      <c r="BK31" s="1133"/>
      <c r="BL31" s="1133"/>
      <c r="BM31" s="1133"/>
      <c r="BN31" s="73"/>
      <c r="BO31" s="73"/>
      <c r="BP31" s="73"/>
      <c r="BS31" s="1230" t="s">
        <v>1339</v>
      </c>
    </row>
    <row customHeight="1" ht="16.672500000000003" hidden="1">
      <c r="E32" s="794">
        <v>17.1</v>
      </c>
      <c r="F32" s="919" cm="1" t="str">
        <f t="array" ref="F32:F32">OFFSET(G32,-1,-1)</f>
        <v>0</v>
      </c>
      <c r="G32" s="190" t="s">
        <v>441</v>
      </c>
      <c r="T32" s="805" cm="1" t="str">
        <f t="array" ref="T32:T32">T31</f>
        <v>false</v>
      </c>
      <c r="AB32" s="157" t="s">
        <v>713</v>
      </c>
      <c r="AC32" s="162" t="s">
        <v>1340</v>
      </c>
      <c r="AD32" s="157" t="s">
        <v>690</v>
      </c>
      <c r="AE32" s="613"/>
      <c r="AF32" s="611"/>
      <c r="AG32" s="611"/>
      <c r="AH32" s="1073"/>
      <c r="AI32" s="1133"/>
      <c r="AJ32" s="887">
        <f>_xlfn.SUMIFS('Расчет УЕ'!AF$26:AF$88,'Расчет УЕ'!$F$26:$F$88,$F32,'Расчет УЕ'!$G$26:$G$88,$G32)</f>
        <v>0</v>
      </c>
      <c r="AK32" s="887">
        <f>_xlfn.SUMIFS('Расчет УЕ'!AG$26:AG$88,'Расчет УЕ'!$F$26:$F$88,$F32,'Расчет УЕ'!$G$26:$G$88,$G32)</f>
        <v>0</v>
      </c>
      <c r="AL32" s="1075">
        <f>_xlfn.SUMIFS('Расчет УЕ'!AH$26:AH$88,'Расчет УЕ'!$F$26:$F$88,$F32,'Расчет УЕ'!$G$26:$G$88,$G32)</f>
        <v>0</v>
      </c>
      <c r="AM32" s="887">
        <f>_xlfn.SUMIFS('Расчет УЕ'!AI$26:AI$88,'Расчет УЕ'!$F$26:$F$88,$F32,'Расчет УЕ'!$G$26:$G$88,$G32)</f>
        <v>0</v>
      </c>
      <c r="AN32" s="887">
        <f>_xlfn.SUMIFS('Расчет УЕ'!AJ$26:AJ$88,'Расчет УЕ'!$F$26:$F$88,$F32,'Расчет УЕ'!$G$26:$G$88,$G32)</f>
        <v>0</v>
      </c>
      <c r="AO32" s="887">
        <f>_xlfn.SUMIFS('Расчет УЕ'!AK$26:AK$88,'Расчет УЕ'!$F$26:$F$88,$F32,'Расчет УЕ'!$G$26:$G$88,$G32)</f>
        <v>0</v>
      </c>
      <c r="AP32" s="887">
        <f>_xlfn.SUMIFS('Расчет УЕ'!AL$26:AL$88,'Расчет УЕ'!$F$26:$F$88,$F32,'Расчет УЕ'!$G$26:$G$88,$G32)</f>
        <v>0</v>
      </c>
      <c r="AQ32" s="887">
        <f>_xlfn.SUMIFS('Расчет УЕ'!AM$26:AM$88,'Расчет УЕ'!$F$26:$F$88,$F32,'Расчет УЕ'!$G$26:$G$88,$G32)</f>
        <v>0</v>
      </c>
      <c r="AR32" s="887">
        <f>_xlfn.SUMIFS('Расчет УЕ'!AN$26:AN$88,'Расчет УЕ'!$F$26:$F$88,$F32,'Расчет УЕ'!$G$26:$G$88,$G32)</f>
        <v>0</v>
      </c>
      <c r="AS32" s="887">
        <f>_xlfn.SUMIFS('Расчет УЕ'!AO$26:AO$88,'Расчет УЕ'!$F$26:$F$88,$F32,'Расчет УЕ'!$G$26:$G$88,$G32)</f>
        <v>0</v>
      </c>
      <c r="AT32" s="887">
        <f>_xlfn.SUMIFS('Расчет УЕ'!AP$26:AP$88,'Расчет УЕ'!$F$26:$F$88,$F32,'Расчет УЕ'!$G$26:$G$88,$G32)</f>
        <v>0</v>
      </c>
      <c r="AU32" s="887">
        <f>_xlfn.SUMIFS('Расчет УЕ'!AQ$26:AQ$88,'Расчет УЕ'!$F$26:$F$88,$F32,'Расчет УЕ'!$G$26:$G$88,$G32)</f>
        <v>0</v>
      </c>
      <c r="AV32" s="887">
        <f>_xlfn.SUMIFS('Расчет УЕ'!AR$26:AR$88,'Расчет УЕ'!$F$26:$F$88,$F32,'Расчет УЕ'!$G$26:$G$88,$G32)</f>
        <v>0</v>
      </c>
      <c r="AW32" s="887">
        <f>_xlfn.SUMIFS('Расчет УЕ'!AS$26:AS$88,'Расчет УЕ'!$F$26:$F$88,$F32,'Расчет УЕ'!$G$26:$G$88,$G32)</f>
        <v>0</v>
      </c>
      <c r="AX32" s="887">
        <f>_xlfn.SUMIFS('Расчет УЕ'!AT$26:AT$88,'Расчет УЕ'!$F$26:$F$88,$F32,'Расчет УЕ'!$G$26:$G$88,$G32)</f>
        <v>0</v>
      </c>
      <c r="AY32" s="887">
        <f>_xlfn.SUMIFS('Расчет УЕ'!AU$26:AU$88,'Расчет УЕ'!$F$26:$F$88,$F32,'Расчет УЕ'!$G$26:$G$88,$G32)</f>
        <v>0</v>
      </c>
      <c r="AZ32" s="887">
        <f>_xlfn.SUMIFS('Расчет УЕ'!AV$26:AV$88,'Расчет УЕ'!$F$26:$F$88,$F32,'Расчет УЕ'!$G$26:$G$88,$G32)</f>
        <v>0</v>
      </c>
      <c r="BA32" s="887">
        <f>_xlfn.SUMIFS('Расчет УЕ'!AW$26:AW$88,'Расчет УЕ'!$F$26:$F$88,$F32,'Расчет УЕ'!$G$26:$G$88,$G32)</f>
        <v>0</v>
      </c>
      <c r="BB32" s="887">
        <f>_xlfn.SUMIFS('Расчет УЕ'!AX$26:AX$88,'Расчет УЕ'!$F$26:$F$88,$F32,'Расчет УЕ'!$G$26:$G$88,$G32)</f>
        <v>0</v>
      </c>
      <c r="BC32" s="887">
        <f>_xlfn.SUMIFS('Расчет УЕ'!AY$26:AY$88,'Расчет УЕ'!$F$26:$F$88,$F32,'Расчет УЕ'!$G$26:$G$88,$G32)</f>
        <v>0</v>
      </c>
      <c r="BD32" s="1133"/>
      <c r="BE32" s="1133"/>
      <c r="BF32" s="1133"/>
      <c r="BG32" s="1133"/>
      <c r="BH32" s="1133"/>
      <c r="BI32" s="1133"/>
      <c r="BJ32" s="1133"/>
      <c r="BK32" s="1133"/>
      <c r="BL32" s="1133"/>
      <c r="BM32" s="1133"/>
      <c r="BN32" s="73"/>
      <c r="BO32" s="73"/>
      <c r="BP32" s="73"/>
      <c r="BS32" s="1230" t="s">
        <v>1341</v>
      </c>
    </row>
    <row customHeight="1" ht="16.672500000000003" hidden="1">
      <c r="E33" s="794">
        <v>17.1</v>
      </c>
      <c r="F33" s="919" cm="1" t="str">
        <f t="array" ref="F33:F33">OFFSET(G33,-1,-1)</f>
        <v>0</v>
      </c>
      <c r="G33" s="736" t="s">
        <v>549</v>
      </c>
      <c r="T33" s="805" cm="1" t="str">
        <f t="array" ref="T33:T33">T32</f>
        <v>false</v>
      </c>
      <c r="AB33" s="157" t="s">
        <v>624</v>
      </c>
      <c r="AC33" s="165" t="s">
        <v>1342</v>
      </c>
      <c r="AD33" s="157"/>
      <c r="AE33" s="735"/>
      <c r="AF33" s="636"/>
      <c r="AG33" s="636"/>
      <c r="AH33" s="637"/>
      <c r="AI33" s="1133"/>
      <c r="AJ33" s="887">
        <f>_xlfn.SUMIFS(Сценарии!AE$27:AE$109,Сценарии!$F$27:$F$109,$F33,Сценарии!$G$27:$G$109,$G33)</f>
        <v>0.75</v>
      </c>
      <c r="AK33" s="887">
        <f>_xlfn.SUMIFS(Сценарии!AF$27:AF$109,Сценарии!$F$27:$F$109,$F33,Сценарии!$G$27:$G$109,$G33)</f>
        <v>0.75</v>
      </c>
      <c r="AL33" s="887">
        <f>_xlfn.SUMIFS(Сценарии!AG$27:AG$109,Сценарии!$F$27:$F$109,$F33,Сценарии!$G$27:$G$109,$G33)</f>
        <v>0.75</v>
      </c>
      <c r="AM33" s="887">
        <f>_xlfn.SUMIFS(Сценарии!AH$27:AH$109,Сценарии!$F$27:$F$109,$F33,Сценарии!$G$27:$G$109,$G33)</f>
        <v>0.75</v>
      </c>
      <c r="AN33" s="887">
        <f>_xlfn.SUMIFS(Сценарии!AI$27:AI$109,Сценарии!$F$27:$F$109,$F33,Сценарии!$G$27:$G$109,$G33)</f>
        <v>0.75</v>
      </c>
      <c r="AO33" s="887">
        <f>_xlfn.SUMIFS(Сценарии!AJ$27:AJ$109,Сценарии!$F$27:$F$109,$F33,Сценарии!$G$27:$G$109,$G33)</f>
        <v>0.75</v>
      </c>
      <c r="AP33" s="887">
        <f>_xlfn.SUMIFS(Сценарии!AK$27:AK$109,Сценарии!$F$27:$F$109,$F33,Сценарии!$G$27:$G$109,$G33)</f>
        <v>0.75</v>
      </c>
      <c r="AQ33" s="887">
        <f>_xlfn.SUMIFS(Сценарии!AL$27:AL$109,Сценарии!$F$27:$F$109,$F33,Сценарии!$G$27:$G$109,$G33)</f>
        <v>0.75</v>
      </c>
      <c r="AR33" s="887">
        <f>_xlfn.SUMIFS(Сценарии!AM$27:AM$109,Сценарии!$F$27:$F$109,$F33,Сценарии!$G$27:$G$109,$G33)</f>
        <v>0.75</v>
      </c>
      <c r="AS33" s="887">
        <f>_xlfn.SUMIFS(Сценарии!AN$27:AN$109,Сценарии!$F$27:$F$109,$F33,Сценарии!$G$27:$G$109,$G33)</f>
        <v>0.75</v>
      </c>
      <c r="AT33" s="887">
        <f>_xlfn.SUMIFS(Сценарии!AO$27:AO$109,Сценарии!$F$27:$F$109,$F33,Сценарии!$G$27:$G$109,$G33)</f>
        <v>0.75</v>
      </c>
      <c r="AU33" s="887">
        <f>_xlfn.SUMIFS(Сценарии!AP$27:AP$109,Сценарии!$F$27:$F$109,$F33,Сценарии!$G$27:$G$109,$G33)</f>
        <v>0.75</v>
      </c>
      <c r="AV33" s="887">
        <f>_xlfn.SUMIFS(Сценарии!AQ$27:AQ$109,Сценарии!$F$27:$F$109,$F33,Сценарии!$G$27:$G$109,$G33)</f>
        <v>0.75</v>
      </c>
      <c r="AW33" s="887">
        <f>_xlfn.SUMIFS(Сценарии!AR$27:AR$109,Сценарии!$F$27:$F$109,$F33,Сценарии!$G$27:$G$109,$G33)</f>
        <v>0.75</v>
      </c>
      <c r="AX33" s="887">
        <f>_xlfn.SUMIFS(Сценарии!AS$27:AS$109,Сценарии!$F$27:$F$109,$F33,Сценарии!$G$27:$G$109,$G33)</f>
        <v>0.75</v>
      </c>
      <c r="AY33" s="887">
        <f>_xlfn.SUMIFS(Сценарии!AT$27:AT$109,Сценарии!$F$27:$F$109,$F33,Сценарии!$G$27:$G$109,$G33)</f>
        <v>0.75</v>
      </c>
      <c r="AZ33" s="887">
        <f>_xlfn.SUMIFS(Сценарии!AU$27:AU$109,Сценарии!$F$27:$F$109,$F33,Сценарии!$G$27:$G$109,$G33)</f>
        <v>0.75</v>
      </c>
      <c r="BA33" s="887">
        <f>_xlfn.SUMIFS(Сценарии!AV$27:AV$109,Сценарии!$F$27:$F$109,$F33,Сценарии!$G$27:$G$109,$G33)</f>
        <v>0.75</v>
      </c>
      <c r="BB33" s="887">
        <f>_xlfn.SUMIFS(Сценарии!AW$27:AW$109,Сценарии!$F$27:$F$109,$F33,Сценарии!$G$27:$G$109,$G33)</f>
        <v>0.75</v>
      </c>
      <c r="BC33" s="887">
        <f>_xlfn.SUMIFS(Сценарии!AX$27:AX$109,Сценарии!$F$27:$F$109,$F33,Сценарии!$G$27:$G$109,$G33)</f>
        <v>0.75</v>
      </c>
      <c r="BD33" s="1134"/>
      <c r="BE33" s="1134"/>
      <c r="BF33" s="1134"/>
      <c r="BG33" s="1134"/>
      <c r="BH33" s="1134"/>
      <c r="BI33" s="1133"/>
      <c r="BJ33" s="1133"/>
      <c r="BK33" s="1133"/>
      <c r="BL33" s="1133"/>
      <c r="BM33" s="1133"/>
      <c r="BN33" s="73"/>
      <c r="BO33" s="73"/>
      <c r="BP33" s="73"/>
      <c r="BS33" s="1230" t="s">
        <v>1343</v>
      </c>
    </row>
    <row customHeight="1" ht="16.672500000000003" hidden="1">
      <c r="E34" s="794">
        <v>17.1</v>
      </c>
      <c r="F34" s="919" cm="1" t="str">
        <f t="array" ref="F34:F34">OFFSET(G34,-1,-1)</f>
        <v>0</v>
      </c>
      <c r="G34" s="736" t="s">
        <v>1292</v>
      </c>
      <c r="K34" s="227" t="str">
        <f>F34&amp;"komm"</f>
        <v>0komm</v>
      </c>
      <c r="L34" s="226" cm="1" t="str">
        <f t="array" ref="L34:L34">BO34</f>
        <v>0</v>
      </c>
      <c r="T34" s="805" cm="1" t="str">
        <f t="array" ref="T34:T34">T33</f>
        <v>false</v>
      </c>
      <c r="AB34" s="634" t="s">
        <v>629</v>
      </c>
      <c r="AC34" s="740" t="s">
        <v>1344</v>
      </c>
      <c r="AD34" s="672" t="s">
        <v>805</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(5.1)'!AI$26:AI$99,'Операционные (5.1)'!$F$26:$F$99,$F34,'Операционные (5.1)'!$G$26:$G$99,$G34)</f>
        <v>0</v>
      </c>
      <c r="AJ34" s="741">
        <f>IF(god=first_year,_xlfn.SUMIFS('Операционные (5.1)'!AJ$26:AJ$99,'Операционные (5.1)'!$F$26:$F$99,$F34,'Операционные (5.1)'!$G$26:$G$99,$G34),AI34*AJ35)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(5.1)'!AK$26:AK$99,'Операционные (5.1)'!$F$26:$F$99,$F34,'Операционные (5.1)'!$G$26:$G$99,$G34),AI34*AT35)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3"/>
      <c r="BO34" s="73"/>
      <c r="BP34" s="73"/>
      <c r="BS34" s="1230" t="s">
        <v>1345</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751</v>
      </c>
      <c r="AC35" s="1055" t="s">
        <v>1346</v>
      </c>
      <c r="AD35" s="734"/>
      <c r="AE35" s="119"/>
      <c r="AF35" s="119"/>
      <c r="AG35" s="119"/>
      <c r="AH35" s="1074"/>
      <c r="AI35" s="1139"/>
      <c r="AJ35" s="1138">
        <f>(1+AJ28%)*(1-AJ29%)*(1+AJ30*AJ33)</f>
        <v>0.99</v>
      </c>
      <c r="AK35" s="1138">
        <f>(1+AK28%)*(1-AK29%)*(1+AK30*AK33)</f>
        <v>0.99</v>
      </c>
      <c r="AL35" s="1138">
        <f>(1+AL28%)*(1-AL29%)*(1+AL30*AL33)</f>
        <v>0.99</v>
      </c>
      <c r="AM35" s="1138">
        <f>(1+AM28%)*(1-AM29%)*(1+AM30*AM33)</f>
        <v>0.99</v>
      </c>
      <c r="AN35" s="1138">
        <f>(1+AN28%)*(1-AN29%)*(1+AN30*AN33)</f>
        <v>0.99</v>
      </c>
      <c r="AO35" s="120">
        <f>(1+AO28%)*(1-AO29%)*(1+AO30*AO33)</f>
        <v>0.99</v>
      </c>
      <c r="AP35" s="120">
        <f>(1+AP28%)*(1-AP29%)*(1+AP30*AP33)</f>
        <v>0.99</v>
      </c>
      <c r="AQ35" s="120">
        <f>(1+AQ28%)*(1-AQ29%)*(1+AQ30*AQ33)</f>
        <v>0.99</v>
      </c>
      <c r="AR35" s="120">
        <f>(1+AR28%)*(1-AR29%)*(1+AR30*AR33)</f>
        <v>0.99</v>
      </c>
      <c r="AS35" s="120">
        <f>(1+AS28%)*(1-AS29%)*(1+AS30*AS33)</f>
        <v>0.99</v>
      </c>
      <c r="AT35" s="1138">
        <f>(1+AT28%)*(1-AT29%)*(1+AT30*AT33)</f>
        <v>0.99</v>
      </c>
      <c r="AU35" s="1138">
        <f>(1+AU28%)*(1-AU29%)*(1+AU30*AU33)</f>
        <v>0.99</v>
      </c>
      <c r="AV35" s="1138">
        <f>(1+AV28%)*(1-AV29%)*(1+AV30*AV33)</f>
        <v>0.99</v>
      </c>
      <c r="AW35" s="1138">
        <f>(1+AW28%)*(1-AW29%)*(1+AW30*AW33)</f>
        <v>0.99</v>
      </c>
      <c r="AX35" s="1138">
        <f>(1+AX28%)*(1-AX29%)*(1+AX30*AX33)</f>
        <v>0.99</v>
      </c>
      <c r="AY35" s="120">
        <f>(1+AY28%)*(1-AY29%)*(1+AY30*AY33)</f>
        <v>0.99</v>
      </c>
      <c r="AZ35" s="120">
        <f>(1+AZ28%)*(1-AZ29%)*(1+AZ30*AZ33)</f>
        <v>0.99</v>
      </c>
      <c r="BA35" s="120">
        <f>(1+BA28%)*(1-BA29%)*(1+BA30*BA33)</f>
        <v>0.99</v>
      </c>
      <c r="BB35" s="120">
        <f>(1+BB28%)*(1-BB29%)*(1+BB30*BB33)</f>
        <v>0.99</v>
      </c>
      <c r="BC35" s="120">
        <f>(1+BC28%)*(1-BC29%)*(1+BC30*BC33)</f>
        <v>0.99</v>
      </c>
      <c r="BD35" s="1139"/>
      <c r="BE35" s="1139"/>
      <c r="BF35" s="1139"/>
      <c r="BG35" s="1139"/>
      <c r="BH35" s="1139"/>
      <c r="BI35" s="1139"/>
      <c r="BJ35" s="1139"/>
      <c r="BK35" s="1139"/>
      <c r="BL35" s="1139"/>
      <c r="BM35" s="1139"/>
      <c r="BN35" s="73"/>
      <c r="BO35" s="73"/>
      <c r="BP35" s="73"/>
      <c r="BS35" s="1230" t="s">
        <v>1347</v>
      </c>
    </row>
    <row s="1888" customFormat="1" customHeight="1" ht="16.5">
      <c r="A36" s="217"/>
      <c r="B36" s="217"/>
      <c r="C36" s="217"/>
      <c r="D36" s="217"/>
      <c r="E36" s="794">
        <v>17.1</v>
      </c>
      <c r="F36" s="919" cm="1" t="str">
        <f t="array" ref="F36:F36">X36</f>
        <v>1</v>
      </c>
      <c r="G36" s="736" cm="1" t="str">
        <f t="array" ref="G36:G36">INDEX('Общие сведения'!$AK$169:$AK$218,MATCH($F36,'Общие сведения'!$Z$169:$Z$218,0))</f>
        <v>одноставочный</v>
      </c>
      <c r="H36" s="217"/>
      <c r="I36" s="210" cm="1" t="str">
        <f t="array" ref="I36:I36">INDEX('Общие сведения'!$AE$169:$AE$218,MATCH($F36,'Общие сведения'!$Z$169:$Z$218,0))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W36" s="217"/>
      <c r="X36" s="172" t="s">
        <v>335</v>
      </c>
      <c r="Y36" s="217"/>
      <c r="Z36" s="217"/>
      <c r="AA36" s="217"/>
      <c r="AB36" s="327" cm="1" t="str">
        <f t="array" ref="AB36:AB36">IF(ISBLANK('Операционные (5.1)'!$AB$51),"",'Операционные (5.1)'!$AB$51)</f>
        <v>Тариф 1 (Теплоснабжение) - Тариф на тепловую энергию (мощность), поставляемую потребителям (Тариф: Носитель - горячая вода (Т); Носитель - горячая вода (Т))</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19" customFormat="1" customHeight="1" ht="16.5">
      <c r="A37" s="225"/>
      <c r="B37" s="924"/>
      <c r="C37" s="225"/>
      <c r="D37" s="225"/>
      <c r="E37" s="794">
        <v>17.1</v>
      </c>
      <c r="F37" s="919" cm="1" t="str">
        <f t="array" ref="F37:F37">OFFSET(G37,-1,-1)</f>
        <v>1</v>
      </c>
      <c r="G37" s="190" t="s">
        <v>502</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335</v>
      </c>
      <c r="AC37" s="739" t="s">
        <v>1331</v>
      </c>
      <c r="AD37" s="157" t="s">
        <v>490</v>
      </c>
      <c r="AE37" s="613"/>
      <c r="AF37" s="611"/>
      <c r="AG37" s="611"/>
      <c r="AH37" s="611"/>
      <c r="AI37" s="1889"/>
      <c r="AJ37" s="887">
        <f>_xlfn.SUMIFS(Сценарии!AE$27:AE$109,Сценарии!$F$27:$F$109,$F37,Сценарии!$G$27:$G$109,$G37)</f>
        <v>5.1</v>
      </c>
      <c r="AK37" s="887">
        <f>_xlfn.SUMIFS(Сценарии!AF$27:AF$109,Сценарии!$F$27:$F$109,$F37,Сценарии!$G$27:$G$109,$G37)</f>
        <v>4</v>
      </c>
      <c r="AL37" s="887">
        <f>_xlfn.SUMIFS(Сценарии!AG$27:AG$109,Сценарии!$F$27:$F$109,$F37,Сценарии!$G$27:$G$109,$G37)</f>
        <v>4</v>
      </c>
      <c r="AM37" s="887">
        <f>_xlfn.SUMIFS(Сценарии!AH$27:AH$109,Сценарии!$F$27:$F$109,$F37,Сценарии!$G$27:$G$109,$G37)</f>
        <v>4</v>
      </c>
      <c r="AN37" s="887">
        <f>_xlfn.SUMIFS(Сценарии!AI$27:AI$109,Сценарии!$F$27:$F$109,$F37,Сценарии!$G$27:$G$109,$G37)</f>
        <v>4</v>
      </c>
      <c r="AO37" s="887">
        <f>_xlfn.SUMIFS(Сценарии!AJ$27:AJ$109,Сценарии!$F$27:$F$109,$F37,Сценарии!$G$27:$G$109,$G37)</f>
        <v>0</v>
      </c>
      <c r="AP37" s="887">
        <f>_xlfn.SUMIFS(Сценарии!AK$27:AK$109,Сценарии!$F$27:$F$109,$F37,Сценарии!$G$27:$G$109,$G37)</f>
        <v>0</v>
      </c>
      <c r="AQ37" s="887">
        <f>_xlfn.SUMIFS(Сценарии!AL$27:AL$109,Сценарии!$F$27:$F$109,$F37,Сценарии!$G$27:$G$109,$G37)</f>
        <v>0</v>
      </c>
      <c r="AR37" s="887">
        <f>_xlfn.SUMIFS(Сценарии!AM$27:AM$109,Сценарии!$F$27:$F$109,$F37,Сценарии!$G$27:$G$109,$G37)</f>
        <v>0</v>
      </c>
      <c r="AS37" s="887">
        <f>_xlfn.SUMIFS(Сценарии!AN$27:AN$109,Сценарии!$F$27:$F$109,$F37,Сценарии!$G$27:$G$109,$G37)</f>
        <v>0</v>
      </c>
      <c r="AT37" s="887">
        <f>_xlfn.SUMIFS(Сценарии!AO$27:AO$109,Сценарии!$F$27:$F$109,$F37,Сценарии!$G$27:$G$109,$G37)</f>
        <v>5.1</v>
      </c>
      <c r="AU37" s="887">
        <f>_xlfn.SUMIFS(Сценарии!AP$27:AP$109,Сценарии!$F$27:$F$109,$F37,Сценарии!$G$27:$G$109,$G37)</f>
        <v>4</v>
      </c>
      <c r="AV37" s="887">
        <f>_xlfn.SUMIFS(Сценарии!AQ$27:AQ$109,Сценарии!$F$27:$F$109,$F37,Сценарии!$G$27:$G$109,$G37)</f>
        <v>4</v>
      </c>
      <c r="AW37" s="887">
        <f>_xlfn.SUMIFS(Сценарии!AR$27:AR$109,Сценарии!$F$27:$F$109,$F37,Сценарии!$G$27:$G$109,$G37)</f>
        <v>4</v>
      </c>
      <c r="AX37" s="887">
        <f>_xlfn.SUMIFS(Сценарии!AS$27:AS$109,Сценарии!$F$27:$F$109,$F37,Сценарии!$G$27:$G$109,$G37)</f>
        <v>4</v>
      </c>
      <c r="AY37" s="887">
        <f>_xlfn.SUMIFS(Сценарии!AT$27:AT$109,Сценарии!$F$27:$F$109,$F37,Сценарии!$G$27:$G$109,$G37)</f>
        <v>0</v>
      </c>
      <c r="AZ37" s="887">
        <f>_xlfn.SUMIFS(Сценарии!AU$27:AU$109,Сценарии!$F$27:$F$109,$F37,Сценарии!$G$27:$G$109,$G37)</f>
        <v>0</v>
      </c>
      <c r="BA37" s="887">
        <f>_xlfn.SUMIFS(Сценарии!AV$27:AV$109,Сценарии!$F$27:$F$109,$F37,Сценарии!$G$27:$G$109,$G37)</f>
        <v>0</v>
      </c>
      <c r="BB37" s="887">
        <f>_xlfn.SUMIFS(Сценарии!AW$27:AW$109,Сценарии!$F$27:$F$109,$F37,Сценарии!$G$27:$G$109,$G37)</f>
        <v>0</v>
      </c>
      <c r="BC37" s="887">
        <f>_xlfn.SUMIFS(Сценарии!AX$27:AX$109,Сценарии!$F$27:$F$109,$F37,Сценарии!$G$27:$G$109,$G37)</f>
        <v>0</v>
      </c>
      <c r="BD37" s="1133"/>
      <c r="BE37" s="1133"/>
      <c r="BF37" s="1133"/>
      <c r="BG37" s="1133"/>
      <c r="BH37" s="1133"/>
      <c r="BI37" s="1133"/>
      <c r="BJ37" s="1133"/>
      <c r="BK37" s="1133"/>
      <c r="BL37" s="1133"/>
      <c r="BM37" s="1133"/>
      <c r="BN37" s="1730"/>
      <c r="BO37" s="1730"/>
      <c r="BP37" s="1730"/>
      <c r="BQ37" s="227"/>
      <c r="BR37" s="227"/>
      <c r="BS37" s="1230" t="s">
        <v>1332</v>
      </c>
    </row>
    <row s="1890" customFormat="1" customHeight="1" ht="16.5">
      <c r="A38" s="230"/>
      <c r="B38" s="230"/>
      <c r="C38" s="230"/>
      <c r="D38" s="230"/>
      <c r="E38" s="794">
        <v>17.1</v>
      </c>
      <c r="F38" s="919" cm="1" t="str">
        <f t="array" ref="F38:F38">OFFSET(G38,-1,-1)</f>
        <v>1</v>
      </c>
      <c r="G38" s="929" t="s">
        <v>492</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343</v>
      </c>
      <c r="AC38" s="165" t="s">
        <v>1333</v>
      </c>
      <c r="AD38" s="157" t="s">
        <v>490</v>
      </c>
      <c r="AE38" s="613"/>
      <c r="AF38" s="611"/>
      <c r="AG38" s="611"/>
      <c r="AH38" s="611"/>
      <c r="AI38" s="1889"/>
      <c r="AJ38" s="887">
        <f>_xlfn.SUMIFS(Сценарии!AE$27:AE$109,Сценарии!$F$27:$F$109,$F38,Сценарии!$G$27:$G$109,$G38)</f>
        <v>1</v>
      </c>
      <c r="AK38" s="887">
        <f>_xlfn.SUMIFS(Сценарии!AF$27:AF$109,Сценарии!$F$27:$F$109,$F38,Сценарии!$G$27:$G$109,$G38)</f>
        <v>1</v>
      </c>
      <c r="AL38" s="887">
        <f>_xlfn.SUMIFS(Сценарии!AG$27:AG$109,Сценарии!$F$27:$F$109,$F38,Сценарии!$G$27:$G$109,$G38)</f>
        <v>1</v>
      </c>
      <c r="AM38" s="887">
        <f>_xlfn.SUMIFS(Сценарии!AH$27:AH$109,Сценарии!$F$27:$F$109,$F38,Сценарии!$G$27:$G$109,$G38)</f>
        <v>1</v>
      </c>
      <c r="AN38" s="887">
        <f>_xlfn.SUMIFS(Сценарии!AI$27:AI$109,Сценарии!$F$27:$F$109,$F38,Сценарии!$G$27:$G$109,$G38)</f>
        <v>1</v>
      </c>
      <c r="AO38" s="887">
        <f>_xlfn.SUMIFS(Сценарии!AJ$27:AJ$109,Сценарии!$F$27:$F$109,$F38,Сценарии!$G$27:$G$109,$G38)</f>
        <v>1</v>
      </c>
      <c r="AP38" s="887">
        <f>_xlfn.SUMIFS(Сценарии!AK$27:AK$109,Сценарии!$F$27:$F$109,$F38,Сценарии!$G$27:$G$109,$G38)</f>
        <v>1</v>
      </c>
      <c r="AQ38" s="887">
        <f>_xlfn.SUMIFS(Сценарии!AL$27:AL$109,Сценарии!$F$27:$F$109,$F38,Сценарии!$G$27:$G$109,$G38)</f>
        <v>1</v>
      </c>
      <c r="AR38" s="887">
        <f>_xlfn.SUMIFS(Сценарии!AM$27:AM$109,Сценарии!$F$27:$F$109,$F38,Сценарии!$G$27:$G$109,$G38)</f>
        <v>1</v>
      </c>
      <c r="AS38" s="887">
        <f>_xlfn.SUMIFS(Сценарии!AN$27:AN$109,Сценарии!$F$27:$F$109,$F38,Сценарии!$G$27:$G$109,$G38)</f>
        <v>1</v>
      </c>
      <c r="AT38" s="1132">
        <v>1</v>
      </c>
      <c r="AU38" s="1132">
        <v>1</v>
      </c>
      <c r="AV38" s="1132">
        <v>1</v>
      </c>
      <c r="AW38" s="1132">
        <v>1</v>
      </c>
      <c r="AX38" s="1132">
        <v>1</v>
      </c>
      <c r="AY38" s="1889">
        <v>1</v>
      </c>
      <c r="AZ38" s="1889">
        <v>1</v>
      </c>
      <c r="BA38" s="1889">
        <v>1</v>
      </c>
      <c r="BB38" s="1889">
        <v>1</v>
      </c>
      <c r="BC38" s="1889">
        <v>1</v>
      </c>
      <c r="BD38" s="1133"/>
      <c r="BE38" s="1133"/>
      <c r="BF38" s="1133"/>
      <c r="BG38" s="1133"/>
      <c r="BH38" s="1133"/>
      <c r="BI38" s="1133"/>
      <c r="BJ38" s="1133"/>
      <c r="BK38" s="1133"/>
      <c r="BL38" s="1133"/>
      <c r="BM38" s="1133"/>
      <c r="BN38" s="1730"/>
      <c r="BO38" s="1730"/>
      <c r="BP38" s="1730"/>
      <c r="BQ38" s="230"/>
      <c r="BR38" s="230"/>
      <c r="BS38" s="1230" t="s">
        <v>1334</v>
      </c>
    </row>
    <row s="1619" customFormat="1" customHeight="1" ht="16.5">
      <c r="A39" s="225"/>
      <c r="B39" s="924"/>
      <c r="C39" s="225"/>
      <c r="D39" s="225"/>
      <c r="E39" s="794">
        <v>17.1</v>
      </c>
      <c r="F39" s="919" cm="1" t="str">
        <f t="array" ref="F39:F39">OFFSET(G39,-1,-1)</f>
        <v>1</v>
      </c>
      <c r="G39" s="190" t="s">
        <v>545</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614</v>
      </c>
      <c r="AC39" s="165" t="s">
        <v>1335</v>
      </c>
      <c r="AD39" s="157"/>
      <c r="AE39" s="613"/>
      <c r="AF39" s="611"/>
      <c r="AG39" s="611"/>
      <c r="AH39" s="611"/>
      <c r="AI39" s="1889"/>
      <c r="AJ39" s="887">
        <f>_xlfn.SUMIFS(Сценарии!AE$27:AE$109,Сценарии!$F$27:$F$109,$F39,Сценарии!$G$27:$G$109,$G39)</f>
        <v>0</v>
      </c>
      <c r="AK39" s="887">
        <f>_xlfn.SUMIFS(Сценарии!AF$27:AF$109,Сценарии!$F$27:$F$109,$F39,Сценарии!$G$27:$G$109,$G39)</f>
        <v>0</v>
      </c>
      <c r="AL39" s="887">
        <f>_xlfn.SUMIFS(Сценарии!AG$27:AG$109,Сценарии!$F$27:$F$109,$F39,Сценарии!$G$27:$G$109,$G39)</f>
        <v>0</v>
      </c>
      <c r="AM39" s="887">
        <f>_xlfn.SUMIFS(Сценарии!AH$27:AH$109,Сценарии!$F$27:$F$109,$F39,Сценарии!$G$27:$G$109,$G39)</f>
        <v>0</v>
      </c>
      <c r="AN39" s="887">
        <f>_xlfn.SUMIFS(Сценарии!AI$27:AI$109,Сценарии!$F$27:$F$109,$F39,Сценарии!$G$27:$G$109,$G39)</f>
        <v>0</v>
      </c>
      <c r="AO39" s="887">
        <f>_xlfn.SUMIFS(Сценарии!AJ$27:AJ$109,Сценарии!$F$27:$F$109,$F39,Сценарии!$G$27:$G$109,$G39)</f>
        <v>0</v>
      </c>
      <c r="AP39" s="887">
        <f>_xlfn.SUMIFS(Сценарии!AK$27:AK$109,Сценарии!$F$27:$F$109,$F39,Сценарии!$G$27:$G$109,$G39)</f>
        <v>0</v>
      </c>
      <c r="AQ39" s="887">
        <f>_xlfn.SUMIFS(Сценарии!AL$27:AL$109,Сценарии!$F$27:$F$109,$F39,Сценарии!$G$27:$G$109,$G39)</f>
        <v>0</v>
      </c>
      <c r="AR39" s="887">
        <f>_xlfn.SUMIFS(Сценарии!AM$27:AM$109,Сценарии!$F$27:$F$109,$F39,Сценарии!$G$27:$G$109,$G39)</f>
        <v>0</v>
      </c>
      <c r="AS39" s="887">
        <f>_xlfn.SUMIFS(Сценарии!AN$27:AN$109,Сценарии!$F$27:$F$109,$F39,Сценарии!$G$27:$G$109,$G39)</f>
        <v>0</v>
      </c>
      <c r="AT39" s="887">
        <f>_xlfn.SUMIFS(Сценарии!AO$27:AO$109,Сценарии!$F$27:$F$109,$F39,Сценарии!$G$27:$G$109,$G39)</f>
        <v>0</v>
      </c>
      <c r="AU39" s="887">
        <f>_xlfn.SUMIFS(Сценарии!AP$27:AP$109,Сценарии!$F$27:$F$109,$F39,Сценарии!$G$27:$G$109,$G39)</f>
        <v>0</v>
      </c>
      <c r="AV39" s="887">
        <f>_xlfn.SUMIFS(Сценарии!AQ$27:AQ$109,Сценарии!$F$27:$F$109,$F39,Сценарии!$G$27:$G$109,$G39)</f>
        <v>0</v>
      </c>
      <c r="AW39" s="887">
        <f>_xlfn.SUMIFS(Сценарии!AR$27:AR$109,Сценарии!$F$27:$F$109,$F39,Сценарии!$G$27:$G$109,$G39)</f>
        <v>0</v>
      </c>
      <c r="AX39" s="887">
        <f>_xlfn.SUMIFS(Сценарии!AS$27:AS$109,Сценарии!$F$27:$F$109,$F39,Сценарии!$G$27:$G$109,$G39)</f>
        <v>0</v>
      </c>
      <c r="AY39" s="887">
        <f>_xlfn.SUMIFS(Сценарии!AT$27:AT$109,Сценарии!$F$27:$F$109,$F39,Сценарии!$G$27:$G$109,$G39)</f>
        <v>0</v>
      </c>
      <c r="AZ39" s="887">
        <f>_xlfn.SUMIFS(Сценарии!AU$27:AU$109,Сценарии!$F$27:$F$109,$F39,Сценарии!$G$27:$G$109,$G39)</f>
        <v>0</v>
      </c>
      <c r="BA39" s="887">
        <f>_xlfn.SUMIFS(Сценарии!AV$27:AV$109,Сценарии!$F$27:$F$109,$F39,Сценарии!$G$27:$G$109,$G39)</f>
        <v>0</v>
      </c>
      <c r="BB39" s="887">
        <f>_xlfn.SUMIFS(Сценарии!AW$27:AW$109,Сценарии!$F$27:$F$109,$F39,Сценарии!$G$27:$G$109,$G39)</f>
        <v>0</v>
      </c>
      <c r="BC39" s="887">
        <f>_xlfn.SUMIFS(Сценарии!AX$27:AX$109,Сценарии!$F$27:$F$109,$F39,Сценарии!$G$27:$G$109,$G39)</f>
        <v>0</v>
      </c>
      <c r="BD39" s="1133"/>
      <c r="BE39" s="1133"/>
      <c r="BF39" s="1133"/>
      <c r="BG39" s="1133"/>
      <c r="BH39" s="1133"/>
      <c r="BI39" s="1133"/>
      <c r="BJ39" s="1133"/>
      <c r="BK39" s="1133"/>
      <c r="BL39" s="1133"/>
      <c r="BM39" s="1133"/>
      <c r="BN39" s="1730"/>
      <c r="BO39" s="1730"/>
      <c r="BP39" s="1730"/>
      <c r="BQ39" s="227"/>
      <c r="BR39" s="227"/>
      <c r="BS39" s="1230" t="s">
        <v>1336</v>
      </c>
    </row>
    <row s="1619" customFormat="1" customHeight="1" ht="29.25">
      <c r="A40" s="225"/>
      <c r="B40" s="924"/>
      <c r="C40" s="225"/>
      <c r="D40" s="225"/>
      <c r="E40" s="794">
        <v>30</v>
      </c>
      <c r="F40" s="919" cm="1" t="str">
        <f t="array" ref="F40:F40">OFFSET(G40,-1,-1)</f>
        <v>1</v>
      </c>
      <c r="G40" s="190" t="s">
        <v>436</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710</v>
      </c>
      <c r="AC40" s="162" t="s">
        <v>1337</v>
      </c>
      <c r="AD40" s="157" t="s">
        <v>1338</v>
      </c>
      <c r="AE40" s="613"/>
      <c r="AF40" s="611"/>
      <c r="AG40" s="611"/>
      <c r="AH40" s="611"/>
      <c r="AI40" s="1892">
        <f>_xlfn.SUMIFS('Расчет УЕ'!AE$26:AE$88,'Расчет УЕ'!$F$26:$F$88,$F40,'Расчет УЕ'!$G$26:$G$88,$G40)</f>
        <v>7.13</v>
      </c>
      <c r="AJ40" s="1076">
        <f>_xlfn.SUMIFS('Расчет УЕ'!AF$26:AF$88,'Расчет УЕ'!$F$26:$F$88,$F40,'Расчет УЕ'!$G$26:$G$88,$G40)</f>
        <v>7.13</v>
      </c>
      <c r="AK40" s="1076">
        <f>_xlfn.SUMIFS('Расчет УЕ'!AG$26:AG$88,'Расчет УЕ'!$F$26:$F$88,$F40,'Расчет УЕ'!$G$26:$G$88,$G40)</f>
        <v>7.13</v>
      </c>
      <c r="AL40" s="887">
        <f>_xlfn.SUMIFS('Расчет УЕ'!AH$26:AH$88,'Расчет УЕ'!$F$26:$F$88,$F40,'Расчет УЕ'!$G$26:$G$88,$G40)</f>
        <v>7.13</v>
      </c>
      <c r="AM40" s="887">
        <f>_xlfn.SUMIFS('Расчет УЕ'!AI$26:AI$88,'Расчет УЕ'!$F$26:$F$88,$F40,'Расчет УЕ'!$G$26:$G$88,$G40)</f>
        <v>7.13</v>
      </c>
      <c r="AN40" s="887">
        <f>_xlfn.SUMIFS('Расчет УЕ'!AJ$26:AJ$88,'Расчет УЕ'!$F$26:$F$88,$F40,'Расчет УЕ'!$G$26:$G$88,$G40)</f>
        <v>7.13</v>
      </c>
      <c r="AO40" s="887">
        <f>_xlfn.SUMIFS('Расчет УЕ'!AK$26:AK$88,'Расчет УЕ'!$F$26:$F$88,$F40,'Расчет УЕ'!$G$26:$G$88,$G40)</f>
        <v>2.07</v>
      </c>
      <c r="AP40" s="887">
        <f>_xlfn.SUMIFS('Расчет УЕ'!AL$26:AL$88,'Расчет УЕ'!$F$26:$F$88,$F40,'Расчет УЕ'!$G$26:$G$88,$G40)</f>
        <v>2.07</v>
      </c>
      <c r="AQ40" s="887">
        <f>_xlfn.SUMIFS('Расчет УЕ'!AM$26:AM$88,'Расчет УЕ'!$F$26:$F$88,$F40,'Расчет УЕ'!$G$26:$G$88,$G40)</f>
        <v>2.07</v>
      </c>
      <c r="AR40" s="887">
        <f>_xlfn.SUMIFS('Расчет УЕ'!AN$26:AN$88,'Расчет УЕ'!$F$26:$F$88,$F40,'Расчет УЕ'!$G$26:$G$88,$G40)</f>
        <v>2.07</v>
      </c>
      <c r="AS40" s="887">
        <f>_xlfn.SUMIFS('Расчет УЕ'!AO$26:AO$88,'Расчет УЕ'!$F$26:$F$88,$F40,'Расчет УЕ'!$G$26:$G$88,$G40)</f>
        <v>2.07</v>
      </c>
      <c r="AT40" s="887">
        <f>_xlfn.SUMIFS('Расчет УЕ'!AP$26:AP$88,'Расчет УЕ'!$F$26:$F$88,$F40,'Расчет УЕ'!$G$26:$G$88,$G40)</f>
        <v>7.13</v>
      </c>
      <c r="AU40" s="887">
        <f>_xlfn.SUMIFS('Расчет УЕ'!AQ$26:AQ$88,'Расчет УЕ'!$F$26:$F$88,$F40,'Расчет УЕ'!$G$26:$G$88,$G40)</f>
        <v>7.13</v>
      </c>
      <c r="AV40" s="887">
        <f>_xlfn.SUMIFS('Расчет УЕ'!AR$26:AR$88,'Расчет УЕ'!$F$26:$F$88,$F40,'Расчет УЕ'!$G$26:$G$88,$G40)</f>
        <v>7.13</v>
      </c>
      <c r="AW40" s="887">
        <f>_xlfn.SUMIFS('Расчет УЕ'!AS$26:AS$88,'Расчет УЕ'!$F$26:$F$88,$F40,'Расчет УЕ'!$G$26:$G$88,$G40)</f>
        <v>7.13</v>
      </c>
      <c r="AX40" s="887">
        <f>_xlfn.SUMIFS('Расчет УЕ'!AT$26:AT$88,'Расчет УЕ'!$F$26:$F$88,$F40,'Расчет УЕ'!$G$26:$G$88,$G40)</f>
        <v>7.13</v>
      </c>
      <c r="AY40" s="887">
        <f>_xlfn.SUMIFS('Расчет УЕ'!AU$26:AU$88,'Расчет УЕ'!$F$26:$F$88,$F40,'Расчет УЕ'!$G$26:$G$88,$G40)</f>
        <v>0</v>
      </c>
      <c r="AZ40" s="887">
        <f>_xlfn.SUMIFS('Расчет УЕ'!AV$26:AV$88,'Расчет УЕ'!$F$26:$F$88,$F40,'Расчет УЕ'!$G$26:$G$88,$G40)</f>
        <v>0</v>
      </c>
      <c r="BA40" s="887">
        <f>_xlfn.SUMIFS('Расчет УЕ'!AW$26:AW$88,'Расчет УЕ'!$F$26:$F$88,$F40,'Расчет УЕ'!$G$26:$G$88,$G40)</f>
        <v>0</v>
      </c>
      <c r="BB40" s="887">
        <f>_xlfn.SUMIFS('Расчет УЕ'!AX$26:AX$88,'Расчет УЕ'!$F$26:$F$88,$F40,'Расчет УЕ'!$G$26:$G$88,$G40)</f>
        <v>0</v>
      </c>
      <c r="BC40" s="887">
        <f>_xlfn.SUMIFS('Расчет УЕ'!AY$26:AY$88,'Расчет УЕ'!$F$26:$F$88,$F40,'Расчет УЕ'!$G$26:$G$88,$G40)</f>
        <v>0</v>
      </c>
      <c r="BD40" s="1133"/>
      <c r="BE40" s="1133"/>
      <c r="BF40" s="1133"/>
      <c r="BG40" s="1133"/>
      <c r="BH40" s="1133"/>
      <c r="BI40" s="1133"/>
      <c r="BJ40" s="1133"/>
      <c r="BK40" s="1133"/>
      <c r="BL40" s="1133"/>
      <c r="BM40" s="1133"/>
      <c r="BN40" s="1730"/>
      <c r="BO40" s="1730"/>
      <c r="BP40" s="1730"/>
      <c r="BQ40" s="227"/>
      <c r="BR40" s="227"/>
      <c r="BS40" s="1230" t="s">
        <v>1339</v>
      </c>
    </row>
    <row s="1619" customFormat="1" customHeight="1" ht="16.5">
      <c r="A41" s="225"/>
      <c r="B41" s="924"/>
      <c r="C41" s="225"/>
      <c r="D41" s="225"/>
      <c r="E41" s="794">
        <v>17.1</v>
      </c>
      <c r="F41" s="919" cm="1" t="str">
        <f t="array" ref="F41:F41">OFFSET(G41,-1,-1)</f>
        <v>1</v>
      </c>
      <c r="G41" s="190" t="s">
        <v>441</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713</v>
      </c>
      <c r="AC41" s="162" t="s">
        <v>1340</v>
      </c>
      <c r="AD41" s="157" t="s">
        <v>690</v>
      </c>
      <c r="AE41" s="613"/>
      <c r="AF41" s="611"/>
      <c r="AG41" s="611"/>
      <c r="AH41" s="1073"/>
      <c r="AI41" s="1133"/>
      <c r="AJ41" s="887">
        <f>_xlfn.SUMIFS('Расчет УЕ'!AF$26:AF$88,'Расчет УЕ'!$F$26:$F$88,$F41,'Расчет УЕ'!$G$26:$G$88,$G41)</f>
        <v>1.38</v>
      </c>
      <c r="AK41" s="887">
        <f>_xlfn.SUMIFS('Расчет УЕ'!AG$26:AG$88,'Расчет УЕ'!$F$26:$F$88,$F41,'Расчет УЕ'!$G$26:$G$88,$G41)</f>
        <v>1.38</v>
      </c>
      <c r="AL41" s="1075">
        <f>_xlfn.SUMIFS('Расчет УЕ'!AH$26:AH$88,'Расчет УЕ'!$F$26:$F$88,$F41,'Расчет УЕ'!$G$26:$G$88,$G41)</f>
        <v>1.38</v>
      </c>
      <c r="AM41" s="887">
        <f>_xlfn.SUMIFS('Расчет УЕ'!AI$26:AI$88,'Расчет УЕ'!$F$26:$F$88,$F41,'Расчет УЕ'!$G$26:$G$88,$G41)</f>
        <v>1.38</v>
      </c>
      <c r="AN41" s="887">
        <f>_xlfn.SUMIFS('Расчет УЕ'!AJ$26:AJ$88,'Расчет УЕ'!$F$26:$F$88,$F41,'Расчет УЕ'!$G$26:$G$88,$G41)</f>
        <v>1.38</v>
      </c>
      <c r="AO41" s="887">
        <f>_xlfn.SUMIFS('Расчет УЕ'!AK$26:AK$88,'Расчет УЕ'!$F$26:$F$88,$F41,'Расчет УЕ'!$G$26:$G$88,$G41)</f>
        <v>1.38</v>
      </c>
      <c r="AP41" s="887">
        <f>_xlfn.SUMIFS('Расчет УЕ'!AL$26:AL$88,'Расчет УЕ'!$F$26:$F$88,$F41,'Расчет УЕ'!$G$26:$G$88,$G41)</f>
        <v>1.38</v>
      </c>
      <c r="AQ41" s="887">
        <f>_xlfn.SUMIFS('Расчет УЕ'!AM$26:AM$88,'Расчет УЕ'!$F$26:$F$88,$F41,'Расчет УЕ'!$G$26:$G$88,$G41)</f>
        <v>1.38</v>
      </c>
      <c r="AR41" s="887">
        <f>_xlfn.SUMIFS('Расчет УЕ'!AN$26:AN$88,'Расчет УЕ'!$F$26:$F$88,$F41,'Расчет УЕ'!$G$26:$G$88,$G41)</f>
        <v>1.38</v>
      </c>
      <c r="AS41" s="887">
        <f>_xlfn.SUMIFS('Расчет УЕ'!AO$26:AO$88,'Расчет УЕ'!$F$26:$F$88,$F41,'Расчет УЕ'!$G$26:$G$88,$G41)</f>
        <v>1.38</v>
      </c>
      <c r="AT41" s="887">
        <f>_xlfn.SUMIFS('Расчет УЕ'!AP$26:AP$88,'Расчет УЕ'!$F$26:$F$88,$F41,'Расчет УЕ'!$G$26:$G$88,$G41)</f>
        <v>1.38</v>
      </c>
      <c r="AU41" s="887">
        <f>_xlfn.SUMIFS('Расчет УЕ'!AQ$26:AQ$88,'Расчет УЕ'!$F$26:$F$88,$F41,'Расчет УЕ'!$G$26:$G$88,$G41)</f>
        <v>1.38</v>
      </c>
      <c r="AV41" s="887">
        <f>_xlfn.SUMIFS('Расчет УЕ'!AR$26:AR$88,'Расчет УЕ'!$F$26:$F$88,$F41,'Расчет УЕ'!$G$26:$G$88,$G41)</f>
        <v>1.38</v>
      </c>
      <c r="AW41" s="887">
        <f>_xlfn.SUMIFS('Расчет УЕ'!AS$26:AS$88,'Расчет УЕ'!$F$26:$F$88,$F41,'Расчет УЕ'!$G$26:$G$88,$G41)</f>
        <v>1.38</v>
      </c>
      <c r="AX41" s="887">
        <f>_xlfn.SUMIFS('Расчет УЕ'!AT$26:AT$88,'Расчет УЕ'!$F$26:$F$88,$F41,'Расчет УЕ'!$G$26:$G$88,$G41)</f>
        <v>1.38</v>
      </c>
      <c r="AY41" s="887">
        <f>_xlfn.SUMIFS('Расчет УЕ'!AU$26:AU$88,'Расчет УЕ'!$F$26:$F$88,$F41,'Расчет УЕ'!$G$26:$G$88,$G41)</f>
        <v>0</v>
      </c>
      <c r="AZ41" s="887">
        <f>_xlfn.SUMIFS('Расчет УЕ'!AV$26:AV$88,'Расчет УЕ'!$F$26:$F$88,$F41,'Расчет УЕ'!$G$26:$G$88,$G41)</f>
        <v>0</v>
      </c>
      <c r="BA41" s="887">
        <f>_xlfn.SUMIFS('Расчет УЕ'!AW$26:AW$88,'Расчет УЕ'!$F$26:$F$88,$F41,'Расчет УЕ'!$G$26:$G$88,$G41)</f>
        <v>0</v>
      </c>
      <c r="BB41" s="887">
        <f>_xlfn.SUMIFS('Расчет УЕ'!AX$26:AX$88,'Расчет УЕ'!$F$26:$F$88,$F41,'Расчет УЕ'!$G$26:$G$88,$G41)</f>
        <v>0</v>
      </c>
      <c r="BC41" s="887">
        <f>_xlfn.SUMIFS('Расчет УЕ'!AY$26:AY$88,'Расчет УЕ'!$F$26:$F$88,$F41,'Расчет УЕ'!$G$26:$G$88,$G41)</f>
        <v>0</v>
      </c>
      <c r="BD41" s="1133"/>
      <c r="BE41" s="1133"/>
      <c r="BF41" s="1133"/>
      <c r="BG41" s="1133"/>
      <c r="BH41" s="1133"/>
      <c r="BI41" s="1133"/>
      <c r="BJ41" s="1133"/>
      <c r="BK41" s="1133"/>
      <c r="BL41" s="1133"/>
      <c r="BM41" s="1133"/>
      <c r="BN41" s="1730"/>
      <c r="BO41" s="1730"/>
      <c r="BP41" s="1730"/>
      <c r="BQ41" s="227"/>
      <c r="BR41" s="227"/>
      <c r="BS41" s="1230" t="s">
        <v>1341</v>
      </c>
    </row>
    <row s="1619" customFormat="1" customHeight="1" ht="16.5">
      <c r="A42" s="225"/>
      <c r="B42" s="924"/>
      <c r="C42" s="225"/>
      <c r="D42" s="225"/>
      <c r="E42" s="794">
        <v>17.1</v>
      </c>
      <c r="F42" s="919" cm="1" t="str">
        <f t="array" ref="F42:F42">OFFSET(G42,-1,-1)</f>
        <v>1</v>
      </c>
      <c r="G42" s="736" t="s">
        <v>549</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624</v>
      </c>
      <c r="AC42" s="165" t="s">
        <v>1348</v>
      </c>
      <c r="AD42" s="157"/>
      <c r="AE42" s="735"/>
      <c r="AF42" s="636"/>
      <c r="AG42" s="636"/>
      <c r="AH42" s="637"/>
      <c r="AI42" s="1133"/>
      <c r="AJ42" s="887">
        <f>_xlfn.SUMIFS(Сценарии!AE$27:AE$109,Сценарии!$F$27:$F$109,$F42,Сценарии!$G$27:$G$109,$G42)</f>
        <v>0.75</v>
      </c>
      <c r="AK42" s="887">
        <f>_xlfn.SUMIFS(Сценарии!AF$27:AF$109,Сценарии!$F$27:$F$109,$F42,Сценарии!$G$27:$G$109,$G42)</f>
        <v>0.75</v>
      </c>
      <c r="AL42" s="887">
        <f>_xlfn.SUMIFS(Сценарии!AG$27:AG$109,Сценарии!$F$27:$F$109,$F42,Сценарии!$G$27:$G$109,$G42)</f>
        <v>0.75</v>
      </c>
      <c r="AM42" s="887">
        <f>_xlfn.SUMIFS(Сценарии!AH$27:AH$109,Сценарии!$F$27:$F$109,$F42,Сценарии!$G$27:$G$109,$G42)</f>
        <v>0.75</v>
      </c>
      <c r="AN42" s="887">
        <f>_xlfn.SUMIFS(Сценарии!AI$27:AI$109,Сценарии!$F$27:$F$109,$F42,Сценарии!$G$27:$G$109,$G42)</f>
        <v>0.75</v>
      </c>
      <c r="AO42" s="887">
        <f>_xlfn.SUMIFS(Сценарии!AJ$27:AJ$109,Сценарии!$F$27:$F$109,$F42,Сценарии!$G$27:$G$109,$G42)</f>
        <v>0.75</v>
      </c>
      <c r="AP42" s="887">
        <f>_xlfn.SUMIFS(Сценарии!AK$27:AK$109,Сценарии!$F$27:$F$109,$F42,Сценарии!$G$27:$G$109,$G42)</f>
        <v>0.75</v>
      </c>
      <c r="AQ42" s="887">
        <f>_xlfn.SUMIFS(Сценарии!AL$27:AL$109,Сценарии!$F$27:$F$109,$F42,Сценарии!$G$27:$G$109,$G42)</f>
        <v>0.75</v>
      </c>
      <c r="AR42" s="887">
        <f>_xlfn.SUMIFS(Сценарии!AM$27:AM$109,Сценарии!$F$27:$F$109,$F42,Сценарии!$G$27:$G$109,$G42)</f>
        <v>0.75</v>
      </c>
      <c r="AS42" s="887">
        <f>_xlfn.SUMIFS(Сценарии!AN$27:AN$109,Сценарии!$F$27:$F$109,$F42,Сценарии!$G$27:$G$109,$G42)</f>
        <v>0.75</v>
      </c>
      <c r="AT42" s="887">
        <f>_xlfn.SUMIFS(Сценарии!AO$27:AO$109,Сценарии!$F$27:$F$109,$F42,Сценарии!$G$27:$G$109,$G42)</f>
        <v>0.75</v>
      </c>
      <c r="AU42" s="887">
        <f>_xlfn.SUMIFS(Сценарии!AP$27:AP$109,Сценарии!$F$27:$F$109,$F42,Сценарии!$G$27:$G$109,$G42)</f>
        <v>0.75</v>
      </c>
      <c r="AV42" s="887">
        <f>_xlfn.SUMIFS(Сценарии!AQ$27:AQ$109,Сценарии!$F$27:$F$109,$F42,Сценарии!$G$27:$G$109,$G42)</f>
        <v>0.75</v>
      </c>
      <c r="AW42" s="887">
        <f>_xlfn.SUMIFS(Сценарии!AR$27:AR$109,Сценарии!$F$27:$F$109,$F42,Сценарии!$G$27:$G$109,$G42)</f>
        <v>0.75</v>
      </c>
      <c r="AX42" s="887">
        <f>_xlfn.SUMIFS(Сценарии!AS$27:AS$109,Сценарии!$F$27:$F$109,$F42,Сценарии!$G$27:$G$109,$G42)</f>
        <v>0.75</v>
      </c>
      <c r="AY42" s="887">
        <f>_xlfn.SUMIFS(Сценарии!AT$27:AT$109,Сценарии!$F$27:$F$109,$F42,Сценарии!$G$27:$G$109,$G42)</f>
        <v>0.75</v>
      </c>
      <c r="AZ42" s="887">
        <f>_xlfn.SUMIFS(Сценарии!AU$27:AU$109,Сценарии!$F$27:$F$109,$F42,Сценарии!$G$27:$G$109,$G42)</f>
        <v>0.75</v>
      </c>
      <c r="BA42" s="887">
        <f>_xlfn.SUMIFS(Сценарии!AV$27:AV$109,Сценарии!$F$27:$F$109,$F42,Сценарии!$G$27:$G$109,$G42)</f>
        <v>0.75</v>
      </c>
      <c r="BB42" s="887">
        <f>_xlfn.SUMIFS(Сценарии!AW$27:AW$109,Сценарии!$F$27:$F$109,$F42,Сценарии!$G$27:$G$109,$G42)</f>
        <v>0.75</v>
      </c>
      <c r="BC42" s="887">
        <f>_xlfn.SUMIFS(Сценарии!AX$27:AX$109,Сценарии!$F$27:$F$109,$F42,Сценарии!$G$27:$G$109,$G42)</f>
        <v>0.75</v>
      </c>
      <c r="BD42" s="1134"/>
      <c r="BE42" s="1134"/>
      <c r="BF42" s="1134"/>
      <c r="BG42" s="1134"/>
      <c r="BH42" s="1134"/>
      <c r="BI42" s="1133"/>
      <c r="BJ42" s="1133"/>
      <c r="BK42" s="1133"/>
      <c r="BL42" s="1133"/>
      <c r="BM42" s="1133"/>
      <c r="BN42" s="1730"/>
      <c r="BO42" s="1730"/>
      <c r="BP42" s="1730"/>
      <c r="BQ42" s="227"/>
      <c r="BR42" s="227"/>
      <c r="BS42" s="1230" t="s">
        <v>1343</v>
      </c>
    </row>
    <row s="1619" customFormat="1" customHeight="1" ht="16.5">
      <c r="A43" s="225"/>
      <c r="B43" s="924"/>
      <c r="C43" s="225"/>
      <c r="D43" s="225"/>
      <c r="E43" s="794">
        <v>17.1</v>
      </c>
      <c r="F43" s="919" cm="1" t="str">
        <f t="array" ref="F43:F43">OFFSET(G43,-1,-1)</f>
        <v>1</v>
      </c>
      <c r="G43" s="736" t="s">
        <v>1292</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629</v>
      </c>
      <c r="AC43" s="740" t="s">
        <v>1344</v>
      </c>
      <c r="AD43" s="672" t="s">
        <v>805</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(5.1)'!AI$26:AI$99,'Операционные (5.1)'!$F$26:$F$99,$F43,'Операционные (5.1)'!$G$26:$G$99,$G43)</f>
        <v>0</v>
      </c>
      <c r="AJ43" s="741">
        <f>IF(god=first_year,_xlfn.SUMIFS('Операционные (5.1)'!AJ$26:AJ$99,'Операционные (5.1)'!$F$26:$F$99,$F43,'Операционные (5.1)'!$G$26:$G$99,$G43),AI43*AJ44)</f>
        <v>2955.99992</v>
      </c>
      <c r="AK43" s="306">
        <f>AJ43*AK44</f>
        <v>3043.497517632</v>
      </c>
      <c r="AL43" s="1332">
        <f>AK43*AL44</f>
        <v>3133.58504415391</v>
      </c>
      <c r="AM43" s="306">
        <f>AL43*AM44</f>
        <v>3226.33916146087</v>
      </c>
      <c r="AN43" s="306">
        <f>AM43*AN44</f>
        <v>3321.83880064011</v>
      </c>
      <c r="AO43" s="306">
        <f>AN43*AO44</f>
        <v>3288.62041263371</v>
      </c>
      <c r="AP43" s="306">
        <f>AO43*AP44</f>
        <v>3255.73420850737</v>
      </c>
      <c r="AQ43" s="306">
        <f>AP43*AQ44</f>
        <v>3223.1768664223</v>
      </c>
      <c r="AR43" s="306">
        <f>AQ43*AR44</f>
        <v>3190.94509775808</v>
      </c>
      <c r="AS43" s="306">
        <f>AR43*AS44</f>
        <v>3159.0356467805</v>
      </c>
      <c r="AT43" s="1333">
        <f>IF(god=first_year,_xlfn.SUMIFS('Операционные (5.1)'!AK$26:AK$99,'Операционные (5.1)'!$F$26:$F$99,$F43,'Операционные (5.1)'!$G$26:$G$99,$G43),AI43*AT44)</f>
        <v>1635.99992</v>
      </c>
      <c r="AU43" s="306">
        <f>AT43*AU44</f>
        <v>1684.425517632</v>
      </c>
      <c r="AV43" s="306">
        <f>AU43*AV44</f>
        <v>1734.28451295391</v>
      </c>
      <c r="AW43" s="306">
        <f>AV43*AW44</f>
        <v>1785.61933453735</v>
      </c>
      <c r="AX43" s="306">
        <f>AW43*AX44</f>
        <v>1838.47366683966</v>
      </c>
      <c r="AY43" s="306">
        <f>AX43*AY44</f>
        <v>1820.08893017126</v>
      </c>
      <c r="AZ43" s="306">
        <f>AY43*AZ44</f>
        <v>1801.88804086955</v>
      </c>
      <c r="BA43" s="306">
        <f>AZ43*BA44</f>
        <v>1783.86916046085</v>
      </c>
      <c r="BB43" s="306">
        <f>BA43*BB44</f>
        <v>1766.03046885624</v>
      </c>
      <c r="BC43" s="1334">
        <f>BB43*BC44</f>
        <v>1748.37016416768</v>
      </c>
      <c r="BD43" s="1136"/>
      <c r="BE43" s="1135">
        <f>IF(AT43=0,0,(AU43-AT43)/AT43*100)</f>
        <v>2.96</v>
      </c>
      <c r="BF43" s="1135">
        <f>IF(AU43=0,0,(AV43-AU43)/AU43*100)</f>
        <v>2.96000000000017</v>
      </c>
      <c r="BG43" s="1135">
        <f>IF(AV43=0,0,(AW43-AV43)/AV43*100)</f>
        <v>2.96000000000024</v>
      </c>
      <c r="BH43" s="1135">
        <f>IF(AW43=0,0,(AX43-AW43)/AW43*100)</f>
        <v>2.96000000000025</v>
      </c>
      <c r="BI43" s="1135">
        <f>IF(AX43=0,0,(AY43-AX43)/AX43*100)</f>
        <v>-1.0000000000002</v>
      </c>
      <c r="BJ43" s="1135">
        <f>IF(AY43=0,0,(AZ43-AY43)/AY43*100)</f>
        <v>-0.99999999999986</v>
      </c>
      <c r="BK43" s="1135">
        <f>IF(AZ43=0,0,(BA43-AZ43)/AZ43*100)</f>
        <v>-1.0000000000003</v>
      </c>
      <c r="BL43" s="1135">
        <f>IF(BA43=0,0,(BB43-BA43)/BA43*100)</f>
        <v>-1.0000000000001</v>
      </c>
      <c r="BM43" s="1135">
        <f>IF(BB43=0,0,(BC43-BB43)/BB43*100)</f>
        <v>-0.99999999999986</v>
      </c>
      <c r="BN43" s="1730"/>
      <c r="BO43" s="1730"/>
      <c r="BP43" s="1730"/>
      <c r="BQ43" s="227"/>
      <c r="BR43" s="227"/>
      <c r="BS43" s="1230" t="s">
        <v>1345</v>
      </c>
    </row>
    <row s="1895"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751</v>
      </c>
      <c r="AC44" s="1055" t="s">
        <v>1346</v>
      </c>
      <c r="AD44" s="734"/>
      <c r="AE44" s="119"/>
      <c r="AF44" s="119"/>
      <c r="AG44" s="119"/>
      <c r="AH44" s="1074"/>
      <c r="AI44" s="1139"/>
      <c r="AJ44" s="1138">
        <f>(1+AJ37%)*(1-AJ38%)*(1+AJ39*AJ42)</f>
        <v>1.04049</v>
      </c>
      <c r="AK44" s="1138">
        <f>(1+AK37%)*(1-AK38%)*(1+AK39*AK42)</f>
        <v>1.0296</v>
      </c>
      <c r="AL44" s="1138">
        <f>(1+AL37%)*(1-AL38%)*(1+AL39*AL42)</f>
        <v>1.0296</v>
      </c>
      <c r="AM44" s="1138">
        <f>(1+AM37%)*(1-AM38%)*(1+AM39*AM42)</f>
        <v>1.0296</v>
      </c>
      <c r="AN44" s="1138">
        <f>(1+AN37%)*(1-AN38%)*(1+AN39*AN42)</f>
        <v>1.0296</v>
      </c>
      <c r="AO44" s="1897">
        <f>(1+AO37%)*(1-AO38%)*(1+AO39*AO42)</f>
        <v>0.99</v>
      </c>
      <c r="AP44" s="1897">
        <f>(1+AP37%)*(1-AP38%)*(1+AP39*AP42)</f>
        <v>0.99</v>
      </c>
      <c r="AQ44" s="1897">
        <f>(1+AQ37%)*(1-AQ38%)*(1+AQ39*AQ42)</f>
        <v>0.99</v>
      </c>
      <c r="AR44" s="1897">
        <f>(1+AR37%)*(1-AR38%)*(1+AR39*AR42)</f>
        <v>0.99</v>
      </c>
      <c r="AS44" s="1897">
        <f>(1+AS37%)*(1-AS38%)*(1+AS39*AS42)</f>
        <v>0.99</v>
      </c>
      <c r="AT44" s="1138">
        <f>(1+AT37%)*(1-AT38%)*(1+AT39*AT42)</f>
        <v>1.04049</v>
      </c>
      <c r="AU44" s="1138">
        <f>(1+AU37%)*(1-AU38%)*(1+AU39*AU42)</f>
        <v>1.0296</v>
      </c>
      <c r="AV44" s="1138">
        <f>(1+AV37%)*(1-AV38%)*(1+AV39*AV42)</f>
        <v>1.0296</v>
      </c>
      <c r="AW44" s="1138">
        <f>(1+AW37%)*(1-AW38%)*(1+AW39*AW42)</f>
        <v>1.0296</v>
      </c>
      <c r="AX44" s="1138">
        <f>(1+AX37%)*(1-AX38%)*(1+AX39*AX42)</f>
        <v>1.0296</v>
      </c>
      <c r="AY44" s="1897">
        <f>(1+AY37%)*(1-AY38%)*(1+AY39*AY42)</f>
        <v>0.99</v>
      </c>
      <c r="AZ44" s="1897">
        <f>(1+AZ37%)*(1-AZ38%)*(1+AZ39*AZ42)</f>
        <v>0.99</v>
      </c>
      <c r="BA44" s="1897">
        <f>(1+BA37%)*(1-BA38%)*(1+BA39*BA42)</f>
        <v>0.99</v>
      </c>
      <c r="BB44" s="1897">
        <f>(1+BB37%)*(1-BB38%)*(1+BB39*BB42)</f>
        <v>0.99</v>
      </c>
      <c r="BC44" s="1897">
        <f>(1+BC37%)*(1-BC38%)*(1+BC39*BC42)</f>
        <v>0.99</v>
      </c>
      <c r="BD44" s="1139"/>
      <c r="BE44" s="1139"/>
      <c r="BF44" s="1139"/>
      <c r="BG44" s="1139"/>
      <c r="BH44" s="1139"/>
      <c r="BI44" s="1139"/>
      <c r="BJ44" s="1139"/>
      <c r="BK44" s="1139"/>
      <c r="BL44" s="1139"/>
      <c r="BM44" s="1139"/>
      <c r="BN44" s="1730"/>
      <c r="BO44" s="1730"/>
      <c r="BP44" s="1730"/>
      <c r="BQ44" s="549"/>
      <c r="BR44" s="549"/>
      <c r="BS44" s="1230" t="s">
        <v>1347</v>
      </c>
    </row>
    <row s="1898" customFormat="1" customHeight="1" ht="16.5">
      <c r="A45" s="217"/>
      <c r="B45" s="217"/>
      <c r="C45" s="217"/>
      <c r="D45" s="217"/>
      <c r="E45" s="794">
        <v>17.1</v>
      </c>
      <c r="F45" s="919" cm="1" t="str">
        <f t="array" ref="F45:F45">X45</f>
        <v>2</v>
      </c>
      <c r="G45" s="736" cm="1" t="str">
        <f t="array" ref="G45:G45">INDEX('Общие сведения'!$AK$169:$AK$218,MATCH($F45,'Общие сведения'!$Z$169:$Z$218,0))</f>
        <v>одноставочный</v>
      </c>
      <c r="H45" s="217"/>
      <c r="I45" s="210" cm="1" t="str">
        <f t="array" ref="I45:I45">INDEX('Общие сведения'!$AE$169:$AE$218,MATCH($F45,'Общие сведения'!$Z$169:$Z$218,0))</f>
        <v>Теплоснабжение</v>
      </c>
      <c r="J45" s="217"/>
      <c r="K45" s="217"/>
      <c r="L45" s="217"/>
      <c r="M45" s="217"/>
      <c r="N45" s="217"/>
      <c r="O45" s="217"/>
      <c r="P45" s="217"/>
      <c r="Q45" s="217"/>
      <c r="R45" s="217"/>
      <c r="S45" s="217"/>
      <c r="T45" s="805">
        <f>X45&gt;0</f>
        <v>1</v>
      </c>
      <c r="U45" s="217"/>
      <c r="V45" s="172" cm="1" t="str">
        <f t="array" ref="V45:V45">'Операционные (5.1)'!$AB$75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45" s="217"/>
      <c r="X45" s="172" t="s">
        <v>343</v>
      </c>
      <c r="Y45" s="217"/>
      <c r="Z45" s="217"/>
      <c r="AA45" s="217"/>
      <c r="AB45" s="327" cm="1" t="str">
        <f t="array" ref="AB45:AB45">IF(ISBLANK('Операционные (5.1)'!$AB$75),"",'Операционные (5.1)'!$AB$75)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45" s="328"/>
      <c r="AD45" s="328"/>
      <c r="AE45" s="328"/>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8"/>
      <c r="BE45" s="328"/>
      <c r="BF45" s="328"/>
      <c r="BG45" s="328"/>
      <c r="BH45" s="328"/>
      <c r="BI45" s="328"/>
      <c r="BJ45" s="328"/>
      <c r="BK45" s="328"/>
      <c r="BL45" s="328"/>
      <c r="BM45" s="328"/>
      <c r="BN45" s="328"/>
      <c r="BO45" s="328"/>
      <c r="BP45" s="328"/>
      <c r="BQ45" s="217"/>
      <c r="BR45" s="217"/>
      <c r="BS45" s="1203"/>
    </row>
    <row s="1619" customFormat="1" customHeight="1" ht="16.5">
      <c r="A46" s="225"/>
      <c r="B46" s="924"/>
      <c r="C46" s="225"/>
      <c r="D46" s="225"/>
      <c r="E46" s="794">
        <v>17.1</v>
      </c>
      <c r="F46" s="919" cm="1" t="str">
        <f t="array" ref="F46:F46">OFFSET(G46,-1,-1)</f>
        <v>2</v>
      </c>
      <c r="G46" s="190" t="s">
        <v>502</v>
      </c>
      <c r="H46" s="227"/>
      <c r="I46" s="227"/>
      <c r="J46" s="227"/>
      <c r="K46" s="227"/>
      <c r="L46" s="227"/>
      <c r="M46" s="227"/>
      <c r="N46" s="227"/>
      <c r="O46" s="227"/>
      <c r="P46" s="227"/>
      <c r="Q46" s="190"/>
      <c r="R46" s="190"/>
      <c r="S46" s="227"/>
      <c r="T46" s="805" cm="1" t="str">
        <f t="array" ref="T46:T46">T45</f>
        <v>true</v>
      </c>
      <c r="U46" s="1461"/>
      <c r="V46" s="1461"/>
      <c r="W46" s="1461"/>
      <c r="X46" s="1461"/>
      <c r="Y46" s="1461"/>
      <c r="Z46" s="1461"/>
      <c r="AA46" s="227"/>
      <c r="AB46" s="157" t="s">
        <v>335</v>
      </c>
      <c r="AC46" s="739" t="s">
        <v>1331</v>
      </c>
      <c r="AD46" s="157" t="s">
        <v>490</v>
      </c>
      <c r="AE46" s="613"/>
      <c r="AF46" s="611"/>
      <c r="AG46" s="611"/>
      <c r="AH46" s="611"/>
      <c r="AI46" s="1889"/>
      <c r="AJ46" s="887">
        <f>_xlfn.SUMIFS(Сценарии!AE$27:AE$109,Сценарии!$F$27:$F$109,$F46,Сценарии!$G$27:$G$109,$G46)</f>
        <v>0</v>
      </c>
      <c r="AK46" s="887">
        <f>_xlfn.SUMIFS(Сценарии!AF$27:AF$109,Сценарии!$F$27:$F$109,$F46,Сценарии!$G$27:$G$109,$G46)</f>
        <v>4</v>
      </c>
      <c r="AL46" s="887">
        <f>_xlfn.SUMIFS(Сценарии!AG$27:AG$109,Сценарии!$F$27:$F$109,$F46,Сценарии!$G$27:$G$109,$G46)</f>
        <v>4</v>
      </c>
      <c r="AM46" s="887">
        <f>_xlfn.SUMIFS(Сценарии!AH$27:AH$109,Сценарии!$F$27:$F$109,$F46,Сценарии!$G$27:$G$109,$G46)</f>
        <v>4</v>
      </c>
      <c r="AN46" s="887">
        <f>_xlfn.SUMIFS(Сценарии!AI$27:AI$109,Сценарии!$F$27:$F$109,$F46,Сценарии!$G$27:$G$109,$G46)</f>
        <v>4</v>
      </c>
      <c r="AO46" s="887">
        <f>_xlfn.SUMIFS(Сценарии!AJ$27:AJ$109,Сценарии!$F$27:$F$109,$F46,Сценарии!$G$27:$G$109,$G46)</f>
        <v>0</v>
      </c>
      <c r="AP46" s="887">
        <f>_xlfn.SUMIFS(Сценарии!AK$27:AK$109,Сценарии!$F$27:$F$109,$F46,Сценарии!$G$27:$G$109,$G46)</f>
        <v>0</v>
      </c>
      <c r="AQ46" s="887">
        <f>_xlfn.SUMIFS(Сценарии!AL$27:AL$109,Сценарии!$F$27:$F$109,$F46,Сценарии!$G$27:$G$109,$G46)</f>
        <v>0</v>
      </c>
      <c r="AR46" s="887">
        <f>_xlfn.SUMIFS(Сценарии!AM$27:AM$109,Сценарии!$F$27:$F$109,$F46,Сценарии!$G$27:$G$109,$G46)</f>
        <v>0</v>
      </c>
      <c r="AS46" s="887">
        <f>_xlfn.SUMIFS(Сценарии!AN$27:AN$109,Сценарии!$F$27:$F$109,$F46,Сценарии!$G$27:$G$109,$G46)</f>
        <v>0</v>
      </c>
      <c r="AT46" s="887">
        <f>_xlfn.SUMIFS(Сценарии!AO$27:AO$109,Сценарии!$F$27:$F$109,$F46,Сценарии!$G$27:$G$109,$G46)</f>
        <v>5.1</v>
      </c>
      <c r="AU46" s="887">
        <f>_xlfn.SUMIFS(Сценарии!AP$27:AP$109,Сценарии!$F$27:$F$109,$F46,Сценарии!$G$27:$G$109,$G46)</f>
        <v>4</v>
      </c>
      <c r="AV46" s="887">
        <f>_xlfn.SUMIFS(Сценарии!AQ$27:AQ$109,Сценарии!$F$27:$F$109,$F46,Сценарии!$G$27:$G$109,$G46)</f>
        <v>4</v>
      </c>
      <c r="AW46" s="887">
        <f>_xlfn.SUMIFS(Сценарии!AR$27:AR$109,Сценарии!$F$27:$F$109,$F46,Сценарии!$G$27:$G$109,$G46)</f>
        <v>4</v>
      </c>
      <c r="AX46" s="887">
        <f>_xlfn.SUMIFS(Сценарии!AS$27:AS$109,Сценарии!$F$27:$F$109,$F46,Сценарии!$G$27:$G$109,$G46)</f>
        <v>4</v>
      </c>
      <c r="AY46" s="887">
        <f>_xlfn.SUMIFS(Сценарии!AT$27:AT$109,Сценарии!$F$27:$F$109,$F46,Сценарии!$G$27:$G$109,$G46)</f>
        <v>0</v>
      </c>
      <c r="AZ46" s="887">
        <f>_xlfn.SUMIFS(Сценарии!AU$27:AU$109,Сценарии!$F$27:$F$109,$F46,Сценарии!$G$27:$G$109,$G46)</f>
        <v>0</v>
      </c>
      <c r="BA46" s="887">
        <f>_xlfn.SUMIFS(Сценарии!AV$27:AV$109,Сценарии!$F$27:$F$109,$F46,Сценарии!$G$27:$G$109,$G46)</f>
        <v>0</v>
      </c>
      <c r="BB46" s="887">
        <f>_xlfn.SUMIFS(Сценарии!AW$27:AW$109,Сценарии!$F$27:$F$109,$F46,Сценарии!$G$27:$G$109,$G46)</f>
        <v>0</v>
      </c>
      <c r="BC46" s="887">
        <f>_xlfn.SUMIFS(Сценарии!AX$27:AX$109,Сценарии!$F$27:$F$109,$F46,Сценарии!$G$27:$G$109,$G46)</f>
        <v>0</v>
      </c>
      <c r="BD46" s="1133"/>
      <c r="BE46" s="1133"/>
      <c r="BF46" s="1133"/>
      <c r="BG46" s="1133"/>
      <c r="BH46" s="1133"/>
      <c r="BI46" s="1133"/>
      <c r="BJ46" s="1133"/>
      <c r="BK46" s="1133"/>
      <c r="BL46" s="1133"/>
      <c r="BM46" s="1133"/>
      <c r="BN46" s="1730"/>
      <c r="BO46" s="1730"/>
      <c r="BP46" s="1730"/>
      <c r="BQ46" s="227"/>
      <c r="BR46" s="227"/>
      <c r="BS46" s="1230" t="s">
        <v>1332</v>
      </c>
    </row>
    <row s="1899" customFormat="1" customHeight="1" ht="16.5">
      <c r="A47" s="230"/>
      <c r="B47" s="230"/>
      <c r="C47" s="230"/>
      <c r="D47" s="230"/>
      <c r="E47" s="794">
        <v>17.1</v>
      </c>
      <c r="F47" s="919" cm="1" t="str">
        <f t="array" ref="F47:F47">OFFSET(G47,-1,-1)</f>
        <v>2</v>
      </c>
      <c r="G47" s="929" t="s">
        <v>492</v>
      </c>
      <c r="H47" s="230"/>
      <c r="I47" s="230"/>
      <c r="J47" s="230"/>
      <c r="K47" s="230"/>
      <c r="L47" s="230"/>
      <c r="M47" s="230"/>
      <c r="N47" s="230"/>
      <c r="O47" s="230"/>
      <c r="P47" s="230"/>
      <c r="Q47" s="230"/>
      <c r="R47" s="230"/>
      <c r="S47" s="230"/>
      <c r="T47" s="805" cm="1" t="str">
        <f t="array" ref="T47:T47">T46</f>
        <v>true</v>
      </c>
      <c r="U47" s="230"/>
      <c r="V47" s="230"/>
      <c r="W47" s="230"/>
      <c r="X47" s="230"/>
      <c r="Y47" s="230"/>
      <c r="Z47" s="230"/>
      <c r="AA47" s="230"/>
      <c r="AB47" s="157" t="s">
        <v>343</v>
      </c>
      <c r="AC47" s="165" t="s">
        <v>1333</v>
      </c>
      <c r="AD47" s="157" t="s">
        <v>490</v>
      </c>
      <c r="AE47" s="613"/>
      <c r="AF47" s="611"/>
      <c r="AG47" s="611"/>
      <c r="AH47" s="611"/>
      <c r="AI47" s="1889"/>
      <c r="AJ47" s="887">
        <f>_xlfn.SUMIFS(Сценарии!AE$27:AE$109,Сценарии!$F$27:$F$109,$F47,Сценарии!$G$27:$G$109,$G47)</f>
        <v>1</v>
      </c>
      <c r="AK47" s="887">
        <f>_xlfn.SUMIFS(Сценарии!AF$27:AF$109,Сценарии!$F$27:$F$109,$F47,Сценарии!$G$27:$G$109,$G47)</f>
        <v>1</v>
      </c>
      <c r="AL47" s="887">
        <f>_xlfn.SUMIFS(Сценарии!AG$27:AG$109,Сценарии!$F$27:$F$109,$F47,Сценарии!$G$27:$G$109,$G47)</f>
        <v>1</v>
      </c>
      <c r="AM47" s="887">
        <f>_xlfn.SUMIFS(Сценарии!AH$27:AH$109,Сценарии!$F$27:$F$109,$F47,Сценарии!$G$27:$G$109,$G47)</f>
        <v>1</v>
      </c>
      <c r="AN47" s="887">
        <f>_xlfn.SUMIFS(Сценарии!AI$27:AI$109,Сценарии!$F$27:$F$109,$F47,Сценарии!$G$27:$G$109,$G47)</f>
        <v>1</v>
      </c>
      <c r="AO47" s="887">
        <f>_xlfn.SUMIFS(Сценарии!AJ$27:AJ$109,Сценарии!$F$27:$F$109,$F47,Сценарии!$G$27:$G$109,$G47)</f>
        <v>1</v>
      </c>
      <c r="AP47" s="887">
        <f>_xlfn.SUMIFS(Сценарии!AK$27:AK$109,Сценарии!$F$27:$F$109,$F47,Сценарии!$G$27:$G$109,$G47)</f>
        <v>1</v>
      </c>
      <c r="AQ47" s="887">
        <f>_xlfn.SUMIFS(Сценарии!AL$27:AL$109,Сценарии!$F$27:$F$109,$F47,Сценарии!$G$27:$G$109,$G47)</f>
        <v>1</v>
      </c>
      <c r="AR47" s="887">
        <f>_xlfn.SUMIFS(Сценарии!AM$27:AM$109,Сценарии!$F$27:$F$109,$F47,Сценарии!$G$27:$G$109,$G47)</f>
        <v>1</v>
      </c>
      <c r="AS47" s="887">
        <f>_xlfn.SUMIFS(Сценарии!AN$27:AN$109,Сценарии!$F$27:$F$109,$F47,Сценарии!$G$27:$G$109,$G47)</f>
        <v>1</v>
      </c>
      <c r="AT47" s="1132">
        <v>1</v>
      </c>
      <c r="AU47" s="1132">
        <v>1</v>
      </c>
      <c r="AV47" s="1132">
        <v>1</v>
      </c>
      <c r="AW47" s="1132">
        <v>1</v>
      </c>
      <c r="AX47" s="1132">
        <v>1</v>
      </c>
      <c r="AY47" s="1889">
        <v>1</v>
      </c>
      <c r="AZ47" s="1889">
        <v>1</v>
      </c>
      <c r="BA47" s="1889">
        <v>1</v>
      </c>
      <c r="BB47" s="1889">
        <v>1</v>
      </c>
      <c r="BC47" s="1889">
        <v>1</v>
      </c>
      <c r="BD47" s="1133"/>
      <c r="BE47" s="1133"/>
      <c r="BF47" s="1133"/>
      <c r="BG47" s="1133"/>
      <c r="BH47" s="1133"/>
      <c r="BI47" s="1133"/>
      <c r="BJ47" s="1133"/>
      <c r="BK47" s="1133"/>
      <c r="BL47" s="1133"/>
      <c r="BM47" s="1133"/>
      <c r="BN47" s="1730"/>
      <c r="BO47" s="1730"/>
      <c r="BP47" s="1730"/>
      <c r="BQ47" s="230"/>
      <c r="BR47" s="230"/>
      <c r="BS47" s="1230" t="s">
        <v>1334</v>
      </c>
    </row>
    <row s="1619" customFormat="1" customHeight="1" ht="16.5">
      <c r="A48" s="225"/>
      <c r="B48" s="924"/>
      <c r="C48" s="225"/>
      <c r="D48" s="225"/>
      <c r="E48" s="794">
        <v>17.1</v>
      </c>
      <c r="F48" s="919" cm="1" t="str">
        <f t="array" ref="F48:F48">OFFSET(G48,-1,-1)</f>
        <v>2</v>
      </c>
      <c r="G48" s="190" t="s">
        <v>545</v>
      </c>
      <c r="H48" s="227"/>
      <c r="I48" s="227"/>
      <c r="J48" s="227"/>
      <c r="K48" s="227"/>
      <c r="L48" s="227"/>
      <c r="M48" s="227"/>
      <c r="N48" s="227"/>
      <c r="O48" s="227"/>
      <c r="P48" s="227"/>
      <c r="Q48" s="190"/>
      <c r="R48" s="190"/>
      <c r="S48" s="227"/>
      <c r="T48" s="805" cm="1" t="str">
        <f t="array" ref="T48:T48">T47</f>
        <v>true</v>
      </c>
      <c r="U48" s="1461"/>
      <c r="V48" s="1461"/>
      <c r="W48" s="1461"/>
      <c r="X48" s="1461"/>
      <c r="Y48" s="1461"/>
      <c r="Z48" s="1461"/>
      <c r="AA48" s="227"/>
      <c r="AB48" s="157" t="s">
        <v>614</v>
      </c>
      <c r="AC48" s="165" t="s">
        <v>1335</v>
      </c>
      <c r="AD48" s="157"/>
      <c r="AE48" s="613"/>
      <c r="AF48" s="611"/>
      <c r="AG48" s="611"/>
      <c r="AH48" s="611"/>
      <c r="AI48" s="1889"/>
      <c r="AJ48" s="887">
        <f>_xlfn.SUMIFS(Сценарии!AE$27:AE$109,Сценарии!$F$27:$F$109,$F48,Сценарии!$G$27:$G$109,$G48)</f>
        <v>0</v>
      </c>
      <c r="AK48" s="887">
        <f>_xlfn.SUMIFS(Сценарии!AF$27:AF$109,Сценарии!$F$27:$F$109,$F48,Сценарии!$G$27:$G$109,$G48)</f>
        <v>0</v>
      </c>
      <c r="AL48" s="887">
        <f>_xlfn.SUMIFS(Сценарии!AG$27:AG$109,Сценарии!$F$27:$F$109,$F48,Сценарии!$G$27:$G$109,$G48)</f>
        <v>0</v>
      </c>
      <c r="AM48" s="887">
        <f>_xlfn.SUMIFS(Сценарии!AH$27:AH$109,Сценарии!$F$27:$F$109,$F48,Сценарии!$G$27:$G$109,$G48)</f>
        <v>0</v>
      </c>
      <c r="AN48" s="887">
        <f>_xlfn.SUMIFS(Сценарии!AI$27:AI$109,Сценарии!$F$27:$F$109,$F48,Сценарии!$G$27:$G$109,$G48)</f>
        <v>0</v>
      </c>
      <c r="AO48" s="887">
        <f>_xlfn.SUMIFS(Сценарии!AJ$27:AJ$109,Сценарии!$F$27:$F$109,$F48,Сценарии!$G$27:$G$109,$G48)</f>
        <v>0</v>
      </c>
      <c r="AP48" s="887">
        <f>_xlfn.SUMIFS(Сценарии!AK$27:AK$109,Сценарии!$F$27:$F$109,$F48,Сценарии!$G$27:$G$109,$G48)</f>
        <v>0</v>
      </c>
      <c r="AQ48" s="887">
        <f>_xlfn.SUMIFS(Сценарии!AL$27:AL$109,Сценарии!$F$27:$F$109,$F48,Сценарии!$G$27:$G$109,$G48)</f>
        <v>0</v>
      </c>
      <c r="AR48" s="887">
        <f>_xlfn.SUMIFS(Сценарии!AM$27:AM$109,Сценарии!$F$27:$F$109,$F48,Сценарии!$G$27:$G$109,$G48)</f>
        <v>0</v>
      </c>
      <c r="AS48" s="887">
        <f>_xlfn.SUMIFS(Сценарии!AN$27:AN$109,Сценарии!$F$27:$F$109,$F48,Сценарии!$G$27:$G$109,$G48)</f>
        <v>0</v>
      </c>
      <c r="AT48" s="887">
        <f>_xlfn.SUMIFS(Сценарии!AO$27:AO$109,Сценарии!$F$27:$F$109,$F48,Сценарии!$G$27:$G$109,$G48)</f>
        <v>0</v>
      </c>
      <c r="AU48" s="887">
        <f>_xlfn.SUMIFS(Сценарии!AP$27:AP$109,Сценарии!$F$27:$F$109,$F48,Сценарии!$G$27:$G$109,$G48)</f>
        <v>0</v>
      </c>
      <c r="AV48" s="887">
        <f>_xlfn.SUMIFS(Сценарии!AQ$27:AQ$109,Сценарии!$F$27:$F$109,$F48,Сценарии!$G$27:$G$109,$G48)</f>
        <v>0</v>
      </c>
      <c r="AW48" s="887">
        <f>_xlfn.SUMIFS(Сценарии!AR$27:AR$109,Сценарии!$F$27:$F$109,$F48,Сценарии!$G$27:$G$109,$G48)</f>
        <v>0</v>
      </c>
      <c r="AX48" s="887">
        <f>_xlfn.SUMIFS(Сценарии!AS$27:AS$109,Сценарии!$F$27:$F$109,$F48,Сценарии!$G$27:$G$109,$G48)</f>
        <v>0</v>
      </c>
      <c r="AY48" s="887">
        <f>_xlfn.SUMIFS(Сценарии!AT$27:AT$109,Сценарии!$F$27:$F$109,$F48,Сценарии!$G$27:$G$109,$G48)</f>
        <v>0</v>
      </c>
      <c r="AZ48" s="887">
        <f>_xlfn.SUMIFS(Сценарии!AU$27:AU$109,Сценарии!$F$27:$F$109,$F48,Сценарии!$G$27:$G$109,$G48)</f>
        <v>0</v>
      </c>
      <c r="BA48" s="887">
        <f>_xlfn.SUMIFS(Сценарии!AV$27:AV$109,Сценарии!$F$27:$F$109,$F48,Сценарии!$G$27:$G$109,$G48)</f>
        <v>0</v>
      </c>
      <c r="BB48" s="887">
        <f>_xlfn.SUMIFS(Сценарии!AW$27:AW$109,Сценарии!$F$27:$F$109,$F48,Сценарии!$G$27:$G$109,$G48)</f>
        <v>0</v>
      </c>
      <c r="BC48" s="887">
        <f>_xlfn.SUMIFS(Сценарии!AX$27:AX$109,Сценарии!$F$27:$F$109,$F48,Сценарии!$G$27:$G$109,$G48)</f>
        <v>0</v>
      </c>
      <c r="BD48" s="1133"/>
      <c r="BE48" s="1133"/>
      <c r="BF48" s="1133"/>
      <c r="BG48" s="1133"/>
      <c r="BH48" s="1133"/>
      <c r="BI48" s="1133"/>
      <c r="BJ48" s="1133"/>
      <c r="BK48" s="1133"/>
      <c r="BL48" s="1133"/>
      <c r="BM48" s="1133"/>
      <c r="BN48" s="1730"/>
      <c r="BO48" s="1730"/>
      <c r="BP48" s="1730"/>
      <c r="BQ48" s="227"/>
      <c r="BR48" s="227"/>
      <c r="BS48" s="1230" t="s">
        <v>1336</v>
      </c>
    </row>
    <row s="1619" customFormat="1" customHeight="1" ht="29.25">
      <c r="A49" s="225"/>
      <c r="B49" s="924"/>
      <c r="C49" s="225"/>
      <c r="D49" s="225"/>
      <c r="E49" s="794">
        <v>30</v>
      </c>
      <c r="F49" s="919" cm="1" t="str">
        <f t="array" ref="F49:F49">OFFSET(G49,-1,-1)</f>
        <v>2</v>
      </c>
      <c r="G49" s="190" t="s">
        <v>436</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710</v>
      </c>
      <c r="AC49" s="162" t="s">
        <v>1337</v>
      </c>
      <c r="AD49" s="157" t="s">
        <v>1338</v>
      </c>
      <c r="AE49" s="613"/>
      <c r="AF49" s="611"/>
      <c r="AG49" s="611"/>
      <c r="AH49" s="611"/>
      <c r="AI49" s="1892">
        <f>_xlfn.SUMIFS('Расчет УЕ'!AE$26:AE$88,'Расчет УЕ'!$F$26:$F$88,$F49,'Расчет УЕ'!$G$26:$G$88,$G49)</f>
        <v>0</v>
      </c>
      <c r="AJ49" s="1076">
        <f>_xlfn.SUMIFS('Расчет УЕ'!AF$26:AF$88,'Расчет УЕ'!$F$26:$F$88,$F49,'Расчет УЕ'!$G$26:$G$88,$G49)</f>
        <v>7.13</v>
      </c>
      <c r="AK49" s="1076">
        <f>_xlfn.SUMIFS('Расчет УЕ'!AG$26:AG$88,'Расчет УЕ'!$F$26:$F$88,$F49,'Расчет УЕ'!$G$26:$G$88,$G49)</f>
        <v>7.13</v>
      </c>
      <c r="AL49" s="887">
        <f>_xlfn.SUMIFS('Расчет УЕ'!AH$26:AH$88,'Расчет УЕ'!$F$26:$F$88,$F49,'Расчет УЕ'!$G$26:$G$88,$G49)</f>
        <v>7.13</v>
      </c>
      <c r="AM49" s="887">
        <f>_xlfn.SUMIFS('Расчет УЕ'!AI$26:AI$88,'Расчет УЕ'!$F$26:$F$88,$F49,'Расчет УЕ'!$G$26:$G$88,$G49)</f>
        <v>7.13</v>
      </c>
      <c r="AN49" s="887">
        <f>_xlfn.SUMIFS('Расчет УЕ'!AJ$26:AJ$88,'Расчет УЕ'!$F$26:$F$88,$F49,'Расчет УЕ'!$G$26:$G$88,$G49)</f>
        <v>7.13</v>
      </c>
      <c r="AO49" s="887">
        <f>_xlfn.SUMIFS('Расчет УЕ'!AK$26:AK$88,'Расчет УЕ'!$F$26:$F$88,$F49,'Расчет УЕ'!$G$26:$G$88,$G49)</f>
        <v>2.07</v>
      </c>
      <c r="AP49" s="887">
        <f>_xlfn.SUMIFS('Расчет УЕ'!AL$26:AL$88,'Расчет УЕ'!$F$26:$F$88,$F49,'Расчет УЕ'!$G$26:$G$88,$G49)</f>
        <v>2.07</v>
      </c>
      <c r="AQ49" s="887">
        <f>_xlfn.SUMIFS('Расчет УЕ'!AM$26:AM$88,'Расчет УЕ'!$F$26:$F$88,$F49,'Расчет УЕ'!$G$26:$G$88,$G49)</f>
        <v>2.07</v>
      </c>
      <c r="AR49" s="887">
        <f>_xlfn.SUMIFS('Расчет УЕ'!AN$26:AN$88,'Расчет УЕ'!$F$26:$F$88,$F49,'Расчет УЕ'!$G$26:$G$88,$G49)</f>
        <v>2.07</v>
      </c>
      <c r="AS49" s="887">
        <f>_xlfn.SUMIFS('Расчет УЕ'!AO$26:AO$88,'Расчет УЕ'!$F$26:$F$88,$F49,'Расчет УЕ'!$G$26:$G$88,$G49)</f>
        <v>2.07</v>
      </c>
      <c r="AT49" s="887">
        <f>_xlfn.SUMIFS('Расчет УЕ'!AP$26:AP$88,'Расчет УЕ'!$F$26:$F$88,$F49,'Расчет УЕ'!$G$26:$G$88,$G49)</f>
        <v>7.13</v>
      </c>
      <c r="AU49" s="887">
        <f>_xlfn.SUMIFS('Расчет УЕ'!AQ$26:AQ$88,'Расчет УЕ'!$F$26:$F$88,$F49,'Расчет УЕ'!$G$26:$G$88,$G49)</f>
        <v>7.13</v>
      </c>
      <c r="AV49" s="887">
        <f>_xlfn.SUMIFS('Расчет УЕ'!AR$26:AR$88,'Расчет УЕ'!$F$26:$F$88,$F49,'Расчет УЕ'!$G$26:$G$88,$G49)</f>
        <v>7.13</v>
      </c>
      <c r="AW49" s="887">
        <f>_xlfn.SUMIFS('Расчет УЕ'!AS$26:AS$88,'Расчет УЕ'!$F$26:$F$88,$F49,'Расчет УЕ'!$G$26:$G$88,$G49)</f>
        <v>7.13</v>
      </c>
      <c r="AX49" s="887">
        <f>_xlfn.SUMIFS('Расчет УЕ'!AT$26:AT$88,'Расчет УЕ'!$F$26:$F$88,$F49,'Расчет УЕ'!$G$26:$G$88,$G49)</f>
        <v>7.13</v>
      </c>
      <c r="AY49" s="887">
        <f>_xlfn.SUMIFS('Расчет УЕ'!AU$26:AU$88,'Расчет УЕ'!$F$26:$F$88,$F49,'Расчет УЕ'!$G$26:$G$88,$G49)</f>
        <v>0</v>
      </c>
      <c r="AZ49" s="887">
        <f>_xlfn.SUMIFS('Расчет УЕ'!AV$26:AV$88,'Расчет УЕ'!$F$26:$F$88,$F49,'Расчет УЕ'!$G$26:$G$88,$G49)</f>
        <v>0</v>
      </c>
      <c r="BA49" s="887">
        <f>_xlfn.SUMIFS('Расчет УЕ'!AW$26:AW$88,'Расчет УЕ'!$F$26:$F$88,$F49,'Расчет УЕ'!$G$26:$G$88,$G49)</f>
        <v>0</v>
      </c>
      <c r="BB49" s="887">
        <f>_xlfn.SUMIFS('Расчет УЕ'!AX$26:AX$88,'Расчет УЕ'!$F$26:$F$88,$F49,'Расчет УЕ'!$G$26:$G$88,$G49)</f>
        <v>0</v>
      </c>
      <c r="BC49" s="887">
        <f>_xlfn.SUMIFS('Расчет УЕ'!AY$26:AY$88,'Расчет УЕ'!$F$26:$F$88,$F49,'Расчет УЕ'!$G$26:$G$88,$G49)</f>
        <v>0</v>
      </c>
      <c r="BD49" s="1133"/>
      <c r="BE49" s="1133"/>
      <c r="BF49" s="1133"/>
      <c r="BG49" s="1133"/>
      <c r="BH49" s="1133"/>
      <c r="BI49" s="1133"/>
      <c r="BJ49" s="1133"/>
      <c r="BK49" s="1133"/>
      <c r="BL49" s="1133"/>
      <c r="BM49" s="1133"/>
      <c r="BN49" s="1730"/>
      <c r="BO49" s="1730"/>
      <c r="BP49" s="1730"/>
      <c r="BQ49" s="227"/>
      <c r="BR49" s="227"/>
      <c r="BS49" s="1230" t="s">
        <v>1339</v>
      </c>
    </row>
    <row s="1619" customFormat="1" customHeight="1" ht="16.5">
      <c r="A50" s="225"/>
      <c r="B50" s="924"/>
      <c r="C50" s="225"/>
      <c r="D50" s="225"/>
      <c r="E50" s="794">
        <v>17.1</v>
      </c>
      <c r="F50" s="919" cm="1" t="str">
        <f t="array" ref="F50:F50">OFFSET(G50,-1,-1)</f>
        <v>2</v>
      </c>
      <c r="G50" s="190" t="s">
        <v>441</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713</v>
      </c>
      <c r="AC50" s="162" t="s">
        <v>1340</v>
      </c>
      <c r="AD50" s="157" t="s">
        <v>690</v>
      </c>
      <c r="AE50" s="613"/>
      <c r="AF50" s="611"/>
      <c r="AG50" s="611"/>
      <c r="AH50" s="1073"/>
      <c r="AI50" s="1133"/>
      <c r="AJ50" s="887">
        <f>_xlfn.SUMIFS('Расчет УЕ'!AF$26:AF$88,'Расчет УЕ'!$F$26:$F$88,$F50,'Расчет УЕ'!$G$26:$G$88,$G50)</f>
        <v>1.38</v>
      </c>
      <c r="AK50" s="887">
        <f>_xlfn.SUMIFS('Расчет УЕ'!AG$26:AG$88,'Расчет УЕ'!$F$26:$F$88,$F50,'Расчет УЕ'!$G$26:$G$88,$G50)</f>
        <v>1.38</v>
      </c>
      <c r="AL50" s="1075">
        <f>_xlfn.SUMIFS('Расчет УЕ'!AH$26:AH$88,'Расчет УЕ'!$F$26:$F$88,$F50,'Расчет УЕ'!$G$26:$G$88,$G50)</f>
        <v>1.38</v>
      </c>
      <c r="AM50" s="887">
        <f>_xlfn.SUMIFS('Расчет УЕ'!AI$26:AI$88,'Расчет УЕ'!$F$26:$F$88,$F50,'Расчет УЕ'!$G$26:$G$88,$G50)</f>
        <v>1.38</v>
      </c>
      <c r="AN50" s="887">
        <f>_xlfn.SUMIFS('Расчет УЕ'!AJ$26:AJ$88,'Расчет УЕ'!$F$26:$F$88,$F50,'Расчет УЕ'!$G$26:$G$88,$G50)</f>
        <v>1.38</v>
      </c>
      <c r="AO50" s="887">
        <f>_xlfn.SUMIFS('Расчет УЕ'!AK$26:AK$88,'Расчет УЕ'!$F$26:$F$88,$F50,'Расчет УЕ'!$G$26:$G$88,$G50)</f>
        <v>1.38</v>
      </c>
      <c r="AP50" s="887">
        <f>_xlfn.SUMIFS('Расчет УЕ'!AL$26:AL$88,'Расчет УЕ'!$F$26:$F$88,$F50,'Расчет УЕ'!$G$26:$G$88,$G50)</f>
        <v>1.38</v>
      </c>
      <c r="AQ50" s="887">
        <f>_xlfn.SUMIFS('Расчет УЕ'!AM$26:AM$88,'Расчет УЕ'!$F$26:$F$88,$F50,'Расчет УЕ'!$G$26:$G$88,$G50)</f>
        <v>1.38</v>
      </c>
      <c r="AR50" s="887">
        <f>_xlfn.SUMIFS('Расчет УЕ'!AN$26:AN$88,'Расчет УЕ'!$F$26:$F$88,$F50,'Расчет УЕ'!$G$26:$G$88,$G50)</f>
        <v>1.38</v>
      </c>
      <c r="AS50" s="887">
        <f>_xlfn.SUMIFS('Расчет УЕ'!AO$26:AO$88,'Расчет УЕ'!$F$26:$F$88,$F50,'Расчет УЕ'!$G$26:$G$88,$G50)</f>
        <v>1.38</v>
      </c>
      <c r="AT50" s="887">
        <f>_xlfn.SUMIFS('Расчет УЕ'!AP$26:AP$88,'Расчет УЕ'!$F$26:$F$88,$F50,'Расчет УЕ'!$G$26:$G$88,$G50)</f>
        <v>1.38</v>
      </c>
      <c r="AU50" s="887">
        <f>_xlfn.SUMIFS('Расчет УЕ'!AQ$26:AQ$88,'Расчет УЕ'!$F$26:$F$88,$F50,'Расчет УЕ'!$G$26:$G$88,$G50)</f>
        <v>1.38</v>
      </c>
      <c r="AV50" s="887">
        <f>_xlfn.SUMIFS('Расчет УЕ'!AR$26:AR$88,'Расчет УЕ'!$F$26:$F$88,$F50,'Расчет УЕ'!$G$26:$G$88,$G50)</f>
        <v>1.38</v>
      </c>
      <c r="AW50" s="887">
        <f>_xlfn.SUMIFS('Расчет УЕ'!AS$26:AS$88,'Расчет УЕ'!$F$26:$F$88,$F50,'Расчет УЕ'!$G$26:$G$88,$G50)</f>
        <v>1.38</v>
      </c>
      <c r="AX50" s="887">
        <f>_xlfn.SUMIFS('Расчет УЕ'!AT$26:AT$88,'Расчет УЕ'!$F$26:$F$88,$F50,'Расчет УЕ'!$G$26:$G$88,$G50)</f>
        <v>1.38</v>
      </c>
      <c r="AY50" s="887">
        <f>_xlfn.SUMIFS('Расчет УЕ'!AU$26:AU$88,'Расчет УЕ'!$F$26:$F$88,$F50,'Расчет УЕ'!$G$26:$G$88,$G50)</f>
        <v>0</v>
      </c>
      <c r="AZ50" s="887">
        <f>_xlfn.SUMIFS('Расчет УЕ'!AV$26:AV$88,'Расчет УЕ'!$F$26:$F$88,$F50,'Расчет УЕ'!$G$26:$G$88,$G50)</f>
        <v>0</v>
      </c>
      <c r="BA50" s="887">
        <f>_xlfn.SUMIFS('Расчет УЕ'!AW$26:AW$88,'Расчет УЕ'!$F$26:$F$88,$F50,'Расчет УЕ'!$G$26:$G$88,$G50)</f>
        <v>0</v>
      </c>
      <c r="BB50" s="887">
        <f>_xlfn.SUMIFS('Расчет УЕ'!AX$26:AX$88,'Расчет УЕ'!$F$26:$F$88,$F50,'Расчет УЕ'!$G$26:$G$88,$G50)</f>
        <v>0</v>
      </c>
      <c r="BC50" s="887">
        <f>_xlfn.SUMIFS('Расчет УЕ'!AY$26:AY$88,'Расчет УЕ'!$F$26:$F$88,$F50,'Расчет УЕ'!$G$26:$G$88,$G50)</f>
        <v>0</v>
      </c>
      <c r="BD50" s="1133"/>
      <c r="BE50" s="1133"/>
      <c r="BF50" s="1133"/>
      <c r="BG50" s="1133"/>
      <c r="BH50" s="1133"/>
      <c r="BI50" s="1133"/>
      <c r="BJ50" s="1133"/>
      <c r="BK50" s="1133"/>
      <c r="BL50" s="1133"/>
      <c r="BM50" s="1133"/>
      <c r="BN50" s="1730"/>
      <c r="BO50" s="1730"/>
      <c r="BP50" s="1730"/>
      <c r="BQ50" s="227"/>
      <c r="BR50" s="227"/>
      <c r="BS50" s="1230" t="s">
        <v>1341</v>
      </c>
    </row>
    <row s="1619" customFormat="1" customHeight="1" ht="16.5">
      <c r="A51" s="225"/>
      <c r="B51" s="924"/>
      <c r="C51" s="225"/>
      <c r="D51" s="225"/>
      <c r="E51" s="794">
        <v>17.1</v>
      </c>
      <c r="F51" s="919" cm="1" t="str">
        <f t="array" ref="F51:F51">OFFSET(G51,-1,-1)</f>
        <v>2</v>
      </c>
      <c r="G51" s="736" t="s">
        <v>549</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624</v>
      </c>
      <c r="AC51" s="165" t="s">
        <v>1348</v>
      </c>
      <c r="AD51" s="157"/>
      <c r="AE51" s="735"/>
      <c r="AF51" s="636"/>
      <c r="AG51" s="636"/>
      <c r="AH51" s="637"/>
      <c r="AI51" s="1133"/>
      <c r="AJ51" s="887">
        <f>_xlfn.SUMIFS(Сценарии!AE$27:AE$109,Сценарии!$F$27:$F$109,$F51,Сценарии!$G$27:$G$109,$G51)</f>
        <v>0.75</v>
      </c>
      <c r="AK51" s="887">
        <f>_xlfn.SUMIFS(Сценарии!AF$27:AF$109,Сценарии!$F$27:$F$109,$F51,Сценарии!$G$27:$G$109,$G51)</f>
        <v>0.75</v>
      </c>
      <c r="AL51" s="887">
        <f>_xlfn.SUMIFS(Сценарии!AG$27:AG$109,Сценарии!$F$27:$F$109,$F51,Сценарии!$G$27:$G$109,$G51)</f>
        <v>0.75</v>
      </c>
      <c r="AM51" s="887">
        <f>_xlfn.SUMIFS(Сценарии!AH$27:AH$109,Сценарии!$F$27:$F$109,$F51,Сценарии!$G$27:$G$109,$G51)</f>
        <v>0.75</v>
      </c>
      <c r="AN51" s="887">
        <f>_xlfn.SUMIFS(Сценарии!AI$27:AI$109,Сценарии!$F$27:$F$109,$F51,Сценарии!$G$27:$G$109,$G51)</f>
        <v>0.75</v>
      </c>
      <c r="AO51" s="887">
        <f>_xlfn.SUMIFS(Сценарии!AJ$27:AJ$109,Сценарии!$F$27:$F$109,$F51,Сценарии!$G$27:$G$109,$G51)</f>
        <v>0.75</v>
      </c>
      <c r="AP51" s="887">
        <f>_xlfn.SUMIFS(Сценарии!AK$27:AK$109,Сценарии!$F$27:$F$109,$F51,Сценарии!$G$27:$G$109,$G51)</f>
        <v>0.75</v>
      </c>
      <c r="AQ51" s="887">
        <f>_xlfn.SUMIFS(Сценарии!AL$27:AL$109,Сценарии!$F$27:$F$109,$F51,Сценарии!$G$27:$G$109,$G51)</f>
        <v>0.75</v>
      </c>
      <c r="AR51" s="887">
        <f>_xlfn.SUMIFS(Сценарии!AM$27:AM$109,Сценарии!$F$27:$F$109,$F51,Сценарии!$G$27:$G$109,$G51)</f>
        <v>0.75</v>
      </c>
      <c r="AS51" s="887">
        <f>_xlfn.SUMIFS(Сценарии!AN$27:AN$109,Сценарии!$F$27:$F$109,$F51,Сценарии!$G$27:$G$109,$G51)</f>
        <v>0.75</v>
      </c>
      <c r="AT51" s="887">
        <f>_xlfn.SUMIFS(Сценарии!AO$27:AO$109,Сценарии!$F$27:$F$109,$F51,Сценарии!$G$27:$G$109,$G51)</f>
        <v>0.75</v>
      </c>
      <c r="AU51" s="887">
        <f>_xlfn.SUMIFS(Сценарии!AP$27:AP$109,Сценарии!$F$27:$F$109,$F51,Сценарии!$G$27:$G$109,$G51)</f>
        <v>0.75</v>
      </c>
      <c r="AV51" s="887">
        <f>_xlfn.SUMIFS(Сценарии!AQ$27:AQ$109,Сценарии!$F$27:$F$109,$F51,Сценарии!$G$27:$G$109,$G51)</f>
        <v>0.75</v>
      </c>
      <c r="AW51" s="887">
        <f>_xlfn.SUMIFS(Сценарии!AR$27:AR$109,Сценарии!$F$27:$F$109,$F51,Сценарии!$G$27:$G$109,$G51)</f>
        <v>0.75</v>
      </c>
      <c r="AX51" s="887">
        <f>_xlfn.SUMIFS(Сценарии!AS$27:AS$109,Сценарии!$F$27:$F$109,$F51,Сценарии!$G$27:$G$109,$G51)</f>
        <v>0.75</v>
      </c>
      <c r="AY51" s="887">
        <f>_xlfn.SUMIFS(Сценарии!AT$27:AT$109,Сценарии!$F$27:$F$109,$F51,Сценарии!$G$27:$G$109,$G51)</f>
        <v>0.75</v>
      </c>
      <c r="AZ51" s="887">
        <f>_xlfn.SUMIFS(Сценарии!AU$27:AU$109,Сценарии!$F$27:$F$109,$F51,Сценарии!$G$27:$G$109,$G51)</f>
        <v>0.75</v>
      </c>
      <c r="BA51" s="887">
        <f>_xlfn.SUMIFS(Сценарии!AV$27:AV$109,Сценарии!$F$27:$F$109,$F51,Сценарии!$G$27:$G$109,$G51)</f>
        <v>0.75</v>
      </c>
      <c r="BB51" s="887">
        <f>_xlfn.SUMIFS(Сценарии!AW$27:AW$109,Сценарии!$F$27:$F$109,$F51,Сценарии!$G$27:$G$109,$G51)</f>
        <v>0.75</v>
      </c>
      <c r="BC51" s="887">
        <f>_xlfn.SUMIFS(Сценарии!AX$27:AX$109,Сценарии!$F$27:$F$109,$F51,Сценарии!$G$27:$G$109,$G51)</f>
        <v>0.75</v>
      </c>
      <c r="BD51" s="1134"/>
      <c r="BE51" s="1134"/>
      <c r="BF51" s="1134"/>
      <c r="BG51" s="1134"/>
      <c r="BH51" s="1134"/>
      <c r="BI51" s="1133"/>
      <c r="BJ51" s="1133"/>
      <c r="BK51" s="1133"/>
      <c r="BL51" s="1133"/>
      <c r="BM51" s="1133"/>
      <c r="BN51" s="1730"/>
      <c r="BO51" s="1730"/>
      <c r="BP51" s="1730"/>
      <c r="BQ51" s="227"/>
      <c r="BR51" s="227"/>
      <c r="BS51" s="1230" t="s">
        <v>1343</v>
      </c>
    </row>
    <row s="1619" customFormat="1" customHeight="1" ht="16.5">
      <c r="A52" s="225"/>
      <c r="B52" s="924"/>
      <c r="C52" s="225"/>
      <c r="D52" s="225"/>
      <c r="E52" s="794">
        <v>17.1</v>
      </c>
      <c r="F52" s="919" cm="1" t="str">
        <f t="array" ref="F52:F52">OFFSET(G52,-1,-1)</f>
        <v>2</v>
      </c>
      <c r="G52" s="736" t="s">
        <v>1292</v>
      </c>
      <c r="H52" s="227"/>
      <c r="I52" s="227"/>
      <c r="J52" s="227"/>
      <c r="K52" s="227" t="str">
        <f>F52&amp;"komm"</f>
        <v>2komm</v>
      </c>
      <c r="L52" s="226" cm="1" t="str">
        <f t="array" ref="L52:L52">BO52</f>
        <v>0</v>
      </c>
      <c r="M52" s="227"/>
      <c r="N52" s="227"/>
      <c r="O52" s="227"/>
      <c r="P52" s="227"/>
      <c r="Q52" s="190"/>
      <c r="R52" s="190"/>
      <c r="S52" s="227"/>
      <c r="T52" s="805" cm="1" t="str">
        <f t="array" ref="T52:T52">T51</f>
        <v>true</v>
      </c>
      <c r="U52" s="1461"/>
      <c r="V52" s="1461"/>
      <c r="W52" s="1461"/>
      <c r="X52" s="1461"/>
      <c r="Y52" s="1461"/>
      <c r="Z52" s="1461"/>
      <c r="AA52" s="227"/>
      <c r="AB52" s="634" t="s">
        <v>629</v>
      </c>
      <c r="AC52" s="740" t="s">
        <v>1344</v>
      </c>
      <c r="AD52" s="672" t="s">
        <v>805</v>
      </c>
      <c r="AE52" s="615" cm="1" t="str">
        <f t="array" ref="AE52:AE52">'Операционные (5.1)'!AE46</f>
        <v>0</v>
      </c>
      <c r="AF52" s="615" cm="1" t="str">
        <f t="array" ref="AF52:AF52">'Операционные (5.1)'!AF46</f>
        <v>0</v>
      </c>
      <c r="AG52" s="615" cm="1" t="str">
        <f t="array" ref="AG52:AG52">'Операционные (5.1)'!AG46</f>
        <v>0</v>
      </c>
      <c r="AH52" s="882" cm="1" t="str">
        <f t="array" ref="AH52:AH52">'Операционные (5.1)'!AH46</f>
        <v>0</v>
      </c>
      <c r="AI52" s="615">
        <f>_xlfn.SUMIFS('Операционные (5.1)'!AI$26:AI$99,'Операционные (5.1)'!$F$26:$F$99,$F52,'Операционные (5.1)'!$G$26:$G$99,$G52)</f>
        <v>0</v>
      </c>
      <c r="AJ52" s="741">
        <f>IF(god=first_year,_xlfn.SUMIFS('Операционные (5.1)'!AJ$26:AJ$99,'Операционные (5.1)'!$F$26:$F$99,$F52,'Операционные (5.1)'!$G$26:$G$99,$G52),AI52*AJ53)</f>
        <v>2955.99992</v>
      </c>
      <c r="AK52" s="306">
        <f>AJ52*AK53</f>
        <v>3043.497517632</v>
      </c>
      <c r="AL52" s="1332">
        <f>AK52*AL53</f>
        <v>3133.58504415391</v>
      </c>
      <c r="AM52" s="306">
        <f>AL52*AM53</f>
        <v>3226.33916146087</v>
      </c>
      <c r="AN52" s="306">
        <f>AM52*AN53</f>
        <v>3321.83880064011</v>
      </c>
      <c r="AO52" s="306">
        <f>AN52*AO53</f>
        <v>3288.62041263371</v>
      </c>
      <c r="AP52" s="306">
        <f>AO52*AP53</f>
        <v>3255.73420850737</v>
      </c>
      <c r="AQ52" s="306">
        <f>AP52*AQ53</f>
        <v>3223.1768664223</v>
      </c>
      <c r="AR52" s="306">
        <f>AQ52*AR53</f>
        <v>3190.94509775808</v>
      </c>
      <c r="AS52" s="306">
        <f>AR52*AS53</f>
        <v>3159.0356467805</v>
      </c>
      <c r="AT52" s="1333">
        <f>IF(god=first_year,_xlfn.SUMIFS('Операционные (5.1)'!AK$26:AK$99,'Операционные (5.1)'!$F$26:$F$99,$F52,'Операционные (5.1)'!$G$26:$G$99,$G52),AI52*AT53)</f>
        <v>1635.99992</v>
      </c>
      <c r="AU52" s="306">
        <f>AT52*AU53</f>
        <v>1684.425517632</v>
      </c>
      <c r="AV52" s="306">
        <f>AU52*AV53</f>
        <v>1734.28451295391</v>
      </c>
      <c r="AW52" s="306">
        <f>AV52*AW53</f>
        <v>1785.61933453735</v>
      </c>
      <c r="AX52" s="306">
        <f>AW52*AX53</f>
        <v>1838.47366683966</v>
      </c>
      <c r="AY52" s="306">
        <f>AX52*AY53</f>
        <v>1820.08893017126</v>
      </c>
      <c r="AZ52" s="306">
        <f>AY52*AZ53</f>
        <v>1801.88804086955</v>
      </c>
      <c r="BA52" s="306">
        <f>AZ52*BA53</f>
        <v>1783.86916046085</v>
      </c>
      <c r="BB52" s="306">
        <f>BA52*BB53</f>
        <v>1766.03046885624</v>
      </c>
      <c r="BC52" s="1334">
        <f>BB52*BC53</f>
        <v>1748.37016416768</v>
      </c>
      <c r="BD52" s="1136"/>
      <c r="BE52" s="1135">
        <f>IF(AT52=0,0,(AU52-AT52)/AT52*100)</f>
        <v>2.96</v>
      </c>
      <c r="BF52" s="1135">
        <f>IF(AU52=0,0,(AV52-AU52)/AU52*100)</f>
        <v>2.96000000000017</v>
      </c>
      <c r="BG52" s="1135">
        <f>IF(AV52=0,0,(AW52-AV52)/AV52*100)</f>
        <v>2.96000000000024</v>
      </c>
      <c r="BH52" s="1135">
        <f>IF(AW52=0,0,(AX52-AW52)/AW52*100)</f>
        <v>2.96000000000025</v>
      </c>
      <c r="BI52" s="1135">
        <f>IF(AX52=0,0,(AY52-AX52)/AX52*100)</f>
        <v>-1.0000000000002</v>
      </c>
      <c r="BJ52" s="1135">
        <f>IF(AY52=0,0,(AZ52-AY52)/AY52*100)</f>
        <v>-0.99999999999986</v>
      </c>
      <c r="BK52" s="1135">
        <f>IF(AZ52=0,0,(BA52-AZ52)/AZ52*100)</f>
        <v>-1.0000000000003</v>
      </c>
      <c r="BL52" s="1135">
        <f>IF(BA52=0,0,(BB52-BA52)/BA52*100)</f>
        <v>-1.0000000000001</v>
      </c>
      <c r="BM52" s="1135">
        <f>IF(BB52=0,0,(BC52-BB52)/BB52*100)</f>
        <v>-0.99999999999986</v>
      </c>
      <c r="BN52" s="1730"/>
      <c r="BO52" s="1730"/>
      <c r="BP52" s="1730"/>
      <c r="BQ52" s="227"/>
      <c r="BR52" s="227"/>
      <c r="BS52" s="1230" t="s">
        <v>1345</v>
      </c>
    </row>
    <row s="1900" customFormat="1" customHeight="1" ht="16.5">
      <c r="A53" s="958"/>
      <c r="B53" s="932"/>
      <c r="C53" s="958"/>
      <c r="D53" s="958"/>
      <c r="E53" s="794">
        <v>17.1</v>
      </c>
      <c r="F53" s="919" cm="1" t="str">
        <f t="array" ref="F53:F53">OFFSET(G53,-1,-1)</f>
        <v>2</v>
      </c>
      <c r="G53" s="933"/>
      <c r="H53" s="549"/>
      <c r="I53" s="549"/>
      <c r="J53" s="549"/>
      <c r="K53" s="549"/>
      <c r="L53" s="549"/>
      <c r="M53" s="549"/>
      <c r="N53" s="549"/>
      <c r="O53" s="549"/>
      <c r="P53" s="549"/>
      <c r="Q53" s="549"/>
      <c r="R53" s="549"/>
      <c r="S53" s="549"/>
      <c r="T53" s="805" cm="1" t="str">
        <f t="array" ref="T53:T53">T52</f>
        <v>true</v>
      </c>
      <c r="U53" s="958"/>
      <c r="V53" s="958"/>
      <c r="W53" s="959"/>
      <c r="X53" s="549"/>
      <c r="Y53" s="959"/>
      <c r="Z53" s="549"/>
      <c r="AA53" s="549"/>
      <c r="AB53" s="883" t="s">
        <v>751</v>
      </c>
      <c r="AC53" s="1055" t="s">
        <v>1346</v>
      </c>
      <c r="AD53" s="734"/>
      <c r="AE53" s="119"/>
      <c r="AF53" s="119"/>
      <c r="AG53" s="119"/>
      <c r="AH53" s="1074"/>
      <c r="AI53" s="1139"/>
      <c r="AJ53" s="1138">
        <f>(1+AJ46%)*(1-AJ47%)*(1+AJ48*AJ51)</f>
        <v>0.99</v>
      </c>
      <c r="AK53" s="1138">
        <f>(1+AK46%)*(1-AK47%)*(1+AK48*AK51)</f>
        <v>1.0296</v>
      </c>
      <c r="AL53" s="1138">
        <f>(1+AL46%)*(1-AL47%)*(1+AL48*AL51)</f>
        <v>1.0296</v>
      </c>
      <c r="AM53" s="1138">
        <f>(1+AM46%)*(1-AM47%)*(1+AM48*AM51)</f>
        <v>1.0296</v>
      </c>
      <c r="AN53" s="1138">
        <f>(1+AN46%)*(1-AN47%)*(1+AN48*AN51)</f>
        <v>1.0296</v>
      </c>
      <c r="AO53" s="1897">
        <f>(1+AO46%)*(1-AO47%)*(1+AO48*AO51)</f>
        <v>0.99</v>
      </c>
      <c r="AP53" s="1897">
        <f>(1+AP46%)*(1-AP47%)*(1+AP48*AP51)</f>
        <v>0.99</v>
      </c>
      <c r="AQ53" s="1897">
        <f>(1+AQ46%)*(1-AQ47%)*(1+AQ48*AQ51)</f>
        <v>0.99</v>
      </c>
      <c r="AR53" s="1897">
        <f>(1+AR46%)*(1-AR47%)*(1+AR48*AR51)</f>
        <v>0.99</v>
      </c>
      <c r="AS53" s="1897">
        <f>(1+AS46%)*(1-AS47%)*(1+AS48*AS51)</f>
        <v>0.99</v>
      </c>
      <c r="AT53" s="1138">
        <f>(1+AT46%)*(1-AT47%)*(1+AT48*AT51)</f>
        <v>1.04049</v>
      </c>
      <c r="AU53" s="1138">
        <f>(1+AU46%)*(1-AU47%)*(1+AU48*AU51)</f>
        <v>1.0296</v>
      </c>
      <c r="AV53" s="1138">
        <f>(1+AV46%)*(1-AV47%)*(1+AV48*AV51)</f>
        <v>1.0296</v>
      </c>
      <c r="AW53" s="1138">
        <f>(1+AW46%)*(1-AW47%)*(1+AW48*AW51)</f>
        <v>1.0296</v>
      </c>
      <c r="AX53" s="1138">
        <f>(1+AX46%)*(1-AX47%)*(1+AX48*AX51)</f>
        <v>1.0296</v>
      </c>
      <c r="AY53" s="1897">
        <f>(1+AY46%)*(1-AY47%)*(1+AY48*AY51)</f>
        <v>0.99</v>
      </c>
      <c r="AZ53" s="1897">
        <f>(1+AZ46%)*(1-AZ47%)*(1+AZ48*AZ51)</f>
        <v>0.99</v>
      </c>
      <c r="BA53" s="1897">
        <f>(1+BA46%)*(1-BA47%)*(1+BA48*BA51)</f>
        <v>0.99</v>
      </c>
      <c r="BB53" s="1897">
        <f>(1+BB46%)*(1-BB47%)*(1+BB48*BB51)</f>
        <v>0.99</v>
      </c>
      <c r="BC53" s="1897">
        <f>(1+BC46%)*(1-BC47%)*(1+BC48*BC51)</f>
        <v>0.99</v>
      </c>
      <c r="BD53" s="1139"/>
      <c r="BE53" s="1139"/>
      <c r="BF53" s="1139"/>
      <c r="BG53" s="1139"/>
      <c r="BH53" s="1139"/>
      <c r="BI53" s="1139"/>
      <c r="BJ53" s="1139"/>
      <c r="BK53" s="1139"/>
      <c r="BL53" s="1139"/>
      <c r="BM53" s="1139"/>
      <c r="BN53" s="1730"/>
      <c r="BO53" s="1730"/>
      <c r="BP53" s="1730"/>
      <c r="BQ53" s="549"/>
      <c r="BR53" s="549"/>
      <c r="BS53" s="1230" t="s">
        <v>1347</v>
      </c>
    </row>
    <row customHeight="1" ht="9.945">
      <c r="E54" s="794">
        <v>10.2</v>
      </c>
      <c r="U54" s="176" t="s">
        <v>235</v>
      </c>
      <c r="V54" s="168" t="s">
        <v>1349</v>
      </c>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row>
    <row customHeight="1" ht="11.25" hidden="1">
      <c r="E55" s="794">
        <v>0</v>
      </c>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row>
    <row customHeight="1" ht="14.625">
      <c r="E56" s="794">
        <v>15</v>
      </c>
      <c r="AB56" s="1527" t="s">
        <v>700</v>
      </c>
      <c r="AC56" s="1527"/>
      <c r="AD56" s="1527"/>
      <c r="AE56" s="1527"/>
      <c r="AF56" s="1527"/>
      <c r="AG56" s="1527"/>
      <c r="AH56" s="1527"/>
      <c r="AI56" s="1527"/>
      <c r="AJ56" s="1527"/>
      <c r="AK56" s="1527"/>
      <c r="AL56" s="1527"/>
      <c r="AM56" s="1527"/>
      <c r="AN56" s="1527"/>
      <c r="AO56" s="1527"/>
      <c r="AP56" s="1527"/>
      <c r="AQ56" s="1527"/>
      <c r="AR56" s="1527"/>
      <c r="AS56" s="1527"/>
      <c r="AT56" s="1527"/>
      <c r="AU56" s="1527"/>
      <c r="AV56" s="1527"/>
      <c r="AW56" s="1527"/>
      <c r="AX56" s="1527"/>
      <c r="AY56" s="1527"/>
      <c r="AZ56" s="1527"/>
      <c r="BA56" s="1527"/>
      <c r="BB56" s="1527"/>
      <c r="BC56" s="1527"/>
      <c r="BD56" s="1527"/>
      <c r="BE56" s="1527"/>
      <c r="BF56" s="1527"/>
      <c r="BG56" s="1527"/>
      <c r="BH56" s="1527"/>
      <c r="BI56" s="1527"/>
      <c r="BJ56" s="1527"/>
      <c r="BK56" s="1527"/>
      <c r="BL56" s="1527"/>
      <c r="BM56" s="1527"/>
      <c r="BN56" s="1527"/>
      <c r="BO56" s="1527"/>
      <c r="BP56" s="1527"/>
    </row>
    <row customHeight="1" ht="14.625">
      <c r="E57" s="794">
        <v>15</v>
      </c>
      <c r="AA57" s="918"/>
      <c r="AB57" s="1540"/>
      <c r="AC57" s="1541"/>
      <c r="AD57" s="1541"/>
      <c r="AE57" s="1541"/>
      <c r="AF57" s="1541"/>
      <c r="AG57" s="1541"/>
      <c r="AH57" s="1541"/>
      <c r="AI57" s="1541"/>
      <c r="AJ57" s="1541"/>
      <c r="AK57" s="1541"/>
      <c r="AL57" s="1541"/>
      <c r="AM57" s="1541"/>
      <c r="AN57" s="1541"/>
      <c r="AO57" s="1541"/>
      <c r="AP57" s="1541"/>
      <c r="AQ57" s="1541"/>
      <c r="AR57" s="1541"/>
      <c r="AS57" s="1541"/>
      <c r="AT57" s="1541"/>
      <c r="AU57" s="1541"/>
      <c r="AV57" s="1541"/>
      <c r="AW57" s="1541"/>
      <c r="AX57" s="1541"/>
      <c r="AY57" s="1541"/>
      <c r="AZ57" s="1541"/>
      <c r="BA57" s="1541"/>
      <c r="BB57" s="1541"/>
      <c r="BC57" s="1541"/>
      <c r="BD57" s="1541"/>
      <c r="BE57" s="1541"/>
      <c r="BF57" s="1541"/>
      <c r="BG57" s="1541"/>
      <c r="BH57" s="1541"/>
      <c r="BI57" s="1541"/>
      <c r="BJ57" s="1541"/>
      <c r="BK57" s="1541"/>
      <c r="BL57" s="1541"/>
      <c r="BM57" s="1541"/>
      <c r="BN57" s="1541"/>
      <c r="BO57" s="1541"/>
      <c r="BP57" s="1541"/>
    </row>
    <row customHeight="1" ht="14.625" hidden="1">
      <c r="A58" s="225"/>
      <c r="B58" s="924"/>
      <c r="C58" s="225"/>
      <c r="D58" s="225"/>
      <c r="E58" s="794">
        <v>15</v>
      </c>
      <c r="F58" s="225"/>
      <c r="G58" s="227"/>
      <c r="H58" s="227"/>
      <c r="I58" s="227"/>
      <c r="J58" s="227"/>
      <c r="K58" s="227"/>
      <c r="L58" s="227"/>
      <c r="M58" s="227"/>
      <c r="N58" s="227"/>
      <c r="O58" s="227"/>
      <c r="P58" s="227"/>
      <c r="Q58" s="190"/>
      <c r="R58" s="190"/>
      <c r="S58" s="227"/>
      <c r="T58" s="805">
        <f>ROW(W58)&gt;ROW(W$58)</f>
        <v>0</v>
      </c>
      <c r="U58" s="1461"/>
      <c r="V58" s="1461"/>
      <c r="W58" s="172" t="s">
        <v>233</v>
      </c>
      <c r="X58" s="1461"/>
      <c r="Y58" s="1461"/>
      <c r="Z58" s="1461"/>
      <c r="AA58" s="914" t="s">
        <v>217</v>
      </c>
      <c r="AB58" s="1865"/>
      <c r="AC58" s="1541"/>
      <c r="AD58" s="1541"/>
      <c r="AE58" s="1541"/>
      <c r="AF58" s="1541"/>
      <c r="AG58" s="1541"/>
      <c r="AH58" s="1541"/>
      <c r="AI58" s="1541"/>
      <c r="AJ58" s="1541"/>
      <c r="AK58" s="1541"/>
      <c r="AL58" s="1541"/>
      <c r="AM58" s="1541"/>
      <c r="AN58" s="1541"/>
      <c r="AO58" s="1541"/>
      <c r="AP58" s="1541"/>
      <c r="AQ58" s="1541"/>
      <c r="AR58" s="1541"/>
      <c r="AS58" s="1541"/>
      <c r="AT58" s="1541"/>
      <c r="AU58" s="1541"/>
      <c r="AV58" s="1541"/>
      <c r="AW58" s="1541"/>
      <c r="AX58" s="1541"/>
      <c r="AY58" s="1541"/>
      <c r="AZ58" s="1541"/>
      <c r="BA58" s="1541"/>
      <c r="BB58" s="1541"/>
      <c r="BC58" s="1541"/>
      <c r="BD58" s="1541"/>
      <c r="BE58" s="1541"/>
      <c r="BF58" s="1541"/>
      <c r="BG58" s="1541"/>
      <c r="BH58" s="1541"/>
      <c r="BI58" s="1541"/>
      <c r="BJ58" s="1541"/>
      <c r="BK58" s="1541"/>
      <c r="BL58" s="1541"/>
      <c r="BM58" s="1541"/>
      <c r="BN58" s="1541"/>
      <c r="BO58" s="1541"/>
      <c r="BP58" s="1541"/>
      <c r="BQ58" s="227"/>
      <c r="BR58" s="227"/>
      <c r="BS58" s="1230"/>
    </row>
    <row customHeight="1" ht="14.625">
      <c r="E59" s="794">
        <v>15</v>
      </c>
      <c r="W59" s="168" t="s">
        <v>234</v>
      </c>
      <c r="AA59" s="210"/>
      <c r="AB59" s="1475" t="s">
        <v>701</v>
      </c>
      <c r="AC59" s="1476"/>
      <c r="AD59" s="380"/>
      <c r="AE59" s="380"/>
      <c r="AF59" s="380"/>
      <c r="AG59" s="380"/>
      <c r="AH59" s="380"/>
      <c r="AI59" s="380"/>
      <c r="AJ59" s="380"/>
      <c r="AK59" s="380"/>
      <c r="AL59" s="380"/>
      <c r="AM59" s="380"/>
      <c r="AN59" s="380"/>
      <c r="AO59" s="380"/>
      <c r="AP59" s="380"/>
      <c r="AQ59" s="380"/>
      <c r="AR59" s="380"/>
      <c r="AS59" s="380"/>
      <c r="AT59" s="380"/>
      <c r="AU59" s="380"/>
      <c r="AV59" s="380"/>
      <c r="AW59" s="380"/>
      <c r="AX59" s="380"/>
      <c r="AY59" s="380"/>
      <c r="AZ59" s="380"/>
      <c r="BA59" s="380"/>
      <c r="BB59" s="380"/>
      <c r="BC59" s="380"/>
      <c r="BD59" s="380"/>
      <c r="BE59" s="380"/>
      <c r="BF59" s="380"/>
      <c r="BG59" s="380"/>
      <c r="BH59" s="380"/>
      <c r="BI59" s="380"/>
      <c r="BJ59" s="380"/>
      <c r="BK59" s="380"/>
      <c r="BL59" s="380"/>
      <c r="BM59" s="380"/>
      <c r="BN59" s="380"/>
      <c r="BO59" s="380"/>
      <c r="BP59" s="347"/>
    </row>
    <row customHeight="1" ht="11.25">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Q60" s="227"/>
    </row>
  </sheetData>
  <sheetProtection formatColumns="0" formatRows="0" insertRows="0" deleteColumns="0" deleteRows="0" sort="0" autoFilter="0" insertColumns="1"/>
  <mergeCells count="17">
    <mergeCell ref="X27:X35"/>
    <mergeCell ref="Z27:Z35"/>
    <mergeCell ref="AB56:BP56"/>
    <mergeCell ref="AB57:BP57"/>
    <mergeCell ref="AB59:AC59"/>
    <mergeCell ref="BP24:BP25"/>
    <mergeCell ref="BD25:BM25"/>
    <mergeCell ref="AB58:BP58"/>
    <mergeCell ref="AB24:AB25"/>
    <mergeCell ref="AC24:AC25"/>
    <mergeCell ref="AD24:AD25"/>
    <mergeCell ref="BN24:BN25"/>
    <mergeCell ref="BO24:BO25"/>
    <mergeCell ref="X36:X44"/>
    <mergeCell ref="Z36:Z44"/>
    <mergeCell ref="X45:X53"/>
    <mergeCell ref="Z45:Z53"/>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6DC328-E0E2-BB8D-6719-809E34754A98}" mc:Ignorable="x14ac xr xr2 xr3">
  <sheetPr>
    <tabColor rgb="FF92D050"/>
    <outlinePr summaryRight="0" summaryBelow="0"/>
    <pageSetUpPr fitToPage="1"/>
  </sheetPr>
  <dimension ref="A1:BS93"/>
  <sheetViews>
    <sheetView showGridLines="0" workbookViewId="0">
      <pane xSplit="30" ySplit="25" topLeftCell="AJ47" activePane="bottomRight" state="frozen"/>
      <selection pane="bottomLeft" activeCell="A26" sqref="A26"/>
      <selection pane="topRight" activeCell="AE1" sqref="AE1"/>
      <selection pane="bottomRight" activeCell="AJ76" sqref="AJ76:AX78"/>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376</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377</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430</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431</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432</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390</v>
      </c>
      <c r="AC24" s="1544" t="s">
        <v>433</v>
      </c>
      <c r="AD24" s="1544" t="s">
        <v>434</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1288</v>
      </c>
      <c r="BO24" s="1543" t="s">
        <v>587</v>
      </c>
      <c r="BP24" s="1543" t="s">
        <v>1289</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407</v>
      </c>
      <c r="AF25" s="1355" t="s">
        <v>588</v>
      </c>
      <c r="AG25" s="166" t="s">
        <v>589</v>
      </c>
      <c r="AH25" s="258" t="s">
        <v>1290</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1291</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T27" s="805">
        <f>X27&gt;0</f>
        <v>0</v>
      </c>
      <c r="V27" s="172" t="s">
        <v>309</v>
      </c>
      <c r="X27" s="172">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1350</v>
      </c>
      <c r="K28" s="227" t="str">
        <f>F28&amp;"komm"</f>
        <v>0komm</v>
      </c>
      <c r="L28" s="226" cm="1" t="str">
        <f t="array" ref="L28:L28">BO28</f>
        <v>0</v>
      </c>
      <c r="T28" s="805" cm="1" t="str">
        <f t="array" ref="T28:T28">T27</f>
        <v>false</v>
      </c>
      <c r="AB28" s="1545" t="s">
        <v>1351</v>
      </c>
      <c r="AC28" s="1546"/>
      <c r="AD28" s="302" t="s">
        <v>805</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3"/>
      <c r="BO28" s="73"/>
      <c r="BP28" s="73"/>
      <c r="BS28" s="1181" t="s">
        <v>1352</v>
      </c>
    </row>
    <row customHeight="1" ht="27.105" hidden="1">
      <c r="E29" s="794">
        <v>27.8</v>
      </c>
      <c r="F29" s="919" cm="1" t="str">
        <f t="array" ref="F29:F29">OFFSET(G29,-1,-1)</f>
        <v>0</v>
      </c>
      <c r="G29" s="190" t="s">
        <v>1179</v>
      </c>
      <c r="T29" s="805" cm="1" t="str">
        <f t="array" ref="T29:T29">T28</f>
        <v>false</v>
      </c>
      <c r="AB29" s="157" t="s">
        <v>442</v>
      </c>
      <c r="AC29" s="164" t="s">
        <v>47</v>
      </c>
      <c r="AD29" s="157" t="s">
        <v>805</v>
      </c>
      <c r="AE29" s="612">
        <f>_xlfn.SUMIFS('Покупка услуг'!AE$26:AE$87,'Покупка услуг'!$F$26:$F$87,$F29,'Покупка услуг'!$G$26:$G$87,$G29)</f>
        <v>0</v>
      </c>
      <c r="AF29" s="612">
        <f>_xlfn.SUMIFS('Покупка услуг'!AF$26:AF$87,'Покупка услуг'!$F$26:$F$87,$F29,'Покупка услуг'!$G$26:$G$87,$G29)</f>
        <v>0</v>
      </c>
      <c r="AG29" s="121">
        <f>_xlfn.SUMIFS('Покупка услуг'!AG$26:AG$87,'Покупка услуг'!$F$26:$F$87,$F29,'Покупка услуг'!$G$26:$G$87,$G29)</f>
        <v>0</v>
      </c>
      <c r="AH29" s="307">
        <f>AG29-AF29</f>
        <v>0</v>
      </c>
      <c r="AI29" s="612">
        <f>_xlfn.SUMIFS('Покупка услуг'!AH$26:AH$87,'Покупка услуг'!$F$26:$F$87,$F29,'Покупка услуг'!$G$26:$G$87,$G29)</f>
        <v>0</v>
      </c>
      <c r="AJ29" s="612">
        <f>_xlfn.SUMIFS('Покупка услуг'!AI$26:AI$87,'Покупка услуг'!$F$26:$F$87,$F29,'Покупка услуг'!$G$26:$G$87,$G29)</f>
        <v>0</v>
      </c>
      <c r="AK29" s="612">
        <f>_xlfn.SUMIFS('Покупка услуг'!AJ$26:AJ$87,'Покупка услуг'!$F$26:$F$87,$F29,'Покупка услуг'!$G$26:$G$87,$G29)</f>
        <v>0</v>
      </c>
      <c r="AL29" s="612">
        <f>_xlfn.SUMIFS('Покупка услуг'!AK$26:AK$87,'Покупка услуг'!$F$26:$F$87,$F29,'Покупка услуг'!$G$26:$G$87,$G29)</f>
        <v>0</v>
      </c>
      <c r="AM29" s="612">
        <f>_xlfn.SUMIFS('Покупка услуг'!AL$26:AL$87,'Покупка услуг'!$F$26:$F$87,$F29,'Покупка услуг'!$G$26:$G$87,$G29)</f>
        <v>0</v>
      </c>
      <c r="AN29" s="612">
        <f>_xlfn.SUMIFS('Покупка услуг'!AM$26:AM$87,'Покупка услуг'!$F$26:$F$87,$F29,'Покупка услуг'!$G$26:$G$87,$G29)</f>
        <v>0</v>
      </c>
      <c r="AO29" s="612">
        <f>_xlfn.SUMIFS('Покупка услуг'!AN$26:AN$87,'Покупка услуг'!$F$26:$F$87,$F29,'Покупка услуг'!$G$26:$G$87,$G29)</f>
        <v>0</v>
      </c>
      <c r="AP29" s="612">
        <f>_xlfn.SUMIFS('Покупка услуг'!AO$26:AO$87,'Покупка услуг'!$F$26:$F$87,$F29,'Покупка услуг'!$G$26:$G$87,$G29)</f>
        <v>0</v>
      </c>
      <c r="AQ29" s="612">
        <f>_xlfn.SUMIFS('Покупка услуг'!AP$26:AP$87,'Покупка услуг'!$F$26:$F$87,$F29,'Покупка услуг'!$G$26:$G$87,$G29)</f>
        <v>0</v>
      </c>
      <c r="AR29" s="612">
        <f>_xlfn.SUMIFS('Покупка услуг'!AQ$26:AQ$87,'Покупка услуг'!$F$26:$F$87,$F29,'Покупка услуг'!$G$26:$G$87,$G29)</f>
        <v>0</v>
      </c>
      <c r="AS29" s="612">
        <f>_xlfn.SUMIFS('Покупка услуг'!AR$26:AR$87,'Покупка услуг'!$F$26:$F$87,$F29,'Покупка услуг'!$G$26:$G$87,$G29)</f>
        <v>0</v>
      </c>
      <c r="AT29" s="612">
        <f>_xlfn.SUMIFS('Покупка услуг'!AS$26:AS$87,'Покупка услуг'!$F$26:$F$87,$F29,'Покупка услуг'!$G$26:$G$87,$G29)</f>
        <v>0</v>
      </c>
      <c r="AU29" s="612">
        <f>_xlfn.SUMIFS('Покупка услуг'!AT$26:AT$87,'Покупка услуг'!$F$26:$F$87,$F29,'Покупка услуг'!$G$26:$G$87,$G29)</f>
        <v>0</v>
      </c>
      <c r="AV29" s="612">
        <f>_xlfn.SUMIFS('Покупка услуг'!AU$26:AU$87,'Покупка услуг'!$F$26:$F$87,$F29,'Покупка услуг'!$G$26:$G$87,$G29)</f>
        <v>0</v>
      </c>
      <c r="AW29" s="612">
        <f>_xlfn.SUMIFS('Покупка услуг'!AV$26:AV$87,'Покупка услуг'!$F$26:$F$87,$F29,'Покупка услуг'!$G$26:$G$87,$G29)</f>
        <v>0</v>
      </c>
      <c r="AX29" s="612">
        <f>_xlfn.SUMIFS('Покупка услуг'!AW$26:AW$87,'Покупка услуг'!$F$26:$F$87,$F29,'Покупка услуг'!$G$26:$G$87,$G29)</f>
        <v>0</v>
      </c>
      <c r="AY29" s="612">
        <f>_xlfn.SUMIFS('Покупка услуг'!AX$26:AX$87,'Покупка услуг'!$F$26:$F$87,$F29,'Покупка услуг'!$G$26:$G$87,$G29)</f>
        <v>0</v>
      </c>
      <c r="AZ29" s="612">
        <f>_xlfn.SUMIFS('Покупка услуг'!AY$26:AY$87,'Покупка услуг'!$F$26:$F$87,$F29,'Покупка услуг'!$G$26:$G$87,$G29)</f>
        <v>0</v>
      </c>
      <c r="BA29" s="612">
        <f>_xlfn.SUMIFS('Покупка услуг'!AZ$26:AZ$87,'Покупка услуг'!$F$26:$F$87,$F29,'Покупка услуг'!$G$26:$G$87,$G29)</f>
        <v>0</v>
      </c>
      <c r="BB29" s="612">
        <f>_xlfn.SUMIFS('Покупка услуг'!BA$26:BA$87,'Покупка услуг'!$F$26:$F$87,$F29,'Покупка услуг'!$G$26:$G$87,$G29)</f>
        <v>0</v>
      </c>
      <c r="BC29" s="612">
        <f>_xlfn.SUMIFS('Покупка услуг'!BB$26:BB$87,'Покупка услуг'!$F$26:$F$87,$F29,'Покупка услуг'!$G$26:$G$87,$G29)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181" t="s">
        <v>1353</v>
      </c>
    </row>
    <row customHeight="1" ht="14.625" hidden="1">
      <c r="E30" s="794">
        <v>15</v>
      </c>
      <c r="F30" s="919" cm="1" t="str">
        <f t="array" ref="F30:F30">OFFSET(G30,-1,-1)</f>
        <v>0</v>
      </c>
      <c r="G30" s="736" t="s">
        <v>1155</v>
      </c>
      <c r="T30" s="805" cm="1" t="str">
        <f t="array" ref="T30:T30">T29</f>
        <v>false</v>
      </c>
      <c r="AB30" s="157" t="s">
        <v>931</v>
      </c>
      <c r="AC30" s="164" t="s">
        <v>1354</v>
      </c>
      <c r="AD30" s="157" t="s">
        <v>805</v>
      </c>
      <c r="AE30" s="307">
        <f>_xlfn.SUMIFS(Аренда!AE$26:AE$63,Аренда!$F$26:$F$63,$F30,Аренда!$G$26:$G$63,$G30)</f>
        <v>0</v>
      </c>
      <c r="AF30" s="307">
        <f>_xlfn.SUMIFS(Аренда!AF$26:AF$63,Аренда!$F$26:$F$63,$F30,Аренда!$G$26:$G$63,$G30)</f>
        <v>0</v>
      </c>
      <c r="AG30" s="98">
        <f>_xlfn.SUMIFS(Аренда!AG$26:AG$63,Аренда!$F$26:$F$63,$F30,Аренда!$G$26:$G$63,$G30)</f>
        <v>0</v>
      </c>
      <c r="AH30" s="307">
        <f>AG30-AF30</f>
        <v>0</v>
      </c>
      <c r="AI30" s="307">
        <f>_xlfn.SUMIFS(Аренда!AH$26:AH$63,Аренда!$F$26:$F$63,$F30,Аренда!$G$26:$G$63,$G30)</f>
        <v>0</v>
      </c>
      <c r="AJ30" s="307">
        <f>_xlfn.SUMIFS(Аренда!AI$26:AI$63,Аренда!$F$26:$F$63,$F30,Аренда!$G$26:$G$63,$G30)</f>
        <v>0</v>
      </c>
      <c r="AK30" s="307">
        <f>_xlfn.SUMIFS(Аренда!AJ$26:AJ$63,Аренда!$F$26:$F$63,$F30,Аренда!$G$26:$G$63,$G30)</f>
        <v>0</v>
      </c>
      <c r="AL30" s="307">
        <f>_xlfn.SUMIFS(Аренда!AK$26:AK$63,Аренда!$F$26:$F$63,$F30,Аренда!$G$26:$G$63,$G30)</f>
        <v>0</v>
      </c>
      <c r="AM30" s="307">
        <f>_xlfn.SUMIFS(Аренда!AL$26:AL$63,Аренда!$F$26:$F$63,$F30,Аренда!$G$26:$G$63,$G30)</f>
        <v>0</v>
      </c>
      <c r="AN30" s="307">
        <f>_xlfn.SUMIFS(Аренда!AM$26:AM$63,Аренда!$F$26:$F$63,$F30,Аренда!$G$26:$G$63,$G30)</f>
        <v>0</v>
      </c>
      <c r="AO30" s="307">
        <f>_xlfn.SUMIFS(Аренда!AN$26:AN$63,Аренда!$F$26:$F$63,$F30,Аренда!$G$26:$G$63,$G30)</f>
        <v>0</v>
      </c>
      <c r="AP30" s="307">
        <f>_xlfn.SUMIFS(Аренда!AO$26:AO$63,Аренда!$F$26:$F$63,$F30,Аренда!$G$26:$G$63,$G30)</f>
        <v>0</v>
      </c>
      <c r="AQ30" s="307">
        <f>_xlfn.SUMIFS(Аренда!AP$26:AP$63,Аренда!$F$26:$F$63,$F30,Аренда!$G$26:$G$63,$G30)</f>
        <v>0</v>
      </c>
      <c r="AR30" s="307">
        <f>_xlfn.SUMIFS(Аренда!AQ$26:AQ$63,Аренда!$F$26:$F$63,$F30,Аренда!$G$26:$G$63,$G30)</f>
        <v>0</v>
      </c>
      <c r="AS30" s="307">
        <f>_xlfn.SUMIFS(Аренда!AR$26:AR$63,Аренда!$F$26:$F$63,$F30,Аренда!$G$26:$G$63,$G30)</f>
        <v>0</v>
      </c>
      <c r="AT30" s="307">
        <f>_xlfn.SUMIFS(Аренда!AS$26:AS$63,Аренда!$F$26:$F$63,$F30,Аренда!$G$26:$G$63,$G30)</f>
        <v>0</v>
      </c>
      <c r="AU30" s="307">
        <f>_xlfn.SUMIFS(Аренда!AT$26:AT$63,Аренда!$F$26:$F$63,$F30,Аренда!$G$26:$G$63,$G30)</f>
        <v>0</v>
      </c>
      <c r="AV30" s="307">
        <f>_xlfn.SUMIFS(Аренда!AU$26:AU$63,Аренда!$F$26:$F$63,$F30,Аренда!$G$26:$G$63,$G30)</f>
        <v>0</v>
      </c>
      <c r="AW30" s="307">
        <f>_xlfn.SUMIFS(Аренда!AV$26:AV$63,Аренда!$F$26:$F$63,$F30,Аренда!$G$26:$G$63,$G30)</f>
        <v>0</v>
      </c>
      <c r="AX30" s="307">
        <f>_xlfn.SUMIFS(Аренда!AW$26:AW$63,Аренда!$F$26:$F$63,$F30,Аренда!$G$26:$G$63,$G30)</f>
        <v>0</v>
      </c>
      <c r="AY30" s="307">
        <f>_xlfn.SUMIFS(Аренда!AX$26:AX$63,Аренда!$F$26:$F$63,$F30,Аренда!$G$26:$G$63,$G30)</f>
        <v>0</v>
      </c>
      <c r="AZ30" s="307">
        <f>_xlfn.SUMIFS(Аренда!AY$26:AY$63,Аренда!$F$26:$F$63,$F30,Аренда!$G$26:$G$63,$G30)</f>
        <v>0</v>
      </c>
      <c r="BA30" s="307">
        <f>_xlfn.SUMIFS(Аренда!AZ$26:AZ$63,Аренда!$F$26:$F$63,$F30,Аренда!$G$26:$G$63,$G30)</f>
        <v>0</v>
      </c>
      <c r="BB30" s="307">
        <f>_xlfn.SUMIFS(Аренда!BA$26:BA$63,Аренда!$F$26:$F$63,$F30,Аренда!$G$26:$G$63,$G30)</f>
        <v>0</v>
      </c>
      <c r="BC30" s="307">
        <f>_xlfn.SUMIFS(Аренда!BB$26:BB$63,Аренда!$F$26:$F$63,$F30,Аренда!$G$26:$G$63,$G30)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181" t="s">
        <v>1158</v>
      </c>
    </row>
    <row customHeight="1" ht="14.625" hidden="1">
      <c r="E31" s="794">
        <v>15</v>
      </c>
      <c r="F31" s="919" cm="1" t="str">
        <f t="array" ref="F31:F31">OFFSET(G31,-1,-1)</f>
        <v>0</v>
      </c>
      <c r="G31" s="190" t="s">
        <v>1159</v>
      </c>
      <c r="T31" s="805" cm="1" t="str">
        <f t="array" ref="T31:T31">T30</f>
        <v>false</v>
      </c>
      <c r="AB31" s="157" t="s">
        <v>933</v>
      </c>
      <c r="AC31" s="164" t="s">
        <v>1160</v>
      </c>
      <c r="AD31" s="157" t="s">
        <v>805</v>
      </c>
      <c r="AE31" s="307">
        <f>_xlfn.SUMIFS(Аренда!AE$26:AE$63,Аренда!$F$26:$F$63,$F31,Аренда!$G$26:$G$63,$G31)</f>
        <v>0</v>
      </c>
      <c r="AF31" s="307">
        <f>_xlfn.SUMIFS(Аренда!AF$26:AF$63,Аренда!$F$26:$F$63,$F31,Аренда!$G$26:$G$63,$G31)</f>
        <v>0</v>
      </c>
      <c r="AG31" s="98">
        <f>_xlfn.SUMIFS(Аренда!AG$26:AG$63,Аренда!$F$26:$F$63,$F31,Аренда!$G$26:$G$63,$G31)</f>
        <v>0</v>
      </c>
      <c r="AH31" s="307">
        <f>AG31-AF31</f>
        <v>0</v>
      </c>
      <c r="AI31" s="307">
        <f>_xlfn.SUMIFS(Аренда!AH$26:AH$63,Аренда!$F$26:$F$63,$F31,Аренда!$G$26:$G$63,$G31)</f>
        <v>0</v>
      </c>
      <c r="AJ31" s="307">
        <f>_xlfn.SUMIFS(Аренда!AI$26:AI$63,Аренда!$F$26:$F$63,$F31,Аренда!$G$26:$G$63,$G31)</f>
        <v>0</v>
      </c>
      <c r="AK31" s="307">
        <f>_xlfn.SUMIFS(Аренда!AJ$26:AJ$63,Аренда!$F$26:$F$63,$F31,Аренда!$G$26:$G$63,$G31)</f>
        <v>0</v>
      </c>
      <c r="AL31" s="307">
        <f>_xlfn.SUMIFS(Аренда!AK$26:AK$63,Аренда!$F$26:$F$63,$F31,Аренда!$G$26:$G$63,$G31)</f>
        <v>0</v>
      </c>
      <c r="AM31" s="307">
        <f>_xlfn.SUMIFS(Аренда!AL$26:AL$63,Аренда!$F$26:$F$63,$F31,Аренда!$G$26:$G$63,$G31)</f>
        <v>0</v>
      </c>
      <c r="AN31" s="307">
        <f>_xlfn.SUMIFS(Аренда!AM$26:AM$63,Аренда!$F$26:$F$63,$F31,Аренда!$G$26:$G$63,$G31)</f>
        <v>0</v>
      </c>
      <c r="AO31" s="307">
        <f>_xlfn.SUMIFS(Аренда!AN$26:AN$63,Аренда!$F$26:$F$63,$F31,Аренда!$G$26:$G$63,$G31)</f>
        <v>0</v>
      </c>
      <c r="AP31" s="307">
        <f>_xlfn.SUMIFS(Аренда!AO$26:AO$63,Аренда!$F$26:$F$63,$F31,Аренда!$G$26:$G$63,$G31)</f>
        <v>0</v>
      </c>
      <c r="AQ31" s="307">
        <f>_xlfn.SUMIFS(Аренда!AP$26:AP$63,Аренда!$F$26:$F$63,$F31,Аренда!$G$26:$G$63,$G31)</f>
        <v>0</v>
      </c>
      <c r="AR31" s="307">
        <f>_xlfn.SUMIFS(Аренда!AQ$26:AQ$63,Аренда!$F$26:$F$63,$F31,Аренда!$G$26:$G$63,$G31)</f>
        <v>0</v>
      </c>
      <c r="AS31" s="307">
        <f>_xlfn.SUMIFS(Аренда!AR$26:AR$63,Аренда!$F$26:$F$63,$F31,Аренда!$G$26:$G$63,$G31)</f>
        <v>0</v>
      </c>
      <c r="AT31" s="307">
        <f>_xlfn.SUMIFS(Аренда!AS$26:AS$63,Аренда!$F$26:$F$63,$F31,Аренда!$G$26:$G$63,$G31)</f>
        <v>0</v>
      </c>
      <c r="AU31" s="307">
        <f>_xlfn.SUMIFS(Аренда!AT$26:AT$63,Аренда!$F$26:$F$63,$F31,Аренда!$G$26:$G$63,$G31)</f>
        <v>0</v>
      </c>
      <c r="AV31" s="307">
        <f>_xlfn.SUMIFS(Аренда!AU$26:AU$63,Аренда!$F$26:$F$63,$F31,Аренда!$G$26:$G$63,$G31)</f>
        <v>0</v>
      </c>
      <c r="AW31" s="307">
        <f>_xlfn.SUMIFS(Аренда!AV$26:AV$63,Аренда!$F$26:$F$63,$F31,Аренда!$G$26:$G$63,$G31)</f>
        <v>0</v>
      </c>
      <c r="AX31" s="307">
        <f>_xlfn.SUMIFS(Аренда!AW$26:AW$63,Аренда!$F$26:$F$63,$F31,Аренда!$G$26:$G$63,$G31)</f>
        <v>0</v>
      </c>
      <c r="AY31" s="307">
        <f>_xlfn.SUMIFS(Аренда!AX$26:AX$63,Аренда!$F$26:$F$63,$F31,Аренда!$G$26:$G$63,$G31)</f>
        <v>0</v>
      </c>
      <c r="AZ31" s="307">
        <f>_xlfn.SUMIFS(Аренда!AY$26:AY$63,Аренда!$F$26:$F$63,$F31,Аренда!$G$26:$G$63,$G31)</f>
        <v>0</v>
      </c>
      <c r="BA31" s="307">
        <f>_xlfn.SUMIFS(Аренда!AZ$26:AZ$63,Аренда!$F$26:$F$63,$F31,Аренда!$G$26:$G$63,$G31)</f>
        <v>0</v>
      </c>
      <c r="BB31" s="307">
        <f>_xlfn.SUMIFS(Аренда!BA$26:BA$63,Аренда!$F$26:$F$63,$F31,Аренда!$G$26:$G$63,$G31)</f>
        <v>0</v>
      </c>
      <c r="BC31" s="307">
        <f>_xlfn.SUMIFS(Аренда!BB$26:BB$63,Аренда!$F$26:$F$63,$F31,Аренда!$G$26:$G$63,$G31)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181" t="s">
        <v>1355</v>
      </c>
    </row>
    <row customHeight="1" ht="14.625" hidden="1">
      <c r="E32" s="794">
        <v>15</v>
      </c>
      <c r="F32" s="919" cm="1" t="str">
        <f t="array" ref="F32:F32">OFFSET(G32,-1,-1)</f>
        <v>0</v>
      </c>
      <c r="T32" s="805" cm="1" t="str">
        <f t="array" ref="T32:T32">T31</f>
        <v>false</v>
      </c>
      <c r="AB32" s="157" t="s">
        <v>937</v>
      </c>
      <c r="AC32" s="164" t="s">
        <v>1356</v>
      </c>
      <c r="AD32" s="157" t="s">
        <v>805</v>
      </c>
      <c r="AE32" s="612">
        <f>SUM(AE33:AE35)</f>
        <v>0</v>
      </c>
      <c r="AF32" s="612">
        <f>SUM(AF33:AF35)</f>
        <v>0</v>
      </c>
      <c r="AG32" s="121">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181" t="s">
        <v>1357</v>
      </c>
    </row>
    <row customHeight="1" ht="39.4875" hidden="1">
      <c r="E33" s="794">
        <v>40.5</v>
      </c>
      <c r="F33" s="919" cm="1" t="str">
        <f t="array" ref="F33:F33">OFFSET(G33,-1,-1)</f>
        <v>0</v>
      </c>
      <c r="G33" s="190" t="s">
        <v>1245</v>
      </c>
      <c r="T33" s="805" cm="1" t="str">
        <f t="array" ref="T33:T33">T32</f>
        <v>false</v>
      </c>
      <c r="AB33" s="157" t="s">
        <v>1027</v>
      </c>
      <c r="AC33" s="164" t="s">
        <v>1246</v>
      </c>
      <c r="AD33" s="157" t="s">
        <v>805</v>
      </c>
      <c r="AE33" s="612">
        <f>_xlfn.SUMIFS(Налоги!AE$26:AE$69,Налоги!$F$26:$F$69,$F33,Налоги!$G$26:$G$69,$G33)</f>
        <v>0</v>
      </c>
      <c r="AF33" s="612">
        <f>_xlfn.SUMIFS(Налоги!AF$26:AF$69,Налоги!$F$26:$F$69,$F33,Налоги!$G$26:$G$69,$G33)</f>
        <v>0</v>
      </c>
      <c r="AG33" s="121">
        <f>_xlfn.SUMIFS(Налоги!AG$26:AG$69,Налоги!$F$26:$F$69,$F33,Налоги!$G$26:$G$69,$G33)</f>
        <v>0</v>
      </c>
      <c r="AH33" s="307">
        <f>AG33-AF33</f>
        <v>0</v>
      </c>
      <c r="AI33" s="612">
        <f>_xlfn.SUMIFS(Налоги!AH$26:AH$69,Налоги!$F$26:$F$69,$F33,Налоги!$G$26:$G$69,$G33)</f>
        <v>0</v>
      </c>
      <c r="AJ33" s="612">
        <f>_xlfn.SUMIFS(Налоги!AI$26:AI$69,Налоги!$F$26:$F$69,$F33,Налоги!$G$26:$G$69,$G33)</f>
        <v>0</v>
      </c>
      <c r="AK33" s="612">
        <f>_xlfn.SUMIFS(Налоги!AJ$26:AJ$69,Налоги!$F$26:$F$69,$F33,Налоги!$G$26:$G$69,$G33)</f>
        <v>0</v>
      </c>
      <c r="AL33" s="612">
        <f>_xlfn.SUMIFS(Налоги!AK$26:AK$69,Налоги!$F$26:$F$69,$F33,Налоги!$G$26:$G$69,$G33)</f>
        <v>0</v>
      </c>
      <c r="AM33" s="612">
        <f>_xlfn.SUMIFS(Налоги!AL$26:AL$69,Налоги!$F$26:$F$69,$F33,Налоги!$G$26:$G$69,$G33)</f>
        <v>0</v>
      </c>
      <c r="AN33" s="612">
        <f>_xlfn.SUMIFS(Налоги!AM$26:AM$69,Налоги!$F$26:$F$69,$F33,Налоги!$G$26:$G$69,$G33)</f>
        <v>0</v>
      </c>
      <c r="AO33" s="612">
        <f>_xlfn.SUMIFS(Налоги!AN$26:AN$69,Налоги!$F$26:$F$69,$F33,Налоги!$G$26:$G$69,$G33)</f>
        <v>0</v>
      </c>
      <c r="AP33" s="612">
        <f>_xlfn.SUMIFS(Налоги!AO$26:AO$69,Налоги!$F$26:$F$69,$F33,Налоги!$G$26:$G$69,$G33)</f>
        <v>0</v>
      </c>
      <c r="AQ33" s="612">
        <f>_xlfn.SUMIFS(Налоги!AP$26:AP$69,Налоги!$F$26:$F$69,$F33,Налоги!$G$26:$G$69,$G33)</f>
        <v>0</v>
      </c>
      <c r="AR33" s="612">
        <f>_xlfn.SUMIFS(Налоги!AQ$26:AQ$69,Налоги!$F$26:$F$69,$F33,Налоги!$G$26:$G$69,$G33)</f>
        <v>0</v>
      </c>
      <c r="AS33" s="612">
        <f>_xlfn.SUMIFS(Налоги!AR$26:AR$69,Налоги!$F$26:$F$69,$F33,Налоги!$G$26:$G$69,$G33)</f>
        <v>0</v>
      </c>
      <c r="AT33" s="612">
        <f>_xlfn.SUMIFS(Налоги!AS$26:AS$69,Налоги!$F$26:$F$69,$F33,Налоги!$G$26:$G$69,$G33)</f>
        <v>0</v>
      </c>
      <c r="AU33" s="612">
        <f>_xlfn.SUMIFS(Налоги!AT$26:AT$69,Налоги!$F$26:$F$69,$F33,Налоги!$G$26:$G$69,$G33)</f>
        <v>0</v>
      </c>
      <c r="AV33" s="612">
        <f>_xlfn.SUMIFS(Налоги!AU$26:AU$69,Налоги!$F$26:$F$69,$F33,Налоги!$G$26:$G$69,$G33)</f>
        <v>0</v>
      </c>
      <c r="AW33" s="612">
        <f>_xlfn.SUMIFS(Налоги!AV$26:AV$69,Налоги!$F$26:$F$69,$F33,Налоги!$G$26:$G$69,$G33)</f>
        <v>0</v>
      </c>
      <c r="AX33" s="612">
        <f>_xlfn.SUMIFS(Налоги!AW$26:AW$69,Налоги!$F$26:$F$69,$F33,Налоги!$G$26:$G$69,$G33)</f>
        <v>0</v>
      </c>
      <c r="AY33" s="612">
        <f>_xlfn.SUMIFS(Налоги!AX$26:AX$69,Налоги!$F$26:$F$69,$F33,Налоги!$G$26:$G$69,$G33)</f>
        <v>0</v>
      </c>
      <c r="AZ33" s="612">
        <f>_xlfn.SUMIFS(Налоги!AY$26:AY$69,Налоги!$F$26:$F$69,$F33,Налоги!$G$26:$G$69,$G33)</f>
        <v>0</v>
      </c>
      <c r="BA33" s="612">
        <f>_xlfn.SUMIFS(Налоги!AZ$26:AZ$69,Налоги!$F$26:$F$69,$F33,Налоги!$G$26:$G$69,$G33)</f>
        <v>0</v>
      </c>
      <c r="BB33" s="612">
        <f>_xlfn.SUMIFS(Налоги!BA$26:BA$69,Налоги!$F$26:$F$69,$F33,Налоги!$G$26:$G$69,$G33)</f>
        <v>0</v>
      </c>
      <c r="BC33" s="612">
        <f>_xlfn.SUMIFS(Налоги!BB$26:BB$69,Налоги!$F$26:$F$69,$F33,Налоги!$G$26:$G$69,$G33)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181" t="s">
        <v>1358</v>
      </c>
    </row>
    <row s="232" customFormat="1" customHeight="1" ht="14.625" hidden="1">
      <c r="E34" s="794">
        <v>15</v>
      </c>
      <c r="F34" s="919" cm="1" t="str">
        <f t="array" ref="F34:F34">OFFSET(G34,-1,-1)</f>
        <v>0</v>
      </c>
      <c r="G34" s="190" t="s">
        <v>1252</v>
      </c>
      <c r="T34" s="805" cm="1" t="str">
        <f t="array" ref="T34:T34">T33</f>
        <v>false</v>
      </c>
      <c r="AB34" s="157" t="s">
        <v>1030</v>
      </c>
      <c r="AC34" s="164" t="s">
        <v>1359</v>
      </c>
      <c r="AD34" s="157" t="s">
        <v>805</v>
      </c>
      <c r="AE34" s="612">
        <f>_xlfn.SUMIFS(Налоги!AE$26:AE$69,Налоги!$F$26:$F$69,$F34,Налоги!$G$26:$G$69,$G34)</f>
        <v>0</v>
      </c>
      <c r="AF34" s="612">
        <f>_xlfn.SUMIFS(Налоги!AF$26:AF$69,Налоги!$F$26:$F$69,$F34,Налоги!$G$26:$G$69,$G34)</f>
        <v>0</v>
      </c>
      <c r="AG34" s="121">
        <f>_xlfn.SUMIFS(Налоги!AG$26:AG$69,Налоги!$F$26:$F$69,$F34,Налоги!$G$26:$G$69,$G34)</f>
        <v>0</v>
      </c>
      <c r="AH34" s="307">
        <f>AG34-AF34</f>
        <v>0</v>
      </c>
      <c r="AI34" s="612">
        <f>_xlfn.SUMIFS(Налоги!AH$26:AH$69,Налоги!$F$26:$F$69,$F34,Налоги!$G$26:$G$69,$G34)</f>
        <v>0</v>
      </c>
      <c r="AJ34" s="612">
        <f>_xlfn.SUMIFS(Налоги!AI$26:AI$69,Налоги!$F$26:$F$69,$F34,Налоги!$G$26:$G$69,$G34)</f>
        <v>0</v>
      </c>
      <c r="AK34" s="612">
        <f>_xlfn.SUMIFS(Налоги!AJ$26:AJ$69,Налоги!$F$26:$F$69,$F34,Налоги!$G$26:$G$69,$G34)</f>
        <v>0</v>
      </c>
      <c r="AL34" s="612">
        <f>_xlfn.SUMIFS(Налоги!AK$26:AK$69,Налоги!$F$26:$F$69,$F34,Налоги!$G$26:$G$69,$G34)</f>
        <v>0</v>
      </c>
      <c r="AM34" s="612">
        <f>_xlfn.SUMIFS(Налоги!AL$26:AL$69,Налоги!$F$26:$F$69,$F34,Налоги!$G$26:$G$69,$G34)</f>
        <v>0</v>
      </c>
      <c r="AN34" s="612">
        <f>_xlfn.SUMIFS(Налоги!AM$26:AM$69,Налоги!$F$26:$F$69,$F34,Налоги!$G$26:$G$69,$G34)</f>
        <v>0</v>
      </c>
      <c r="AO34" s="612">
        <f>_xlfn.SUMIFS(Налоги!AN$26:AN$69,Налоги!$F$26:$F$69,$F34,Налоги!$G$26:$G$69,$G34)</f>
        <v>0</v>
      </c>
      <c r="AP34" s="612">
        <f>_xlfn.SUMIFS(Налоги!AO$26:AO$69,Налоги!$F$26:$F$69,$F34,Налоги!$G$26:$G$69,$G34)</f>
        <v>0</v>
      </c>
      <c r="AQ34" s="612">
        <f>_xlfn.SUMIFS(Налоги!AP$26:AP$69,Налоги!$F$26:$F$69,$F34,Налоги!$G$26:$G$69,$G34)</f>
        <v>0</v>
      </c>
      <c r="AR34" s="612">
        <f>_xlfn.SUMIFS(Налоги!AQ$26:AQ$69,Налоги!$F$26:$F$69,$F34,Налоги!$G$26:$G$69,$G34)</f>
        <v>0</v>
      </c>
      <c r="AS34" s="612">
        <f>_xlfn.SUMIFS(Налоги!AR$26:AR$69,Налоги!$F$26:$F$69,$F34,Налоги!$G$26:$G$69,$G34)</f>
        <v>0</v>
      </c>
      <c r="AT34" s="612">
        <f>_xlfn.SUMIFS(Налоги!AS$26:AS$69,Налоги!$F$26:$F$69,$F34,Налоги!$G$26:$G$69,$G34)</f>
        <v>0</v>
      </c>
      <c r="AU34" s="612">
        <f>_xlfn.SUMIFS(Налоги!AT$26:AT$69,Налоги!$F$26:$F$69,$F34,Налоги!$G$26:$G$69,$G34)</f>
        <v>0</v>
      </c>
      <c r="AV34" s="612">
        <f>_xlfn.SUMIFS(Налоги!AU$26:AU$69,Налоги!$F$26:$F$69,$F34,Налоги!$G$26:$G$69,$G34)</f>
        <v>0</v>
      </c>
      <c r="AW34" s="612">
        <f>_xlfn.SUMIFS(Налоги!AV$26:AV$69,Налоги!$F$26:$F$69,$F34,Налоги!$G$26:$G$69,$G34)</f>
        <v>0</v>
      </c>
      <c r="AX34" s="612">
        <f>_xlfn.SUMIFS(Налоги!AW$26:AW$69,Налоги!$F$26:$F$69,$F34,Налоги!$G$26:$G$69,$G34)</f>
        <v>0</v>
      </c>
      <c r="AY34" s="612">
        <f>_xlfn.SUMIFS(Налоги!AX$26:AX$69,Налоги!$F$26:$F$69,$F34,Налоги!$G$26:$G$69,$G34)</f>
        <v>0</v>
      </c>
      <c r="AZ34" s="612">
        <f>_xlfn.SUMIFS(Налоги!AY$26:AY$69,Налоги!$F$26:$F$69,$F34,Налоги!$G$26:$G$69,$G34)</f>
        <v>0</v>
      </c>
      <c r="BA34" s="612">
        <f>_xlfn.SUMIFS(Налоги!AZ$26:AZ$69,Налоги!$F$26:$F$69,$F34,Налоги!$G$26:$G$69,$G34)</f>
        <v>0</v>
      </c>
      <c r="BB34" s="612">
        <f>_xlfn.SUMIFS(Налоги!BA$26:BA$69,Налоги!$F$26:$F$69,$F34,Налоги!$G$26:$G$69,$G34)</f>
        <v>0</v>
      </c>
      <c r="BC34" s="612">
        <f>_xlfn.SUMIFS(Налоги!BB$26:BB$69,Налоги!$F$26:$F$69,$F34,Налоги!$G$26:$G$69,$G34)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181" t="s">
        <v>1360</v>
      </c>
    </row>
    <row s="232" customFormat="1" customHeight="1" ht="14.625" hidden="1">
      <c r="E35" s="794">
        <v>15</v>
      </c>
      <c r="F35" s="919" cm="1" t="str">
        <f t="array" ref="F35:F35">OFFSET(G35,-1,-1)</f>
        <v>0</v>
      </c>
      <c r="G35" s="190" t="s">
        <v>1248</v>
      </c>
      <c r="T35" s="805" cm="1" t="str">
        <f t="array" ref="T35:T35">T34</f>
        <v>false</v>
      </c>
      <c r="AB35" s="157" t="s">
        <v>1033</v>
      </c>
      <c r="AC35" s="164" t="s">
        <v>1361</v>
      </c>
      <c r="AD35" s="157" t="s">
        <v>805</v>
      </c>
      <c r="AE35" s="612">
        <f>_xlfn.SUMIFS(Налоги!AE$26:AE$69,Налоги!$F$26:$F$69,$F35,Налоги!$G$26:$G$69,$G35)</f>
        <v>0</v>
      </c>
      <c r="AF35" s="612">
        <f>_xlfn.SUMIFS(Налоги!AF$26:AF$69,Налоги!$F$26:$F$69,$F35,Налоги!$G$26:$G$69,$G35)</f>
        <v>0</v>
      </c>
      <c r="AG35" s="121">
        <f>_xlfn.SUMIFS(Налоги!AG$26:AG$69,Налоги!$F$26:$F$69,$F35,Налоги!$G$26:$G$69,$G35)</f>
        <v>0</v>
      </c>
      <c r="AH35" s="307">
        <f>AG35-AF35</f>
        <v>0</v>
      </c>
      <c r="AI35" s="612">
        <f>_xlfn.SUMIFS(Налоги!AH$26:AH$69,Налоги!$F$26:$F$69,$F35,Налоги!$G$26:$G$69,$G35)</f>
        <v>0</v>
      </c>
      <c r="AJ35" s="612">
        <f>_xlfn.SUMIFS(Налоги!AI$26:AI$69,Налоги!$F$26:$F$69,$F35,Налоги!$G$26:$G$69,$G35)</f>
        <v>0</v>
      </c>
      <c r="AK35" s="612">
        <f>_xlfn.SUMIFS(Налоги!AJ$26:AJ$69,Налоги!$F$26:$F$69,$F35,Налоги!$G$26:$G$69,$G35)</f>
        <v>0</v>
      </c>
      <c r="AL35" s="612">
        <f>_xlfn.SUMIFS(Налоги!AK$26:AK$69,Налоги!$F$26:$F$69,$F35,Налоги!$G$26:$G$69,$G35)</f>
        <v>0</v>
      </c>
      <c r="AM35" s="612">
        <f>_xlfn.SUMIFS(Налоги!AL$26:AL$69,Налоги!$F$26:$F$69,$F35,Налоги!$G$26:$G$69,$G35)</f>
        <v>0</v>
      </c>
      <c r="AN35" s="612">
        <f>_xlfn.SUMIFS(Налоги!AM$26:AM$69,Налоги!$F$26:$F$69,$F35,Налоги!$G$26:$G$69,$G35)</f>
        <v>0</v>
      </c>
      <c r="AO35" s="612">
        <f>_xlfn.SUMIFS(Налоги!AN$26:AN$69,Налоги!$F$26:$F$69,$F35,Налоги!$G$26:$G$69,$G35)</f>
        <v>0</v>
      </c>
      <c r="AP35" s="612">
        <f>_xlfn.SUMIFS(Налоги!AO$26:AO$69,Налоги!$F$26:$F$69,$F35,Налоги!$G$26:$G$69,$G35)</f>
        <v>0</v>
      </c>
      <c r="AQ35" s="612">
        <f>_xlfn.SUMIFS(Налоги!AP$26:AP$69,Налоги!$F$26:$F$69,$F35,Налоги!$G$26:$G$69,$G35)</f>
        <v>0</v>
      </c>
      <c r="AR35" s="612">
        <f>_xlfn.SUMIFS(Налоги!AQ$26:AQ$69,Налоги!$F$26:$F$69,$F35,Налоги!$G$26:$G$69,$G35)</f>
        <v>0</v>
      </c>
      <c r="AS35" s="612">
        <f>_xlfn.SUMIFS(Налоги!AR$26:AR$69,Налоги!$F$26:$F$69,$F35,Налоги!$G$26:$G$69,$G35)</f>
        <v>0</v>
      </c>
      <c r="AT35" s="612">
        <f>_xlfn.SUMIFS(Налоги!AS$26:AS$69,Налоги!$F$26:$F$69,$F35,Налоги!$G$26:$G$69,$G35)</f>
        <v>0</v>
      </c>
      <c r="AU35" s="612">
        <f>_xlfn.SUMIFS(Налоги!AT$26:AT$69,Налоги!$F$26:$F$69,$F35,Налоги!$G$26:$G$69,$G35)</f>
        <v>0</v>
      </c>
      <c r="AV35" s="612">
        <f>_xlfn.SUMIFS(Налоги!AU$26:AU$69,Налоги!$F$26:$F$69,$F35,Налоги!$G$26:$G$69,$G35)</f>
        <v>0</v>
      </c>
      <c r="AW35" s="612">
        <f>_xlfn.SUMIFS(Налоги!AV$26:AV$69,Налоги!$F$26:$F$69,$F35,Налоги!$G$26:$G$69,$G35)</f>
        <v>0</v>
      </c>
      <c r="AX35" s="612">
        <f>_xlfn.SUMIFS(Налоги!AW$26:AW$69,Налоги!$F$26:$F$69,$F35,Налоги!$G$26:$G$69,$G35)</f>
        <v>0</v>
      </c>
      <c r="AY35" s="612">
        <f>_xlfn.SUMIFS(Налоги!AX$26:AX$69,Налоги!$F$26:$F$69,$F35,Налоги!$G$26:$G$69,$G35)</f>
        <v>0</v>
      </c>
      <c r="AZ35" s="612">
        <f>_xlfn.SUMIFS(Налоги!AY$26:AY$69,Налоги!$F$26:$F$69,$F35,Налоги!$G$26:$G$69,$G35)</f>
        <v>0</v>
      </c>
      <c r="BA35" s="612">
        <f>_xlfn.SUMIFS(Налоги!AZ$26:AZ$69,Налоги!$F$26:$F$69,$F35,Налоги!$G$26:$G$69,$G35)</f>
        <v>0</v>
      </c>
      <c r="BB35" s="612">
        <f>_xlfn.SUMIFS(Налоги!BA$26:BA$69,Налоги!$F$26:$F$69,$F35,Налоги!$G$26:$G$69,$G35)</f>
        <v>0</v>
      </c>
      <c r="BC35" s="612">
        <f>_xlfn.SUMIFS(Налоги!BB$26:BB$69,Налоги!$F$26:$F$69,$F35,Налоги!$G$26:$G$69,$G35)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3"/>
      <c r="BO35" s="73"/>
      <c r="BP35" s="73"/>
      <c r="BS35" s="1181" t="s">
        <v>1268</v>
      </c>
    </row>
    <row customHeight="1" ht="14.625" hidden="1">
      <c r="E36" s="794">
        <v>15</v>
      </c>
      <c r="F36" s="919" cm="1" t="str">
        <f t="array" ref="F36:F36">OFFSET(G36,-1,-1)</f>
        <v>0</v>
      </c>
      <c r="T36" s="805" cm="1" t="str">
        <f t="array" ref="T36:T36">T35</f>
        <v>false</v>
      </c>
      <c r="AB36" s="157" t="s">
        <v>1042</v>
      </c>
      <c r="AC36" s="164" t="s">
        <v>1362</v>
      </c>
      <c r="AD36" s="157" t="s">
        <v>805</v>
      </c>
      <c r="AE36" s="121"/>
      <c r="AF36" s="121"/>
      <c r="AG36" s="121"/>
      <c r="AH36" s="307">
        <f>AG36-AF36</f>
        <v>0</v>
      </c>
      <c r="AI36" s="121"/>
      <c r="AJ36" s="614"/>
      <c r="AK36" s="614"/>
      <c r="AL36" s="614"/>
      <c r="AM36" s="614"/>
      <c r="AN36" s="614"/>
      <c r="AO36" s="121"/>
      <c r="AP36" s="121"/>
      <c r="AQ36" s="121"/>
      <c r="AR36" s="121"/>
      <c r="AS36" s="121"/>
      <c r="AT36" s="614"/>
      <c r="AU36" s="614"/>
      <c r="AV36" s="614"/>
      <c r="AW36" s="614"/>
      <c r="AX36" s="614"/>
      <c r="AY36" s="121"/>
      <c r="AZ36" s="121"/>
      <c r="BA36" s="121"/>
      <c r="BB36" s="121"/>
      <c r="BC36" s="121"/>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3"/>
      <c r="BO36" s="73"/>
      <c r="BP36" s="73"/>
      <c r="BS36" s="1181" t="s">
        <v>1363</v>
      </c>
    </row>
    <row customHeight="1" ht="14.625" hidden="1">
      <c r="E37" s="794">
        <v>15</v>
      </c>
      <c r="F37" s="919" cm="1" t="str">
        <f t="array" ref="F37:F37">OFFSET(G37,-1,-1)</f>
        <v>0</v>
      </c>
      <c r="T37" s="805" cm="1" t="str">
        <f t="array" ref="T37:T37">T36</f>
        <v>false</v>
      </c>
      <c r="AB37" s="157" t="s">
        <v>1364</v>
      </c>
      <c r="AC37" s="871" t="s">
        <v>1365</v>
      </c>
      <c r="AD37" s="157" t="s">
        <v>490</v>
      </c>
      <c r="AE37" s="117"/>
      <c r="AF37" s="117"/>
      <c r="AG37" s="117"/>
      <c r="AH37" s="307">
        <f>AG37-AF37</f>
        <v>0</v>
      </c>
      <c r="AI37" s="117"/>
      <c r="AJ37" s="1132"/>
      <c r="AK37" s="1132"/>
      <c r="AL37" s="1132"/>
      <c r="AM37" s="1132"/>
      <c r="AN37" s="1132"/>
      <c r="AO37" s="117"/>
      <c r="AP37" s="117"/>
      <c r="AQ37" s="117"/>
      <c r="AR37" s="117"/>
      <c r="AS37" s="117"/>
      <c r="AT37" s="1132"/>
      <c r="AU37" s="1132"/>
      <c r="AV37" s="1132"/>
      <c r="AW37" s="1132"/>
      <c r="AX37" s="1132"/>
      <c r="AY37" s="117"/>
      <c r="AZ37" s="117"/>
      <c r="BA37" s="117"/>
      <c r="BB37" s="117"/>
      <c r="BC37" s="117"/>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3"/>
      <c r="BO37" s="73"/>
      <c r="BP37" s="73"/>
      <c r="BS37" s="1181" t="s">
        <v>1366</v>
      </c>
    </row>
    <row customHeight="1" ht="14.625" hidden="1">
      <c r="E38" s="794">
        <v>15</v>
      </c>
      <c r="F38" s="919" cm="1" t="str">
        <f t="array" ref="F38:F38">OFFSET(G38,-1,-1)</f>
        <v>0</v>
      </c>
      <c r="T38" s="805" cm="1" t="str">
        <f t="array" ref="T38:T38">T36</f>
        <v>false</v>
      </c>
      <c r="AB38" s="157" t="s">
        <v>1045</v>
      </c>
      <c r="AC38" s="164" t="s">
        <v>1367</v>
      </c>
      <c r="AD38" s="157" t="s">
        <v>805</v>
      </c>
      <c r="AE38" s="121"/>
      <c r="AF38" s="121"/>
      <c r="AG38" s="121"/>
      <c r="AH38" s="307">
        <f>AG38-AF38</f>
        <v>0</v>
      </c>
      <c r="AI38" s="121"/>
      <c r="AJ38" s="614"/>
      <c r="AK38" s="614"/>
      <c r="AL38" s="614"/>
      <c r="AM38" s="614"/>
      <c r="AN38" s="614"/>
      <c r="AO38" s="121"/>
      <c r="AP38" s="121"/>
      <c r="AQ38" s="121"/>
      <c r="AR38" s="121"/>
      <c r="AS38" s="121"/>
      <c r="AT38" s="614"/>
      <c r="AU38" s="614"/>
      <c r="AV38" s="614"/>
      <c r="AW38" s="614"/>
      <c r="AX38" s="614"/>
      <c r="AY38" s="121"/>
      <c r="AZ38" s="121"/>
      <c r="BA38" s="121"/>
      <c r="BB38" s="121"/>
      <c r="BC38" s="121"/>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3"/>
      <c r="BO38" s="73"/>
      <c r="BP38" s="73"/>
      <c r="BS38" s="1181" t="s">
        <v>1368</v>
      </c>
    </row>
    <row customHeight="1" ht="14.625" hidden="1">
      <c r="E39" s="794">
        <v>15</v>
      </c>
      <c r="F39" s="919" cm="1" t="str">
        <f t="array" ref="F39:F39">OFFSET(G39,-1,-1)</f>
        <v>0</v>
      </c>
      <c r="G39" s="190" t="s">
        <v>1129</v>
      </c>
      <c r="T39" s="805" cm="1" t="str">
        <f t="array" ref="T39:T39">T38</f>
        <v>false</v>
      </c>
      <c r="AB39" s="157" t="s">
        <v>1048</v>
      </c>
      <c r="AC39" s="164" t="s">
        <v>1369</v>
      </c>
      <c r="AD39" s="157" t="s">
        <v>805</v>
      </c>
      <c r="AE39" s="612">
        <f>_xlfn.SUMIFS(Амортизация!AE$26:AE$324,Амортизация!$F$26:$F$324,$F39,Амортизация!$G$26:$G$324,$G39)</f>
        <v>0</v>
      </c>
      <c r="AF39" s="612">
        <f>_xlfn.SUMIFS(Амортизация!AF$26:AF$324,Амортизация!$F$26:$F$324,$F39,Амортизация!$G$26:$G$324,$G39)</f>
        <v>0</v>
      </c>
      <c r="AG39" s="121">
        <f>_xlfn.SUMIFS(Амортизация!AG$26:AG$324,Амортизация!$F$26:$F$324,$F39,Амортизация!$G$26:$G$324,$G39)</f>
        <v>0</v>
      </c>
      <c r="AH39" s="307">
        <f>AG39-AF39</f>
        <v>0</v>
      </c>
      <c r="AI39" s="612">
        <f>_xlfn.SUMIFS(Амортизация!AH$26:AH$324,Амортизация!$F$26:$F$324,$F39,Амортизация!$G$26:$G$324,$G39)</f>
        <v>0</v>
      </c>
      <c r="AJ39" s="612">
        <f>_xlfn.SUMIFS(Амортизация!AI$26:AI$324,Амортизация!$F$26:$F$324,$F39,Амортизация!$G$26:$G$324,$G39)</f>
        <v>0</v>
      </c>
      <c r="AK39" s="612">
        <f>_xlfn.SUMIFS(Амортизация!AJ$26:AJ$324,Амортизация!$F$26:$F$324,$F39,Амортизация!$G$26:$G$324,$G39)</f>
        <v>0</v>
      </c>
      <c r="AL39" s="612">
        <f>_xlfn.SUMIFS(Амортизация!AK$26:AK$324,Амортизация!$F$26:$F$324,$F39,Амортизация!$G$26:$G$324,$G39)</f>
        <v>0</v>
      </c>
      <c r="AM39" s="612">
        <f>_xlfn.SUMIFS(Амортизация!AL$26:AL$324,Амортизация!$F$26:$F$324,$F39,Амортизация!$G$26:$G$324,$G39)</f>
        <v>0</v>
      </c>
      <c r="AN39" s="612">
        <f>_xlfn.SUMIFS(Амортизация!AM$26:AM$324,Амортизация!$F$26:$F$324,$F39,Амортизация!$G$26:$G$324,$G39)</f>
        <v>0</v>
      </c>
      <c r="AO39" s="612">
        <f>_xlfn.SUMIFS(Амортизация!AN$26:AN$324,Амортизация!$F$26:$F$324,$F39,Амортизация!$G$26:$G$324,$G39)</f>
        <v>0</v>
      </c>
      <c r="AP39" s="612">
        <f>_xlfn.SUMIFS(Амортизация!AO$26:AO$324,Амортизация!$F$26:$F$324,$F39,Амортизация!$G$26:$G$324,$G39)</f>
        <v>0</v>
      </c>
      <c r="AQ39" s="612">
        <f>_xlfn.SUMIFS(Амортизация!AP$26:AP$324,Амортизация!$F$26:$F$324,$F39,Амортизация!$G$26:$G$324,$G39)</f>
        <v>0</v>
      </c>
      <c r="AR39" s="612">
        <f>_xlfn.SUMIFS(Амортизация!AQ$26:AQ$324,Амортизация!$F$26:$F$324,$F39,Амортизация!$G$26:$G$324,$G39)</f>
        <v>0</v>
      </c>
      <c r="AS39" s="612">
        <f>_xlfn.SUMIFS(Амортизация!AR$26:AR$324,Амортизация!$F$26:$F$324,$F39,Амортизация!$G$26:$G$324,$G39)</f>
        <v>0</v>
      </c>
      <c r="AT39" s="612">
        <f>_xlfn.SUMIFS(Амортизация!AS$26:AS$324,Амортизация!$F$26:$F$324,$F39,Амортизация!$G$26:$G$324,$G39)</f>
        <v>0</v>
      </c>
      <c r="AU39" s="612">
        <f>_xlfn.SUMIFS(Амортизация!AT$26:AT$324,Амортизация!$F$26:$F$324,$F39,Амортизация!$G$26:$G$324,$G39)</f>
        <v>0</v>
      </c>
      <c r="AV39" s="612">
        <f>_xlfn.SUMIFS(Амортизация!AU$26:AU$324,Амортизация!$F$26:$F$324,$F39,Амортизация!$G$26:$G$324,$G39)</f>
        <v>0</v>
      </c>
      <c r="AW39" s="612">
        <f>_xlfn.SUMIFS(Амортизация!AV$26:AV$324,Амортизация!$F$26:$F$324,$F39,Амортизация!$G$26:$G$324,$G39)</f>
        <v>0</v>
      </c>
      <c r="AX39" s="612">
        <f>_xlfn.SUMIFS(Амортизация!AW$26:AW$324,Амортизация!$F$26:$F$324,$F39,Амортизация!$G$26:$G$324,$G39)</f>
        <v>0</v>
      </c>
      <c r="AY39" s="612">
        <f>_xlfn.SUMIFS(Амортизация!AX$26:AX$324,Амортизация!$F$26:$F$324,$F39,Амортизация!$G$26:$G$324,$G39)</f>
        <v>0</v>
      </c>
      <c r="AZ39" s="612">
        <f>_xlfn.SUMIFS(Амортизация!AY$26:AY$324,Амортизация!$F$26:$F$324,$F39,Амортизация!$G$26:$G$324,$G39)</f>
        <v>0</v>
      </c>
      <c r="BA39" s="612">
        <f>_xlfn.SUMIFS(Амортизация!AZ$26:AZ$324,Амортизация!$F$26:$F$324,$F39,Амортизация!$G$26:$G$324,$G39)</f>
        <v>0</v>
      </c>
      <c r="BB39" s="612">
        <f>_xlfn.SUMIFS(Амортизация!BA$26:BA$324,Амортизация!$F$26:$F$324,$F39,Амортизация!$G$26:$G$324,$G39)</f>
        <v>0</v>
      </c>
      <c r="BC39" s="612">
        <f>_xlfn.SUMIFS(Амортизация!BB$26:BB$324,Амортизация!$F$26:$F$324,$F39,Амортизация!$G$26:$G$324,$G39)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3"/>
      <c r="BO39" s="73"/>
      <c r="BP39" s="73"/>
      <c r="BS39" s="1181" t="s">
        <v>1370</v>
      </c>
    </row>
    <row customHeight="1" ht="24.862499999999997" hidden="1">
      <c r="E40" s="794">
        <v>25.5</v>
      </c>
      <c r="F40" s="919" cm="1" t="str">
        <f t="array" ref="F40:F40">OFFSET(G40,-1,-1)</f>
        <v>0</v>
      </c>
      <c r="T40" s="805" cm="1" t="str">
        <f t="array" ref="T40:T40">T39</f>
        <v>false</v>
      </c>
      <c r="AB40" s="157" t="s">
        <v>1051</v>
      </c>
      <c r="AC40" s="164" t="s">
        <v>1371</v>
      </c>
      <c r="AD40" s="157" t="s">
        <v>805</v>
      </c>
      <c r="AE40" s="121"/>
      <c r="AF40" s="121"/>
      <c r="AG40" s="121"/>
      <c r="AH40" s="307">
        <f>AG40-AF40</f>
        <v>0</v>
      </c>
      <c r="AI40" s="121"/>
      <c r="AJ40" s="614"/>
      <c r="AK40" s="614"/>
      <c r="AL40" s="614"/>
      <c r="AM40" s="614"/>
      <c r="AN40" s="614"/>
      <c r="AO40" s="121"/>
      <c r="AP40" s="121"/>
      <c r="AQ40" s="121"/>
      <c r="AR40" s="121"/>
      <c r="AS40" s="121"/>
      <c r="AT40" s="614"/>
      <c r="AU40" s="614"/>
      <c r="AV40" s="614"/>
      <c r="AW40" s="614"/>
      <c r="AX40" s="614"/>
      <c r="AY40" s="121"/>
      <c r="AZ40" s="121"/>
      <c r="BA40" s="121"/>
      <c r="BB40" s="121"/>
      <c r="BC40" s="121"/>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3"/>
      <c r="BO40" s="73"/>
      <c r="BP40" s="73"/>
      <c r="BS40" s="1181" t="s">
        <v>1372</v>
      </c>
    </row>
    <row customHeight="1" ht="24.862499999999997" hidden="1">
      <c r="E41" s="794">
        <v>25.5</v>
      </c>
      <c r="F41" s="919" cm="1" t="str">
        <f t="array" ref="F41:F41">OFFSET(G41,-1,-1)</f>
        <v>0</v>
      </c>
      <c r="T41" s="805" cm="1" t="str">
        <f t="array" ref="T41:T41">T40</f>
        <v>false</v>
      </c>
      <c r="AB41" s="157" t="s">
        <v>1266</v>
      </c>
      <c r="AC41" s="164" t="s">
        <v>1373</v>
      </c>
      <c r="AD41" s="157" t="s">
        <v>805</v>
      </c>
      <c r="AE41" s="121"/>
      <c r="AF41" s="121"/>
      <c r="AG41" s="121"/>
      <c r="AH41" s="307">
        <f>AG41-AF41</f>
        <v>0</v>
      </c>
      <c r="AI41" s="121"/>
      <c r="AJ41" s="614"/>
      <c r="AK41" s="614"/>
      <c r="AL41" s="614"/>
      <c r="AM41" s="614"/>
      <c r="AN41" s="614"/>
      <c r="AO41" s="121"/>
      <c r="AP41" s="121"/>
      <c r="AQ41" s="121"/>
      <c r="AR41" s="121"/>
      <c r="AS41" s="121"/>
      <c r="AT41" s="614"/>
      <c r="AU41" s="614"/>
      <c r="AV41" s="614"/>
      <c r="AW41" s="614"/>
      <c r="AX41" s="614"/>
      <c r="AY41" s="121"/>
      <c r="AZ41" s="121"/>
      <c r="BA41" s="121"/>
      <c r="BB41" s="121"/>
      <c r="BC41" s="121"/>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3"/>
      <c r="BO41" s="73"/>
      <c r="BP41" s="73"/>
      <c r="BS41" s="1181" t="s">
        <v>1374</v>
      </c>
    </row>
    <row customHeight="1" ht="14.625" hidden="1">
      <c r="E42" s="794">
        <v>15</v>
      </c>
      <c r="F42" s="919" cm="1" t="str">
        <f t="array" ref="F42:F42">OFFSET(G42,-1,-1)</f>
        <v>0</v>
      </c>
      <c r="T42" s="805" cm="1" t="str">
        <f t="array" ref="T42:T42">T41</f>
        <v>false</v>
      </c>
      <c r="AB42" s="157"/>
      <c r="AC42" s="164" t="s">
        <v>1375</v>
      </c>
      <c r="AD42" s="157" t="s">
        <v>805</v>
      </c>
      <c r="AE42" s="612">
        <f>AE29+AE30+AE31+AE32+AE36+AE38+AE39+AE40+AE41</f>
        <v>0</v>
      </c>
      <c r="AF42" s="612">
        <f>AF29+AF30+AF31+AF32+AF36+AF38+AF39+AF40+AF41</f>
        <v>0</v>
      </c>
      <c r="AG42" s="121">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S42" s="1181" t="s">
        <v>592</v>
      </c>
    </row>
    <row customHeight="1" ht="14.625" hidden="1">
      <c r="E43" s="794">
        <v>15</v>
      </c>
      <c r="F43" s="919" cm="1" t="str">
        <f t="array" ref="F43:F43">OFFSET(G43,-1,-1)</f>
        <v>0</v>
      </c>
      <c r="G43" s="190" t="s">
        <v>1261</v>
      </c>
      <c r="T43" s="805" cm="1" t="str">
        <f t="array" ref="T43:T43">T42</f>
        <v>false</v>
      </c>
      <c r="AB43" s="157" t="s">
        <v>343</v>
      </c>
      <c r="AC43" s="164" t="s">
        <v>1376</v>
      </c>
      <c r="AD43" s="157" t="s">
        <v>805</v>
      </c>
      <c r="AE43" s="612">
        <f>_xlfn.SUMIFS(Налоги!AE$26:AE$69,Налоги!$F$26:$F$69,$F43,Налоги!$G$26:$G$69,$G43)</f>
        <v>0</v>
      </c>
      <c r="AF43" s="612">
        <f>_xlfn.SUMIFS(Налоги!AF$26:AF$69,Налоги!$F$26:$F$69,$F43,Налоги!$G$26:$G$69,$G43)</f>
        <v>0</v>
      </c>
      <c r="AG43" s="121">
        <f>_xlfn.SUMIFS(Налоги!AG$26:AG$69,Налоги!$F$26:$F$69,$F43,Налоги!$G$26:$G$69,$G43)</f>
        <v>0</v>
      </c>
      <c r="AH43" s="307">
        <f>AG43-AF43</f>
        <v>0</v>
      </c>
      <c r="AI43" s="612">
        <f>_xlfn.SUMIFS(Налоги!AH$26:AH$69,Налоги!$F$26:$F$69,$F43,Налоги!$G$26:$G$69,$G43)</f>
        <v>0</v>
      </c>
      <c r="AJ43" s="612">
        <f>_xlfn.SUMIFS(Налоги!AI$26:AI$69,Налоги!$F$26:$F$69,$F43,Налоги!$G$26:$G$69,$G43)</f>
        <v>0</v>
      </c>
      <c r="AK43" s="612">
        <f>_xlfn.SUMIFS(Налоги!AJ$26:AJ$69,Налоги!$F$26:$F$69,$F43,Налоги!$G$26:$G$69,$G43)</f>
        <v>0</v>
      </c>
      <c r="AL43" s="612">
        <f>_xlfn.SUMIFS(Налоги!AK$26:AK$69,Налоги!$F$26:$F$69,$F43,Налоги!$G$26:$G$69,$G43)</f>
        <v>0</v>
      </c>
      <c r="AM43" s="612">
        <f>_xlfn.SUMIFS(Налоги!AL$26:AL$69,Налоги!$F$26:$F$69,$F43,Налоги!$G$26:$G$69,$G43)</f>
        <v>0</v>
      </c>
      <c r="AN43" s="612">
        <f>_xlfn.SUMIFS(Налоги!AM$26:AM$69,Налоги!$F$26:$F$69,$F43,Налоги!$G$26:$G$69,$G43)</f>
        <v>0</v>
      </c>
      <c r="AO43" s="612">
        <f>_xlfn.SUMIFS(Налоги!AN$26:AN$69,Налоги!$F$26:$F$69,$F43,Налоги!$G$26:$G$69,$G43)</f>
        <v>0</v>
      </c>
      <c r="AP43" s="612">
        <f>_xlfn.SUMIFS(Налоги!AO$26:AO$69,Налоги!$F$26:$F$69,$F43,Налоги!$G$26:$G$69,$G43)</f>
        <v>0</v>
      </c>
      <c r="AQ43" s="612">
        <f>_xlfn.SUMIFS(Налоги!AP$26:AP$69,Налоги!$F$26:$F$69,$F43,Налоги!$G$26:$G$69,$G43)</f>
        <v>0</v>
      </c>
      <c r="AR43" s="612">
        <f>_xlfn.SUMIFS(Налоги!AQ$26:AQ$69,Налоги!$F$26:$F$69,$F43,Налоги!$G$26:$G$69,$G43)</f>
        <v>0</v>
      </c>
      <c r="AS43" s="612">
        <f>_xlfn.SUMIFS(Налоги!AR$26:AR$69,Налоги!$F$26:$F$69,$F43,Налоги!$G$26:$G$69,$G43)</f>
        <v>0</v>
      </c>
      <c r="AT43" s="612">
        <f>_xlfn.SUMIFS(Налоги!AS$26:AS$69,Налоги!$F$26:$F$69,$F43,Налоги!$G$26:$G$69,$G43)</f>
        <v>0</v>
      </c>
      <c r="AU43" s="612">
        <f>_xlfn.SUMIFS(Налоги!AT$26:AT$69,Налоги!$F$26:$F$69,$F43,Налоги!$G$26:$G$69,$G43)</f>
        <v>0</v>
      </c>
      <c r="AV43" s="612">
        <f>_xlfn.SUMIFS(Налоги!AU$26:AU$69,Налоги!$F$26:$F$69,$F43,Налоги!$G$26:$G$69,$G43)</f>
        <v>0</v>
      </c>
      <c r="AW43" s="612">
        <f>_xlfn.SUMIFS(Налоги!AV$26:AV$69,Налоги!$F$26:$F$69,$F43,Налоги!$G$26:$G$69,$G43)</f>
        <v>0</v>
      </c>
      <c r="AX43" s="612">
        <f>_xlfn.SUMIFS(Налоги!AW$26:AW$69,Налоги!$F$26:$F$69,$F43,Налоги!$G$26:$G$69,$G43)</f>
        <v>0</v>
      </c>
      <c r="AY43" s="612">
        <f>_xlfn.SUMIFS(Налоги!AX$26:AX$69,Налоги!$F$26:$F$69,$F43,Налоги!$G$26:$G$69,$G43)</f>
        <v>0</v>
      </c>
      <c r="AZ43" s="612">
        <f>_xlfn.SUMIFS(Налоги!AY$26:AY$69,Налоги!$F$26:$F$69,$F43,Налоги!$G$26:$G$69,$G43)</f>
        <v>0</v>
      </c>
      <c r="BA43" s="612">
        <f>_xlfn.SUMIFS(Налоги!AZ$26:AZ$69,Налоги!$F$26:$F$69,$F43,Налоги!$G$26:$G$69,$G43)</f>
        <v>0</v>
      </c>
      <c r="BB43" s="612">
        <f>_xlfn.SUMIFS(Налоги!BA$26:BA$69,Налоги!$F$26:$F$69,$F43,Налоги!$G$26:$G$69,$G43)</f>
        <v>0</v>
      </c>
      <c r="BC43" s="612">
        <f>_xlfn.SUMIFS(Налоги!BB$26:BB$69,Налоги!$F$26:$F$69,$F43,Налоги!$G$26:$G$69,$G43)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3"/>
      <c r="BO43" s="73"/>
      <c r="BP43" s="73"/>
      <c r="BS43" s="1181" t="s">
        <v>571</v>
      </c>
    </row>
    <row customHeight="1" ht="27.105" hidden="1">
      <c r="E44" s="794">
        <v>27.8</v>
      </c>
      <c r="F44" s="919" cm="1" t="str">
        <f t="array" ref="F44:F44">OFFSET(G44,-1,-1)</f>
        <v>0</v>
      </c>
      <c r="G44" s="190" t="s">
        <v>1284</v>
      </c>
      <c r="T44" s="805" cm="1" t="str">
        <f t="array" ref="T44:T44">T43</f>
        <v>false</v>
      </c>
      <c r="AB44" s="157" t="s">
        <v>614</v>
      </c>
      <c r="AC44" s="164" t="s">
        <v>1377</v>
      </c>
      <c r="AD44" s="157" t="s">
        <v>805</v>
      </c>
      <c r="AE44" s="121"/>
      <c r="AF44" s="121"/>
      <c r="AG44" s="121"/>
      <c r="AH44" s="307">
        <f>AG44-AF44</f>
        <v>0</v>
      </c>
      <c r="AI44" s="121"/>
      <c r="AJ44" s="612">
        <f>_xlfn.SUMIFS(Экономия_корр!AE$26:AE$51,Экономия_корр!$F$26:$F$51,$F44,Экономия_корр!$G$26:$G$51,$G44)</f>
        <v>0</v>
      </c>
      <c r="AK44" s="612">
        <f>_xlfn.SUMIFS(Экономия_корр!AF$26:AF$51,Экономия_корр!$F$26:$F$51,$F44,Экономия_корр!$G$26:$G$51,$G44)</f>
        <v>0</v>
      </c>
      <c r="AL44" s="612">
        <f>_xlfn.SUMIFS(Экономия_корр!AG$26:AG$51,Экономия_корр!$F$26:$F$51,$F44,Экономия_корр!$G$26:$G$51,$G44)</f>
        <v>0</v>
      </c>
      <c r="AM44" s="612">
        <f>_xlfn.SUMIFS(Экономия_корр!AH$26:AH$51,Экономия_корр!$F$26:$F$51,$F44,Экономия_корр!$G$26:$G$51,$G44)</f>
        <v>0</v>
      </c>
      <c r="AN44" s="612">
        <f>_xlfn.SUMIFS(Экономия_корр!AI$26:AI$51,Экономия_корр!$F$26:$F$51,$F44,Экономия_корр!$G$26:$G$51,$G44)</f>
        <v>0</v>
      </c>
      <c r="AO44" s="612">
        <f>_xlfn.SUMIFS(Экономия_корр!AJ$26:AJ$51,Экономия_корр!$F$26:$F$51,$F44,Экономия_корр!$G$26:$G$51,$G44)</f>
        <v>0</v>
      </c>
      <c r="AP44" s="612">
        <f>_xlfn.SUMIFS(Экономия_корр!AK$26:AK$51,Экономия_корр!$F$26:$F$51,$F44,Экономия_корр!$G$26:$G$51,$G44)</f>
        <v>0</v>
      </c>
      <c r="AQ44" s="612">
        <f>_xlfn.SUMIFS(Экономия_корр!AL$26:AL$51,Экономия_корр!$F$26:$F$51,$F44,Экономия_корр!$G$26:$G$51,$G44)</f>
        <v>0</v>
      </c>
      <c r="AR44" s="612">
        <f>_xlfn.SUMIFS(Экономия_корр!AM$26:AM$51,Экономия_корр!$F$26:$F$51,$F44,Экономия_корр!$G$26:$G$51,$G44)</f>
        <v>0</v>
      </c>
      <c r="AS44" s="612">
        <f>_xlfn.SUMIFS(Экономия_корр!AN$26:AN$51,Экономия_корр!$F$26:$F$51,$F44,Экономия_корр!$G$26:$G$51,$G44)</f>
        <v>0</v>
      </c>
      <c r="AT44" s="612">
        <f>_xlfn.SUMIFS(Экономия_корр!AO$26:AO$51,Экономия_корр!$F$26:$F$51,$F44,Экономия_корр!$G$26:$G$51,$G44)</f>
        <v>0</v>
      </c>
      <c r="AU44" s="612">
        <f>_xlfn.SUMIFS(Экономия_корр!AP$26:AP$51,Экономия_корр!$F$26:$F$51,$F44,Экономия_корр!$G$26:$G$51,$G44)</f>
        <v>0</v>
      </c>
      <c r="AV44" s="612">
        <f>_xlfn.SUMIFS(Экономия_корр!AQ$26:AQ$51,Экономия_корр!$F$26:$F$51,$F44,Экономия_корр!$G$26:$G$51,$G44)</f>
        <v>0</v>
      </c>
      <c r="AW44" s="612">
        <f>_xlfn.SUMIFS(Экономия_корр!AR$26:AR$51,Экономия_корр!$F$26:$F$51,$F44,Экономия_корр!$G$26:$G$51,$G44)</f>
        <v>0</v>
      </c>
      <c r="AX44" s="612">
        <f>_xlfn.SUMIFS(Экономия_корр!AS$26:AS$51,Экономия_корр!$F$26:$F$51,$F44,Экономия_корр!$G$26:$G$51,$G44)</f>
        <v>0</v>
      </c>
      <c r="AY44" s="612">
        <f>_xlfn.SUMIFS(Экономия_корр!AT$26:AT$51,Экономия_корр!$F$26:$F$51,$F44,Экономия_корр!$G$26:$G$51,$G44)</f>
        <v>0</v>
      </c>
      <c r="AZ44" s="612">
        <f>_xlfn.SUMIFS(Экономия_корр!AU$26:AU$51,Экономия_корр!$F$26:$F$51,$F44,Экономия_корр!$G$26:$G$51,$G44)</f>
        <v>0</v>
      </c>
      <c r="BA44" s="612">
        <f>_xlfn.SUMIFS(Экономия_корр!AV$26:AV$51,Экономия_корр!$F$26:$F$51,$F44,Экономия_корр!$G$26:$G$51,$G44)</f>
        <v>0</v>
      </c>
      <c r="BB44" s="612">
        <f>_xlfn.SUMIFS(Экономия_корр!AW$26:AW$51,Экономия_корр!$F$26:$F$51,$F44,Экономия_корр!$G$26:$G$51,$G44)</f>
        <v>0</v>
      </c>
      <c r="BC44" s="612">
        <f>_xlfn.SUMIFS(Экономия_корр!AX$26:AX$51,Экономия_корр!$F$26:$F$51,$F44,Экономия_корр!$G$26:$G$51,$G44)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3"/>
      <c r="BO44" s="73"/>
      <c r="BP44" s="73"/>
      <c r="BS44" s="1181" t="s">
        <v>1378</v>
      </c>
    </row>
    <row customHeight="1" ht="27.105" hidden="1">
      <c r="E45" s="794">
        <v>27.8</v>
      </c>
      <c r="F45" s="919" cm="1" t="str">
        <f t="array" ref="F45:F45">OFFSET(G45,-1,-1)</f>
        <v>0</v>
      </c>
      <c r="T45" s="805" cm="1" t="str">
        <f t="array" ref="T45:T45">T44</f>
        <v>false</v>
      </c>
      <c r="AB45" s="157" t="s">
        <v>624</v>
      </c>
      <c r="AC45" s="164" t="s">
        <v>1379</v>
      </c>
      <c r="AD45" s="157" t="s">
        <v>805</v>
      </c>
      <c r="AE45" s="121"/>
      <c r="AF45" s="121"/>
      <c r="AG45" s="121"/>
      <c r="AH45" s="307">
        <f>AG45-AF45</f>
        <v>0</v>
      </c>
      <c r="AI45" s="121"/>
      <c r="AJ45" s="614"/>
      <c r="AK45" s="614"/>
      <c r="AL45" s="614"/>
      <c r="AM45" s="614"/>
      <c r="AN45" s="614"/>
      <c r="AO45" s="121"/>
      <c r="AP45" s="121"/>
      <c r="AQ45" s="121"/>
      <c r="AR45" s="121"/>
      <c r="AS45" s="121"/>
      <c r="AT45" s="614"/>
      <c r="AU45" s="614"/>
      <c r="AV45" s="614"/>
      <c r="AW45" s="614"/>
      <c r="AX45" s="614"/>
      <c r="AY45" s="121"/>
      <c r="AZ45" s="121"/>
      <c r="BA45" s="121"/>
      <c r="BB45" s="121"/>
      <c r="BC45" s="121"/>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3"/>
      <c r="BO45" s="73"/>
      <c r="BP45" s="73"/>
      <c r="BS45" s="1181" t="s">
        <v>1380</v>
      </c>
    </row>
    <row s="232" customFormat="1" customHeight="1" ht="14.625" hidden="1">
      <c r="E46" s="794">
        <v>15</v>
      </c>
      <c r="F46" s="919" cm="1" t="str">
        <f t="array" ref="F46:F46">OFFSET(G46,-1,-1)</f>
        <v>0</v>
      </c>
      <c r="T46" s="805" cm="1" t="str">
        <f t="array" ref="T46:T46">T44</f>
        <v>false</v>
      </c>
      <c r="AB46" s="158" t="s">
        <v>629</v>
      </c>
      <c r="AC46" s="159" t="s">
        <v>1351</v>
      </c>
      <c r="AD46" s="158" t="s">
        <v>805</v>
      </c>
      <c r="AE46" s="615">
        <f>AE42+AE43+AE44+AE45</f>
        <v>0</v>
      </c>
      <c r="AF46" s="615">
        <f>AF42+AF43+AF44+AF45</f>
        <v>0</v>
      </c>
      <c r="AG46" s="122">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3"/>
      <c r="BO46" s="73"/>
      <c r="BP46" s="73"/>
      <c r="BS46" s="1181" t="s">
        <v>1381</v>
      </c>
    </row>
    <row s="1901" customFormat="1" customHeight="1" ht="18">
      <c r="A47" s="217"/>
      <c r="B47" s="217"/>
      <c r="C47" s="217"/>
      <c r="D47" s="217"/>
      <c r="E47" s="794">
        <v>18.8</v>
      </c>
      <c r="F47" s="919" cm="1" t="str">
        <f t="array" ref="F47:F47">X47</f>
        <v>1</v>
      </c>
      <c r="G47" s="736" cm="1" t="str">
        <f t="array" ref="G47:G47">INDEX('Общие сведения'!$AK$169:$AK$218,MATCH($F47,'Общие сведения'!$Z$169:$Z$218,0))</f>
        <v>одноставочный</v>
      </c>
      <c r="H47" s="217"/>
      <c r="I47" s="210" cm="1" t="str">
        <f t="array" ref="I47:I47">INDEX('Общие сведения'!$AE$169:$AE$218,MATCH($F47,'Общие сведения'!$Z$169:$Z$218,0))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W47" s="217"/>
      <c r="X47" s="172" t="s">
        <v>335</v>
      </c>
      <c r="Y47" s="217"/>
      <c r="Z47" s="217"/>
      <c r="AA47" s="217"/>
      <c r="AB47" s="327" cm="1" t="str">
        <f t="array" ref="AB47:AB47">IF(ISBLANK('Операционные (5.2)'!$AB$36),"",'Операционные (5.2)'!$AB$36)</f>
        <v>Тариф 1 (Теплоснабжение) - Тариф на тепловую энергию (мощность), поставляемую потребителям (Тариф: Носитель - горячая вода (Т); Носитель - горячая вода (Т))</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902" customFormat="1" customHeight="1" ht="13.5">
      <c r="A48" s="217"/>
      <c r="B48" s="217"/>
      <c r="C48" s="217"/>
      <c r="D48" s="217"/>
      <c r="E48" s="794">
        <v>14.1</v>
      </c>
      <c r="F48" s="919" cm="1" t="str">
        <f t="array" ref="F48:F48">OFFSET(G48,-1,-1)</f>
        <v>1</v>
      </c>
      <c r="G48" s="736" t="s">
        <v>1350</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1351</v>
      </c>
      <c r="AC48" s="1546"/>
      <c r="AD48" s="302" t="s">
        <v>805</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5755</v>
      </c>
      <c r="AK48" s="306" cm="1" t="str">
        <f t="array" ref="AK48:AK48">AK66</f>
        <v>5380</v>
      </c>
      <c r="AL48" s="306" cm="1" t="str">
        <f t="array" ref="AL48:AL48">AL66</f>
        <v>5570</v>
      </c>
      <c r="AM48" s="306" cm="1" t="str">
        <f t="array" ref="AM48:AM48">AM66</f>
        <v>5725</v>
      </c>
      <c r="AN48" s="306" cm="1" t="str">
        <f t="array" ref="AN48:AN48">AN66</f>
        <v>5930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4791.00116</v>
      </c>
      <c r="AU48" s="306" cm="1" t="str">
        <f t="array" ref="AU48:AU48">AU66</f>
        <v>4968</v>
      </c>
      <c r="AV48" s="306" cm="1" t="str">
        <f t="array" ref="AV48:AV48">AV66</f>
        <v>4836</v>
      </c>
      <c r="AW48" s="306" cm="1" t="str">
        <f t="array" ref="AW48:AW48">AW66</f>
        <v>5030.00000000001</v>
      </c>
      <c r="AX48" s="306" cm="1" t="str">
        <f t="array" ref="AX48:AX48">AX66</f>
        <v>5228.00000000002</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3.69440194416484</v>
      </c>
      <c r="BF48" s="306" cm="1" t="str">
        <f t="array" ref="BF48:BF48">BF66</f>
        <v>-2.65700483091787</v>
      </c>
      <c r="BG48" s="306" cm="1" t="str">
        <f t="array" ref="BG48:BG48">BG66</f>
        <v>4.01157981803164</v>
      </c>
      <c r="BH48" s="306" cm="1" t="str">
        <f t="array" ref="BH48:BH48">BH66</f>
        <v>3.93638170974174</v>
      </c>
      <c r="BI48" s="306" cm="1" t="str">
        <f t="array" ref="BI48:BI48">BI66</f>
        <v>-100</v>
      </c>
      <c r="BJ48" s="306" cm="1" t="str">
        <f t="array" ref="BJ48:BJ48">BJ66</f>
        <v>0</v>
      </c>
      <c r="BK48" s="306" cm="1" t="str">
        <f t="array" ref="BK48:BK48">BK66</f>
        <v>0</v>
      </c>
      <c r="BL48" s="306" cm="1" t="str">
        <f t="array" ref="BL48:BL48">BL66</f>
        <v>0</v>
      </c>
      <c r="BM48" s="306" cm="1" t="str">
        <f t="array" ref="BM48:BM48">BM66</f>
        <v>0</v>
      </c>
      <c r="BN48" s="1730"/>
      <c r="BO48" s="1730"/>
      <c r="BP48" s="1730"/>
      <c r="BQ48" s="217"/>
      <c r="BR48" s="217"/>
      <c r="BS48" s="1181" t="s">
        <v>1352</v>
      </c>
    </row>
    <row s="1619" customFormat="1" customHeight="1" ht="27">
      <c r="A49" s="225"/>
      <c r="B49" s="924"/>
      <c r="C49" s="225"/>
      <c r="D49" s="225"/>
      <c r="E49" s="794">
        <v>27.8</v>
      </c>
      <c r="F49" s="919" cm="1" t="str">
        <f t="array" ref="F49:F49">OFFSET(G49,-1,-1)</f>
        <v>1</v>
      </c>
      <c r="G49" s="190" t="s">
        <v>1179</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442</v>
      </c>
      <c r="AC49" s="164" t="s">
        <v>47</v>
      </c>
      <c r="AD49" s="157" t="s">
        <v>805</v>
      </c>
      <c r="AE49" s="612">
        <f>_xlfn.SUMIFS('Покупка услуг'!AE$26:AE$87,'Покупка услуг'!$F$26:$F$87,$F49,'Покупка услуг'!$G$26:$G$87,$G49)</f>
        <v>0</v>
      </c>
      <c r="AF49" s="612">
        <f>_xlfn.SUMIFS('Покупка услуг'!AF$26:AF$87,'Покупка услуг'!$F$26:$F$87,$F49,'Покупка услуг'!$G$26:$G$87,$G49)</f>
        <v>0</v>
      </c>
      <c r="AG49" s="1903">
        <f>_xlfn.SUMIFS('Покупка услуг'!AG$26:AG$87,'Покупка услуг'!$F$26:$F$87,$F49,'Покупка услуг'!$G$26:$G$87,$G49)</f>
        <v>0</v>
      </c>
      <c r="AH49" s="307">
        <f>AG49-AF49</f>
        <v>0</v>
      </c>
      <c r="AI49" s="612">
        <f>_xlfn.SUMIFS('Покупка услуг'!AH$26:AH$87,'Покупка услуг'!$F$26:$F$87,$F49,'Покупка услуг'!$G$26:$G$87,$G49)</f>
        <v>0</v>
      </c>
      <c r="AJ49" s="612">
        <f>_xlfn.SUMIFS('Покупка услуг'!AI$26:AI$87,'Покупка услуг'!$F$26:$F$87,$F49,'Покупка услуг'!$G$26:$G$87,$G49)</f>
        <v>4322</v>
      </c>
      <c r="AK49" s="612">
        <f>_xlfn.SUMIFS('Покупка услуг'!AJ$26:AJ$87,'Покупка услуг'!$F$26:$F$87,$F49,'Покупка услуг'!$G$26:$G$87,$G49)</f>
        <v>4495</v>
      </c>
      <c r="AL49" s="612">
        <f>_xlfn.SUMIFS('Покупка услуг'!AK$26:AK$87,'Покупка услуг'!$F$26:$F$87,$F49,'Покупка услуг'!$G$26:$G$87,$G49)</f>
        <v>4675</v>
      </c>
      <c r="AM49" s="612">
        <f>_xlfn.SUMIFS('Покупка услуг'!AL$26:AL$87,'Покупка услуг'!$F$26:$F$87,$F49,'Покупка услуг'!$G$26:$G$87,$G49)</f>
        <v>4862</v>
      </c>
      <c r="AN49" s="612">
        <f>_xlfn.SUMIFS('Покупка услуг'!AM$26:AM$87,'Покупка услуг'!$F$26:$F$87,$F49,'Покупка услуг'!$G$26:$G$87,$G49)</f>
        <v>5056</v>
      </c>
      <c r="AO49" s="612">
        <f>_xlfn.SUMIFS('Покупка услуг'!AN$26:AN$87,'Покупка услуг'!$F$26:$F$87,$F49,'Покупка услуг'!$G$26:$G$87,$G49)</f>
        <v>0</v>
      </c>
      <c r="AP49" s="612">
        <f>_xlfn.SUMIFS('Покупка услуг'!AO$26:AO$87,'Покупка услуг'!$F$26:$F$87,$F49,'Покупка услуг'!$G$26:$G$87,$G49)</f>
        <v>0</v>
      </c>
      <c r="AQ49" s="612">
        <f>_xlfn.SUMIFS('Покупка услуг'!AP$26:AP$87,'Покупка услуг'!$F$26:$F$87,$F49,'Покупка услуг'!$G$26:$G$87,$G49)</f>
        <v>0</v>
      </c>
      <c r="AR49" s="612">
        <f>_xlfn.SUMIFS('Покупка услуг'!AQ$26:AQ$87,'Покупка услуг'!$F$26:$F$87,$F49,'Покупка услуг'!$G$26:$G$87,$G49)</f>
        <v>0</v>
      </c>
      <c r="AS49" s="612">
        <f>_xlfn.SUMIFS('Покупка услуг'!AR$26:AR$87,'Покупка услуг'!$F$26:$F$87,$F49,'Покупка услуг'!$G$26:$G$87,$G49)</f>
        <v>0</v>
      </c>
      <c r="AT49" s="612">
        <f>_xlfn.SUMIFS('Покупка услуг'!AS$26:AS$87,'Покупка услуг'!$F$26:$F$87,$F49,'Покупка услуг'!$G$26:$G$87,$G49)</f>
        <v>4322.00116</v>
      </c>
      <c r="AU49" s="612">
        <f>_xlfn.SUMIFS('Покупка услуг'!AT$26:AT$87,'Покупка услуг'!$F$26:$F$87,$F49,'Покупка услуг'!$G$26:$G$87,$G49)</f>
        <v>4495</v>
      </c>
      <c r="AV49" s="612">
        <f>_xlfn.SUMIFS('Покупка услуг'!AU$26:AU$87,'Покупка услуг'!$F$26:$F$87,$F49,'Покупка услуг'!$G$26:$G$87,$G49)</f>
        <v>4675</v>
      </c>
      <c r="AW49" s="612">
        <f>_xlfn.SUMIFS('Покупка услуг'!AV$26:AV$87,'Покупка услуг'!$F$26:$F$87,$F49,'Покупка услуг'!$G$26:$G$87,$G49)</f>
        <v>4862.00000000001</v>
      </c>
      <c r="AX49" s="612">
        <f>_xlfn.SUMIFS('Покупка услуг'!AW$26:AW$87,'Покупка услуг'!$F$26:$F$87,$F49,'Покупка услуг'!$G$26:$G$87,$G49)</f>
        <v>5056.00000000002</v>
      </c>
      <c r="AY49" s="612">
        <f>_xlfn.SUMIFS('Покупка услуг'!AX$26:AX$87,'Покупка услуг'!$F$26:$F$87,$F49,'Покупка услуг'!$G$26:$G$87,$G49)</f>
        <v>0</v>
      </c>
      <c r="AZ49" s="612">
        <f>_xlfn.SUMIFS('Покупка услуг'!AY$26:AY$87,'Покупка услуг'!$F$26:$F$87,$F49,'Покупка услуг'!$G$26:$G$87,$G49)</f>
        <v>0</v>
      </c>
      <c r="BA49" s="612">
        <f>_xlfn.SUMIFS('Покупка услуг'!AZ$26:AZ$87,'Покупка услуг'!$F$26:$F$87,$F49,'Покупка услуг'!$G$26:$G$87,$G49)</f>
        <v>0</v>
      </c>
      <c r="BB49" s="612">
        <f>_xlfn.SUMIFS('Покупка услуг'!BA$26:BA$87,'Покупка услуг'!$F$26:$F$87,$F49,'Покупка услуг'!$G$26:$G$87,$G49)</f>
        <v>0</v>
      </c>
      <c r="BC49" s="612">
        <f>_xlfn.SUMIFS('Покупка услуг'!BB$26:BB$87,'Покупка услуг'!$F$26:$F$87,$F49,'Покупка услуг'!$G$26:$G$87,$G49)</f>
        <v>0</v>
      </c>
      <c r="BD49" s="307">
        <f>IF(AI49=0,0,(AT49-AI49)/AI49*100)</f>
        <v>0</v>
      </c>
      <c r="BE49" s="307">
        <f>IF(AT49=0,0,(AU49-AT49)/AT49*100)</f>
        <v>4.00274857862371</v>
      </c>
      <c r="BF49" s="307">
        <f>IF(AU49=0,0,(AV49-AU49)/AU49*100)</f>
        <v>4.00444938820912</v>
      </c>
      <c r="BG49" s="307">
        <f>IF(AV49=0,0,(AW49-AV49)/AV49*100)</f>
        <v>4.0000000000002</v>
      </c>
      <c r="BH49" s="307">
        <f>IF(AW49=0,0,(AX49-AW49)/AW49*100)</f>
        <v>3.99012751953948</v>
      </c>
      <c r="BI49" s="307">
        <f>IF(AX49=0,0,(AY49-AX49)/AX49*100)</f>
        <v>-100</v>
      </c>
      <c r="BJ49" s="307">
        <f>IF(AY49=0,0,(AZ49-AY49)/AY49*100)</f>
        <v>0</v>
      </c>
      <c r="BK49" s="307">
        <f>IF(AZ49=0,0,(BA49-AZ49)/AZ49*100)</f>
        <v>0</v>
      </c>
      <c r="BL49" s="307">
        <f>IF(BA49=0,0,(BB49-BA49)/BA49*100)</f>
        <v>0</v>
      </c>
      <c r="BM49" s="307">
        <f>IF(BB49=0,0,(BC49-BB49)/BB49*100)</f>
        <v>0</v>
      </c>
      <c r="BN49" s="1730"/>
      <c r="BO49" s="1730"/>
      <c r="BP49" s="1730"/>
      <c r="BQ49" s="227"/>
      <c r="BR49" s="227"/>
      <c r="BS49" s="1181" t="s">
        <v>1353</v>
      </c>
    </row>
    <row s="1619" customFormat="1" customHeight="1" ht="14.25">
      <c r="A50" s="225"/>
      <c r="B50" s="924"/>
      <c r="C50" s="225"/>
      <c r="D50" s="225"/>
      <c r="E50" s="794">
        <v>15</v>
      </c>
      <c r="F50" s="919" cm="1" t="str">
        <f t="array" ref="F50:F50">OFFSET(G50,-1,-1)</f>
        <v>1</v>
      </c>
      <c r="G50" s="736" t="s">
        <v>1155</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931</v>
      </c>
      <c r="AC50" s="164" t="s">
        <v>1354</v>
      </c>
      <c r="AD50" s="157" t="s">
        <v>805</v>
      </c>
      <c r="AE50" s="307">
        <f>_xlfn.SUMIFS(Аренда!AE$26:AE$63,Аренда!$F$26:$F$63,$F50,Аренда!$G$26:$G$63,$G50)</f>
        <v>0</v>
      </c>
      <c r="AF50" s="307">
        <f>_xlfn.SUMIFS(Аренда!AF$26:AF$63,Аренда!$F$26:$F$63,$F50,Аренда!$G$26:$G$63,$G50)</f>
        <v>0</v>
      </c>
      <c r="AG50" s="1785">
        <f>_xlfn.SUMIFS(Аренда!AG$26:AG$63,Аренда!$F$26:$F$63,$F50,Аренда!$G$26:$G$63,$G50)</f>
        <v>0</v>
      </c>
      <c r="AH50" s="307">
        <f>AG50-AF50</f>
        <v>0</v>
      </c>
      <c r="AI50" s="307">
        <f>_xlfn.SUMIFS(Аренда!AH$26:AH$63,Аренда!$F$26:$F$63,$F50,Аренда!$G$26:$G$63,$G50)</f>
        <v>0</v>
      </c>
      <c r="AJ50" s="307">
        <f>_xlfn.SUMIFS(Аренда!AI$26:AI$63,Аренда!$F$26:$F$63,$F50,Аренда!$G$26:$G$63,$G50)</f>
        <v>0</v>
      </c>
      <c r="AK50" s="307">
        <f>_xlfn.SUMIFS(Аренда!AJ$26:AJ$63,Аренда!$F$26:$F$63,$F50,Аренда!$G$26:$G$63,$G50)</f>
        <v>0</v>
      </c>
      <c r="AL50" s="307">
        <f>_xlfn.SUMIFS(Аренда!AK$26:AK$63,Аренда!$F$26:$F$63,$F50,Аренда!$G$26:$G$63,$G50)</f>
        <v>0</v>
      </c>
      <c r="AM50" s="307">
        <f>_xlfn.SUMIFS(Аренда!AL$26:AL$63,Аренда!$F$26:$F$63,$F50,Аренда!$G$26:$G$63,$G50)</f>
        <v>0</v>
      </c>
      <c r="AN50" s="307">
        <f>_xlfn.SUMIFS(Аренда!AM$26:AM$63,Аренда!$F$26:$F$63,$F50,Аренда!$G$26:$G$63,$G50)</f>
        <v>0</v>
      </c>
      <c r="AO50" s="307">
        <f>_xlfn.SUMIFS(Аренда!AN$26:AN$63,Аренда!$F$26:$F$63,$F50,Аренда!$G$26:$G$63,$G50)</f>
        <v>0</v>
      </c>
      <c r="AP50" s="307">
        <f>_xlfn.SUMIFS(Аренда!AO$26:AO$63,Аренда!$F$26:$F$63,$F50,Аренда!$G$26:$G$63,$G50)</f>
        <v>0</v>
      </c>
      <c r="AQ50" s="307">
        <f>_xlfn.SUMIFS(Аренда!AP$26:AP$63,Аренда!$F$26:$F$63,$F50,Аренда!$G$26:$G$63,$G50)</f>
        <v>0</v>
      </c>
      <c r="AR50" s="307">
        <f>_xlfn.SUMIFS(Аренда!AQ$26:AQ$63,Аренда!$F$26:$F$63,$F50,Аренда!$G$26:$G$63,$G50)</f>
        <v>0</v>
      </c>
      <c r="AS50" s="307">
        <f>_xlfn.SUMIFS(Аренда!AR$26:AR$63,Аренда!$F$26:$F$63,$F50,Аренда!$G$26:$G$63,$G50)</f>
        <v>0</v>
      </c>
      <c r="AT50" s="307">
        <f>_xlfn.SUMIFS(Аренда!AS$26:AS$63,Аренда!$F$26:$F$63,$F50,Аренда!$G$26:$G$63,$G50)</f>
        <v>0</v>
      </c>
      <c r="AU50" s="307">
        <f>_xlfn.SUMIFS(Аренда!AT$26:AT$63,Аренда!$F$26:$F$63,$F50,Аренда!$G$26:$G$63,$G50)</f>
        <v>0</v>
      </c>
      <c r="AV50" s="307">
        <f>_xlfn.SUMIFS(Аренда!AU$26:AU$63,Аренда!$F$26:$F$63,$F50,Аренда!$G$26:$G$63,$G50)</f>
        <v>0</v>
      </c>
      <c r="AW50" s="307">
        <f>_xlfn.SUMIFS(Аренда!AV$26:AV$63,Аренда!$F$26:$F$63,$F50,Аренда!$G$26:$G$63,$G50)</f>
        <v>0</v>
      </c>
      <c r="AX50" s="307">
        <f>_xlfn.SUMIFS(Аренда!AW$26:AW$63,Аренда!$F$26:$F$63,$F50,Аренда!$G$26:$G$63,$G50)</f>
        <v>0</v>
      </c>
      <c r="AY50" s="307">
        <f>_xlfn.SUMIFS(Аренда!AX$26:AX$63,Аренда!$F$26:$F$63,$F50,Аренда!$G$26:$G$63,$G50)</f>
        <v>0</v>
      </c>
      <c r="AZ50" s="307">
        <f>_xlfn.SUMIFS(Аренда!AY$26:AY$63,Аренда!$F$26:$F$63,$F50,Аренда!$G$26:$G$63,$G50)</f>
        <v>0</v>
      </c>
      <c r="BA50" s="307">
        <f>_xlfn.SUMIFS(Аренда!AZ$26:AZ$63,Аренда!$F$26:$F$63,$F50,Аренда!$G$26:$G$63,$G50)</f>
        <v>0</v>
      </c>
      <c r="BB50" s="307">
        <f>_xlfn.SUMIFS(Аренда!BA$26:BA$63,Аренда!$F$26:$F$63,$F50,Аренда!$G$26:$G$63,$G50)</f>
        <v>0</v>
      </c>
      <c r="BC50" s="307">
        <f>_xlfn.SUMIFS(Аренда!BB$26:BB$63,Аренда!$F$26:$F$63,$F50,Аренда!$G$26:$G$63,$G50)</f>
        <v>0</v>
      </c>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30"/>
      <c r="BO50" s="1730"/>
      <c r="BP50" s="1730"/>
      <c r="BQ50" s="227"/>
      <c r="BR50" s="227"/>
      <c r="BS50" s="1181" t="s">
        <v>1158</v>
      </c>
    </row>
    <row s="1619" customFormat="1" customHeight="1" ht="14.25">
      <c r="A51" s="225"/>
      <c r="B51" s="924"/>
      <c r="C51" s="225"/>
      <c r="D51" s="225"/>
      <c r="E51" s="794">
        <v>15</v>
      </c>
      <c r="F51" s="919" cm="1" t="str">
        <f t="array" ref="F51:F51">OFFSET(G51,-1,-1)</f>
        <v>1</v>
      </c>
      <c r="G51" s="190" t="s">
        <v>1159</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933</v>
      </c>
      <c r="AC51" s="164" t="s">
        <v>1160</v>
      </c>
      <c r="AD51" s="157" t="s">
        <v>805</v>
      </c>
      <c r="AE51" s="307">
        <f>_xlfn.SUMIFS(Аренда!AE$26:AE$63,Аренда!$F$26:$F$63,$F51,Аренда!$G$26:$G$63,$G51)</f>
        <v>0</v>
      </c>
      <c r="AF51" s="307">
        <f>_xlfn.SUMIFS(Аренда!AF$26:AF$63,Аренда!$F$26:$F$63,$F51,Аренда!$G$26:$G$63,$G51)</f>
        <v>0</v>
      </c>
      <c r="AG51" s="1785">
        <f>_xlfn.SUMIFS(Аренда!AG$26:AG$63,Аренда!$F$26:$F$63,$F51,Аренда!$G$26:$G$63,$G51)</f>
        <v>0</v>
      </c>
      <c r="AH51" s="307">
        <f>AG51-AF51</f>
        <v>0</v>
      </c>
      <c r="AI51" s="307">
        <f>_xlfn.SUMIFS(Аренда!AH$26:AH$63,Аренда!$F$26:$F$63,$F51,Аренда!$G$26:$G$63,$G51)</f>
        <v>0</v>
      </c>
      <c r="AJ51" s="307">
        <f>_xlfn.SUMIFS(Аренда!AI$26:AI$63,Аренда!$F$26:$F$63,$F51,Аренда!$G$26:$G$63,$G51)</f>
        <v>0</v>
      </c>
      <c r="AK51" s="307">
        <f>_xlfn.SUMIFS(Аренда!AJ$26:AJ$63,Аренда!$F$26:$F$63,$F51,Аренда!$G$26:$G$63,$G51)</f>
        <v>0</v>
      </c>
      <c r="AL51" s="307">
        <f>_xlfn.SUMIFS(Аренда!AK$26:AK$63,Аренда!$F$26:$F$63,$F51,Аренда!$G$26:$G$63,$G51)</f>
        <v>0</v>
      </c>
      <c r="AM51" s="307">
        <f>_xlfn.SUMIFS(Аренда!AL$26:AL$63,Аренда!$F$26:$F$63,$F51,Аренда!$G$26:$G$63,$G51)</f>
        <v>0</v>
      </c>
      <c r="AN51" s="307">
        <f>_xlfn.SUMIFS(Аренда!AM$26:AM$63,Аренда!$F$26:$F$63,$F51,Аренда!$G$26:$G$63,$G51)</f>
        <v>0</v>
      </c>
      <c r="AO51" s="307">
        <f>_xlfn.SUMIFS(Аренда!AN$26:AN$63,Аренда!$F$26:$F$63,$F51,Аренда!$G$26:$G$63,$G51)</f>
        <v>0</v>
      </c>
      <c r="AP51" s="307">
        <f>_xlfn.SUMIFS(Аренда!AO$26:AO$63,Аренда!$F$26:$F$63,$F51,Аренда!$G$26:$G$63,$G51)</f>
        <v>0</v>
      </c>
      <c r="AQ51" s="307">
        <f>_xlfn.SUMIFS(Аренда!AP$26:AP$63,Аренда!$F$26:$F$63,$F51,Аренда!$G$26:$G$63,$G51)</f>
        <v>0</v>
      </c>
      <c r="AR51" s="307">
        <f>_xlfn.SUMIFS(Аренда!AQ$26:AQ$63,Аренда!$F$26:$F$63,$F51,Аренда!$G$26:$G$63,$G51)</f>
        <v>0</v>
      </c>
      <c r="AS51" s="307">
        <f>_xlfn.SUMIFS(Аренда!AR$26:AR$63,Аренда!$F$26:$F$63,$F51,Аренда!$G$26:$G$63,$G51)</f>
        <v>0</v>
      </c>
      <c r="AT51" s="307">
        <f>_xlfn.SUMIFS(Аренда!AS$26:AS$63,Аренда!$F$26:$F$63,$F51,Аренда!$G$26:$G$63,$G51)</f>
        <v>0</v>
      </c>
      <c r="AU51" s="307">
        <f>_xlfn.SUMIFS(Аренда!AT$26:AT$63,Аренда!$F$26:$F$63,$F51,Аренда!$G$26:$G$63,$G51)</f>
        <v>0</v>
      </c>
      <c r="AV51" s="307">
        <f>_xlfn.SUMIFS(Аренда!AU$26:AU$63,Аренда!$F$26:$F$63,$F51,Аренда!$G$26:$G$63,$G51)</f>
        <v>0</v>
      </c>
      <c r="AW51" s="307">
        <f>_xlfn.SUMIFS(Аренда!AV$26:AV$63,Аренда!$F$26:$F$63,$F51,Аренда!$G$26:$G$63,$G51)</f>
        <v>0</v>
      </c>
      <c r="AX51" s="307">
        <f>_xlfn.SUMIFS(Аренда!AW$26:AW$63,Аренда!$F$26:$F$63,$F51,Аренда!$G$26:$G$63,$G51)</f>
        <v>0</v>
      </c>
      <c r="AY51" s="307">
        <f>_xlfn.SUMIFS(Аренда!AX$26:AX$63,Аренда!$F$26:$F$63,$F51,Аренда!$G$26:$G$63,$G51)</f>
        <v>0</v>
      </c>
      <c r="AZ51" s="307">
        <f>_xlfn.SUMIFS(Аренда!AY$26:AY$63,Аренда!$F$26:$F$63,$F51,Аренда!$G$26:$G$63,$G51)</f>
        <v>0</v>
      </c>
      <c r="BA51" s="307">
        <f>_xlfn.SUMIFS(Аренда!AZ$26:AZ$63,Аренда!$F$26:$F$63,$F51,Аренда!$G$26:$G$63,$G51)</f>
        <v>0</v>
      </c>
      <c r="BB51" s="307">
        <f>_xlfn.SUMIFS(Аренда!BA$26:BA$63,Аренда!$F$26:$F$63,$F51,Аренда!$G$26:$G$63,$G51)</f>
        <v>0</v>
      </c>
      <c r="BC51" s="307">
        <f>_xlfn.SUMIFS(Аренда!BB$26:BB$63,Аренда!$F$26:$F$63,$F51,Аренда!$G$26:$G$63,$G51)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30"/>
      <c r="BO51" s="1730"/>
      <c r="BP51" s="1730"/>
      <c r="BQ51" s="227"/>
      <c r="BR51" s="227"/>
      <c r="BS51" s="1181" t="s">
        <v>1355</v>
      </c>
    </row>
    <row s="1619"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937</v>
      </c>
      <c r="AC52" s="164" t="s">
        <v>1356</v>
      </c>
      <c r="AD52" s="157" t="s">
        <v>805</v>
      </c>
      <c r="AE52" s="612">
        <f>SUM(AE53:AE55)</f>
        <v>0</v>
      </c>
      <c r="AF52" s="612">
        <f>SUM(AF53:AF55)</f>
        <v>0</v>
      </c>
      <c r="AG52" s="1903">
        <f>SUM(AG53:AG55)</f>
        <v>0</v>
      </c>
      <c r="AH52" s="307">
        <f>AG52-AF52</f>
        <v>0</v>
      </c>
      <c r="AI52" s="612">
        <f>SUM(AI53:AI55)</f>
        <v>0</v>
      </c>
      <c r="AJ52" s="612">
        <f>SUM(AJ53:AJ55)</f>
        <v>39</v>
      </c>
      <c r="AK52" s="612">
        <f>SUM(AK53:AK55)</f>
        <v>39</v>
      </c>
      <c r="AL52" s="612">
        <f>SUM(AL53:AL55)</f>
        <v>39</v>
      </c>
      <c r="AM52" s="612">
        <f>SUM(AM53:AM55)</f>
        <v>39</v>
      </c>
      <c r="AN52" s="612">
        <f>SUM(AN53:AN55)</f>
        <v>39</v>
      </c>
      <c r="AO52" s="612">
        <f>SUM(AO53:AO55)</f>
        <v>0</v>
      </c>
      <c r="AP52" s="612">
        <f>SUM(AP53:AP55)</f>
        <v>0</v>
      </c>
      <c r="AQ52" s="612">
        <f>SUM(AQ53:AQ55)</f>
        <v>0</v>
      </c>
      <c r="AR52" s="612">
        <f>SUM(AR53:AR55)</f>
        <v>0</v>
      </c>
      <c r="AS52" s="612">
        <f>SUM(AS53:AS55)</f>
        <v>0</v>
      </c>
      <c r="AT52" s="612">
        <f>SUM(AT53:AT55)</f>
        <v>1</v>
      </c>
      <c r="AU52" s="612">
        <f>SUM(AU53:AU55)</f>
        <v>1</v>
      </c>
      <c r="AV52" s="612">
        <f>SUM(AV53:AV55)</f>
        <v>1</v>
      </c>
      <c r="AW52" s="612">
        <f>SUM(AW53:AW55)</f>
        <v>1</v>
      </c>
      <c r="AX52" s="612">
        <f>SUM(AX53:AX55)</f>
        <v>1</v>
      </c>
      <c r="AY52" s="612">
        <f>SUM(AY53:AY55)</f>
        <v>0</v>
      </c>
      <c r="AZ52" s="612">
        <f>SUM(AZ53:AZ55)</f>
        <v>0</v>
      </c>
      <c r="BA52" s="612">
        <f>SUM(BA53:BA55)</f>
        <v>0</v>
      </c>
      <c r="BB52" s="612">
        <f>SUM(BB53:BB55)</f>
        <v>0</v>
      </c>
      <c r="BC52" s="612">
        <f>SUM(BC53:BC55)</f>
        <v>0</v>
      </c>
      <c r="BD52" s="307">
        <f>IF(AI52=0,0,(AT52-AI52)/AI52*100)</f>
        <v>0</v>
      </c>
      <c r="BE52" s="307">
        <f>IF(AT52=0,0,(AU52-AT52)/AT52*100)</f>
        <v>0</v>
      </c>
      <c r="BF52" s="307">
        <f>IF(AU52=0,0,(AV52-AU52)/AU52*100)</f>
        <v>0</v>
      </c>
      <c r="BG52" s="307">
        <f>IF(AV52=0,0,(AW52-AV52)/AV52*100)</f>
        <v>0</v>
      </c>
      <c r="BH52" s="307">
        <f>IF(AW52=0,0,(AX52-AW52)/AW52*100)</f>
        <v>0</v>
      </c>
      <c r="BI52" s="307">
        <f>IF(AX52=0,0,(AY52-AX52)/AX52*100)</f>
        <v>-100</v>
      </c>
      <c r="BJ52" s="307">
        <f>IF(AY52=0,0,(AZ52-AY52)/AY52*100)</f>
        <v>0</v>
      </c>
      <c r="BK52" s="307">
        <f>IF(AZ52=0,0,(BA52-AZ52)/AZ52*100)</f>
        <v>0</v>
      </c>
      <c r="BL52" s="307">
        <f>IF(BA52=0,0,(BB52-BA52)/BA52*100)</f>
        <v>0</v>
      </c>
      <c r="BM52" s="307">
        <f>IF(BB52=0,0,(BC52-BB52)/BB52*100)</f>
        <v>0</v>
      </c>
      <c r="BN52" s="1730"/>
      <c r="BO52" s="1730"/>
      <c r="BP52" s="1730"/>
      <c r="BQ52" s="227"/>
      <c r="BR52" s="227"/>
      <c r="BS52" s="1181" t="s">
        <v>1357</v>
      </c>
    </row>
    <row s="1619" customFormat="1" customHeight="1" ht="39">
      <c r="A53" s="225"/>
      <c r="B53" s="924"/>
      <c r="C53" s="225"/>
      <c r="D53" s="225"/>
      <c r="E53" s="794">
        <v>40.5</v>
      </c>
      <c r="F53" s="919" cm="1" t="str">
        <f t="array" ref="F53:F53">OFFSET(G53,-1,-1)</f>
        <v>1</v>
      </c>
      <c r="G53" s="190" t="s">
        <v>1245</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1027</v>
      </c>
      <c r="AC53" s="164" t="s">
        <v>1246</v>
      </c>
      <c r="AD53" s="157" t="s">
        <v>805</v>
      </c>
      <c r="AE53" s="612">
        <f>_xlfn.SUMIFS(Налоги!AE$26:AE$69,Налоги!$F$26:$F$69,$F53,Налоги!$G$26:$G$69,$G53)</f>
        <v>0</v>
      </c>
      <c r="AF53" s="612">
        <f>_xlfn.SUMIFS(Налоги!AF$26:AF$69,Налоги!$F$26:$F$69,$F53,Налоги!$G$26:$G$69,$G53)</f>
        <v>0</v>
      </c>
      <c r="AG53" s="1903">
        <f>_xlfn.SUMIFS(Налоги!AG$26:AG$69,Налоги!$F$26:$F$69,$F53,Налоги!$G$26:$G$69,$G53)</f>
        <v>0</v>
      </c>
      <c r="AH53" s="307">
        <f>AG53-AF53</f>
        <v>0</v>
      </c>
      <c r="AI53" s="612">
        <f>_xlfn.SUMIFS(Налоги!AH$26:AH$69,Налоги!$F$26:$F$69,$F53,Налоги!$G$26:$G$69,$G53)</f>
        <v>0</v>
      </c>
      <c r="AJ53" s="612">
        <f>_xlfn.SUMIFS(Налоги!AI$26:AI$69,Налоги!$F$26:$F$69,$F53,Налоги!$G$26:$G$69,$G53)</f>
        <v>1</v>
      </c>
      <c r="AK53" s="612">
        <f>_xlfn.SUMIFS(Налоги!AJ$26:AJ$69,Налоги!$F$26:$F$69,$F53,Налоги!$G$26:$G$69,$G53)</f>
        <v>1</v>
      </c>
      <c r="AL53" s="612">
        <f>_xlfn.SUMIFS(Налоги!AK$26:AK$69,Налоги!$F$26:$F$69,$F53,Налоги!$G$26:$G$69,$G53)</f>
        <v>1</v>
      </c>
      <c r="AM53" s="612">
        <f>_xlfn.SUMIFS(Налоги!AL$26:AL$69,Налоги!$F$26:$F$69,$F53,Налоги!$G$26:$G$69,$G53)</f>
        <v>1</v>
      </c>
      <c r="AN53" s="612">
        <f>_xlfn.SUMIFS(Налоги!AM$26:AM$69,Налоги!$F$26:$F$69,$F53,Налоги!$G$26:$G$69,$G53)</f>
        <v>1</v>
      </c>
      <c r="AO53" s="612">
        <f>_xlfn.SUMIFS(Налоги!AN$26:AN$69,Налоги!$F$26:$F$69,$F53,Налоги!$G$26:$G$69,$G53)</f>
        <v>0</v>
      </c>
      <c r="AP53" s="612">
        <f>_xlfn.SUMIFS(Налоги!AO$26:AO$69,Налоги!$F$26:$F$69,$F53,Налоги!$G$26:$G$69,$G53)</f>
        <v>0</v>
      </c>
      <c r="AQ53" s="612">
        <f>_xlfn.SUMIFS(Налоги!AP$26:AP$69,Налоги!$F$26:$F$69,$F53,Налоги!$G$26:$G$69,$G53)</f>
        <v>0</v>
      </c>
      <c r="AR53" s="612">
        <f>_xlfn.SUMIFS(Налоги!AQ$26:AQ$69,Налоги!$F$26:$F$69,$F53,Налоги!$G$26:$G$69,$G53)</f>
        <v>0</v>
      </c>
      <c r="AS53" s="612">
        <f>_xlfn.SUMIFS(Налоги!AR$26:AR$69,Налоги!$F$26:$F$69,$F53,Налоги!$G$26:$G$69,$G53)</f>
        <v>0</v>
      </c>
      <c r="AT53" s="612">
        <f>_xlfn.SUMIFS(Налоги!AS$26:AS$69,Налоги!$F$26:$F$69,$F53,Налоги!$G$26:$G$69,$G53)</f>
        <v>0</v>
      </c>
      <c r="AU53" s="612">
        <f>_xlfn.SUMIFS(Налоги!AT$26:AT$69,Налоги!$F$26:$F$69,$F53,Налоги!$G$26:$G$69,$G53)</f>
        <v>0</v>
      </c>
      <c r="AV53" s="612">
        <f>_xlfn.SUMIFS(Налоги!AU$26:AU$69,Налоги!$F$26:$F$69,$F53,Налоги!$G$26:$G$69,$G53)</f>
        <v>0</v>
      </c>
      <c r="AW53" s="612">
        <f>_xlfn.SUMIFS(Налоги!AV$26:AV$69,Налоги!$F$26:$F$69,$F53,Налоги!$G$26:$G$69,$G53)</f>
        <v>0</v>
      </c>
      <c r="AX53" s="612">
        <f>_xlfn.SUMIFS(Налоги!AW$26:AW$69,Налоги!$F$26:$F$69,$F53,Налоги!$G$26:$G$69,$G53)</f>
        <v>0</v>
      </c>
      <c r="AY53" s="612">
        <f>_xlfn.SUMIFS(Налоги!AX$26:AX$69,Налоги!$F$26:$F$69,$F53,Налоги!$G$26:$G$69,$G53)</f>
        <v>0</v>
      </c>
      <c r="AZ53" s="612">
        <f>_xlfn.SUMIFS(Налоги!AY$26:AY$69,Налоги!$F$26:$F$69,$F53,Налоги!$G$26:$G$69,$G53)</f>
        <v>0</v>
      </c>
      <c r="BA53" s="612">
        <f>_xlfn.SUMIFS(Налоги!AZ$26:AZ$69,Налоги!$F$26:$F$69,$F53,Налоги!$G$26:$G$69,$G53)</f>
        <v>0</v>
      </c>
      <c r="BB53" s="612">
        <f>_xlfn.SUMIFS(Налоги!BA$26:BA$69,Налоги!$F$26:$F$69,$F53,Налоги!$G$26:$G$69,$G53)</f>
        <v>0</v>
      </c>
      <c r="BC53" s="612">
        <f>_xlfn.SUMIFS(Налоги!BB$26:BB$69,Налоги!$F$26:$F$69,$F53,Налоги!$G$26:$G$69,$G53)</f>
        <v>0</v>
      </c>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30"/>
      <c r="BO53" s="1730"/>
      <c r="BP53" s="1730"/>
      <c r="BQ53" s="227"/>
      <c r="BR53" s="227"/>
      <c r="BS53" s="1181" t="s">
        <v>1358</v>
      </c>
    </row>
    <row s="1904" customFormat="1" customHeight="1" ht="14.25">
      <c r="A54" s="232"/>
      <c r="B54" s="232"/>
      <c r="C54" s="232"/>
      <c r="D54" s="232"/>
      <c r="E54" s="794">
        <v>15</v>
      </c>
      <c r="F54" s="919" cm="1" t="str">
        <f t="array" ref="F54:F54">OFFSET(G54,-1,-1)</f>
        <v>1</v>
      </c>
      <c r="G54" s="190" t="s">
        <v>1252</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1030</v>
      </c>
      <c r="AC54" s="164" t="s">
        <v>1359</v>
      </c>
      <c r="AD54" s="157" t="s">
        <v>805</v>
      </c>
      <c r="AE54" s="612">
        <f>_xlfn.SUMIFS(Налоги!AE$26:AE$69,Налоги!$F$26:$F$69,$F54,Налоги!$G$26:$G$69,$G54)</f>
        <v>0</v>
      </c>
      <c r="AF54" s="612">
        <f>_xlfn.SUMIFS(Налоги!AF$26:AF$69,Налоги!$F$26:$F$69,$F54,Налоги!$G$26:$G$69,$G54)</f>
        <v>0</v>
      </c>
      <c r="AG54" s="1903">
        <f>_xlfn.SUMIFS(Налоги!AG$26:AG$69,Налоги!$F$26:$F$69,$F54,Налоги!$G$26:$G$69,$G54)</f>
        <v>0</v>
      </c>
      <c r="AH54" s="307">
        <f>AG54-AF54</f>
        <v>0</v>
      </c>
      <c r="AI54" s="612">
        <f>_xlfn.SUMIFS(Налоги!AH$26:AH$69,Налоги!$F$26:$F$69,$F54,Налоги!$G$26:$G$69,$G54)</f>
        <v>0</v>
      </c>
      <c r="AJ54" s="612">
        <f>_xlfn.SUMIFS(Налоги!AI$26:AI$69,Налоги!$F$26:$F$69,$F54,Налоги!$G$26:$G$69,$G54)</f>
        <v>0</v>
      </c>
      <c r="AK54" s="612">
        <f>_xlfn.SUMIFS(Налоги!AJ$26:AJ$69,Налоги!$F$26:$F$69,$F54,Налоги!$G$26:$G$69,$G54)</f>
        <v>0</v>
      </c>
      <c r="AL54" s="612">
        <f>_xlfn.SUMIFS(Налоги!AK$26:AK$69,Налоги!$F$26:$F$69,$F54,Налоги!$G$26:$G$69,$G54)</f>
        <v>0</v>
      </c>
      <c r="AM54" s="612">
        <f>_xlfn.SUMIFS(Налоги!AL$26:AL$69,Налоги!$F$26:$F$69,$F54,Налоги!$G$26:$G$69,$G54)</f>
        <v>0</v>
      </c>
      <c r="AN54" s="612">
        <f>_xlfn.SUMIFS(Налоги!AM$26:AM$69,Налоги!$F$26:$F$69,$F54,Налоги!$G$26:$G$69,$G54)</f>
        <v>0</v>
      </c>
      <c r="AO54" s="612">
        <f>_xlfn.SUMIFS(Налоги!AN$26:AN$69,Налоги!$F$26:$F$69,$F54,Налоги!$G$26:$G$69,$G54)</f>
        <v>0</v>
      </c>
      <c r="AP54" s="612">
        <f>_xlfn.SUMIFS(Налоги!AO$26:AO$69,Налоги!$F$26:$F$69,$F54,Налоги!$G$26:$G$69,$G54)</f>
        <v>0</v>
      </c>
      <c r="AQ54" s="612">
        <f>_xlfn.SUMIFS(Налоги!AP$26:AP$69,Налоги!$F$26:$F$69,$F54,Налоги!$G$26:$G$69,$G54)</f>
        <v>0</v>
      </c>
      <c r="AR54" s="612">
        <f>_xlfn.SUMIFS(Налоги!AQ$26:AQ$69,Налоги!$F$26:$F$69,$F54,Налоги!$G$26:$G$69,$G54)</f>
        <v>0</v>
      </c>
      <c r="AS54" s="612">
        <f>_xlfn.SUMIFS(Налоги!AR$26:AR$69,Налоги!$F$26:$F$69,$F54,Налоги!$G$26:$G$69,$G54)</f>
        <v>0</v>
      </c>
      <c r="AT54" s="612">
        <f>_xlfn.SUMIFS(Налоги!AS$26:AS$69,Налоги!$F$26:$F$69,$F54,Налоги!$G$26:$G$69,$G54)</f>
        <v>0</v>
      </c>
      <c r="AU54" s="612">
        <f>_xlfn.SUMIFS(Налоги!AT$26:AT$69,Налоги!$F$26:$F$69,$F54,Налоги!$G$26:$G$69,$G54)</f>
        <v>0</v>
      </c>
      <c r="AV54" s="612">
        <f>_xlfn.SUMIFS(Налоги!AU$26:AU$69,Налоги!$F$26:$F$69,$F54,Налоги!$G$26:$G$69,$G54)</f>
        <v>0</v>
      </c>
      <c r="AW54" s="612">
        <f>_xlfn.SUMIFS(Налоги!AV$26:AV$69,Налоги!$F$26:$F$69,$F54,Налоги!$G$26:$G$69,$G54)</f>
        <v>0</v>
      </c>
      <c r="AX54" s="612">
        <f>_xlfn.SUMIFS(Налоги!AW$26:AW$69,Налоги!$F$26:$F$69,$F54,Налоги!$G$26:$G$69,$G54)</f>
        <v>0</v>
      </c>
      <c r="AY54" s="612">
        <f>_xlfn.SUMIFS(Налоги!AX$26:AX$69,Налоги!$F$26:$F$69,$F54,Налоги!$G$26:$G$69,$G54)</f>
        <v>0</v>
      </c>
      <c r="AZ54" s="612">
        <f>_xlfn.SUMIFS(Налоги!AY$26:AY$69,Налоги!$F$26:$F$69,$F54,Налоги!$G$26:$G$69,$G54)</f>
        <v>0</v>
      </c>
      <c r="BA54" s="612">
        <f>_xlfn.SUMIFS(Налоги!AZ$26:AZ$69,Налоги!$F$26:$F$69,$F54,Налоги!$G$26:$G$69,$G54)</f>
        <v>0</v>
      </c>
      <c r="BB54" s="612">
        <f>_xlfn.SUMIFS(Налоги!BA$26:BA$69,Налоги!$F$26:$F$69,$F54,Налоги!$G$26:$G$69,$G54)</f>
        <v>0</v>
      </c>
      <c r="BC54" s="612">
        <f>_xlfn.SUMIFS(Налоги!BB$26:BB$69,Налоги!$F$26:$F$69,$F54,Налоги!$G$26:$G$69,$G54)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30"/>
      <c r="BO54" s="1730"/>
      <c r="BP54" s="1730"/>
      <c r="BQ54" s="232"/>
      <c r="BR54" s="232"/>
      <c r="BS54" s="1181" t="s">
        <v>1360</v>
      </c>
    </row>
    <row s="1905" customFormat="1" customHeight="1" ht="14.25">
      <c r="A55" s="232"/>
      <c r="B55" s="232"/>
      <c r="C55" s="232"/>
      <c r="D55" s="232"/>
      <c r="E55" s="794">
        <v>15</v>
      </c>
      <c r="F55" s="919" cm="1" t="str">
        <f t="array" ref="F55:F55">OFFSET(G55,-1,-1)</f>
        <v>1</v>
      </c>
      <c r="G55" s="190" t="s">
        <v>1248</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1033</v>
      </c>
      <c r="AC55" s="164" t="s">
        <v>1361</v>
      </c>
      <c r="AD55" s="157" t="s">
        <v>805</v>
      </c>
      <c r="AE55" s="612">
        <f>_xlfn.SUMIFS(Налоги!AE$26:AE$69,Налоги!$F$26:$F$69,$F55,Налоги!$G$26:$G$69,$G55)</f>
        <v>0</v>
      </c>
      <c r="AF55" s="612">
        <f>_xlfn.SUMIFS(Налоги!AF$26:AF$69,Налоги!$F$26:$F$69,$F55,Налоги!$G$26:$G$69,$G55)</f>
        <v>0</v>
      </c>
      <c r="AG55" s="1903">
        <f>_xlfn.SUMIFS(Налоги!AG$26:AG$69,Налоги!$F$26:$F$69,$F55,Налоги!$G$26:$G$69,$G55)</f>
        <v>0</v>
      </c>
      <c r="AH55" s="307">
        <f>AG55-AF55</f>
        <v>0</v>
      </c>
      <c r="AI55" s="612">
        <f>_xlfn.SUMIFS(Налоги!AH$26:AH$69,Налоги!$F$26:$F$69,$F55,Налоги!$G$26:$G$69,$G55)</f>
        <v>0</v>
      </c>
      <c r="AJ55" s="612">
        <f>_xlfn.SUMIFS(Налоги!AI$26:AI$69,Налоги!$F$26:$F$69,$F55,Налоги!$G$26:$G$69,$G55)</f>
        <v>38</v>
      </c>
      <c r="AK55" s="612">
        <f>_xlfn.SUMIFS(Налоги!AJ$26:AJ$69,Налоги!$F$26:$F$69,$F55,Налоги!$G$26:$G$69,$G55)</f>
        <v>38</v>
      </c>
      <c r="AL55" s="612">
        <f>_xlfn.SUMIFS(Налоги!AK$26:AK$69,Налоги!$F$26:$F$69,$F55,Налоги!$G$26:$G$69,$G55)</f>
        <v>38</v>
      </c>
      <c r="AM55" s="612">
        <f>_xlfn.SUMIFS(Налоги!AL$26:AL$69,Налоги!$F$26:$F$69,$F55,Налоги!$G$26:$G$69,$G55)</f>
        <v>38</v>
      </c>
      <c r="AN55" s="612">
        <f>_xlfn.SUMIFS(Налоги!AM$26:AM$69,Налоги!$F$26:$F$69,$F55,Налоги!$G$26:$G$69,$G55)</f>
        <v>38</v>
      </c>
      <c r="AO55" s="612">
        <f>_xlfn.SUMIFS(Налоги!AN$26:AN$69,Налоги!$F$26:$F$69,$F55,Налоги!$G$26:$G$69,$G55)</f>
        <v>0</v>
      </c>
      <c r="AP55" s="612">
        <f>_xlfn.SUMIFS(Налоги!AO$26:AO$69,Налоги!$F$26:$F$69,$F55,Налоги!$G$26:$G$69,$G55)</f>
        <v>0</v>
      </c>
      <c r="AQ55" s="612">
        <f>_xlfn.SUMIFS(Налоги!AP$26:AP$69,Налоги!$F$26:$F$69,$F55,Налоги!$G$26:$G$69,$G55)</f>
        <v>0</v>
      </c>
      <c r="AR55" s="612">
        <f>_xlfn.SUMIFS(Налоги!AQ$26:AQ$69,Налоги!$F$26:$F$69,$F55,Налоги!$G$26:$G$69,$G55)</f>
        <v>0</v>
      </c>
      <c r="AS55" s="612">
        <f>_xlfn.SUMIFS(Налоги!AR$26:AR$69,Налоги!$F$26:$F$69,$F55,Налоги!$G$26:$G$69,$G55)</f>
        <v>0</v>
      </c>
      <c r="AT55" s="612">
        <f>_xlfn.SUMIFS(Налоги!AS$26:AS$69,Налоги!$F$26:$F$69,$F55,Налоги!$G$26:$G$69,$G55)</f>
        <v>1</v>
      </c>
      <c r="AU55" s="612">
        <f>_xlfn.SUMIFS(Налоги!AT$26:AT$69,Налоги!$F$26:$F$69,$F55,Налоги!$G$26:$G$69,$G55)</f>
        <v>1</v>
      </c>
      <c r="AV55" s="612">
        <f>_xlfn.SUMIFS(Налоги!AU$26:AU$69,Налоги!$F$26:$F$69,$F55,Налоги!$G$26:$G$69,$G55)</f>
        <v>1</v>
      </c>
      <c r="AW55" s="612">
        <f>_xlfn.SUMIFS(Налоги!AV$26:AV$69,Налоги!$F$26:$F$69,$F55,Налоги!$G$26:$G$69,$G55)</f>
        <v>1</v>
      </c>
      <c r="AX55" s="612">
        <f>_xlfn.SUMIFS(Налоги!AW$26:AW$69,Налоги!$F$26:$F$69,$F55,Налоги!$G$26:$G$69,$G55)</f>
        <v>1</v>
      </c>
      <c r="AY55" s="612">
        <f>_xlfn.SUMIFS(Налоги!AX$26:AX$69,Налоги!$F$26:$F$69,$F55,Налоги!$G$26:$G$69,$G55)</f>
        <v>0</v>
      </c>
      <c r="AZ55" s="612">
        <f>_xlfn.SUMIFS(Налоги!AY$26:AY$69,Налоги!$F$26:$F$69,$F55,Налоги!$G$26:$G$69,$G55)</f>
        <v>0</v>
      </c>
      <c r="BA55" s="612">
        <f>_xlfn.SUMIFS(Налоги!AZ$26:AZ$69,Налоги!$F$26:$F$69,$F55,Налоги!$G$26:$G$69,$G55)</f>
        <v>0</v>
      </c>
      <c r="BB55" s="612">
        <f>_xlfn.SUMIFS(Налоги!BA$26:BA$69,Налоги!$F$26:$F$69,$F55,Налоги!$G$26:$G$69,$G55)</f>
        <v>0</v>
      </c>
      <c r="BC55" s="612">
        <f>_xlfn.SUMIFS(Налоги!BB$26:BB$69,Налоги!$F$26:$F$69,$F55,Налоги!$G$26:$G$69,$G55)</f>
        <v>0</v>
      </c>
      <c r="BD55" s="307">
        <f>IF(AI55=0,0,(AT55-AI55)/AI55*100)</f>
        <v>0</v>
      </c>
      <c r="BE55" s="307">
        <f>IF(AT55=0,0,(AU55-AT55)/AT55*100)</f>
        <v>0</v>
      </c>
      <c r="BF55" s="307">
        <f>IF(AU55=0,0,(AV55-AU55)/AU55*100)</f>
        <v>0</v>
      </c>
      <c r="BG55" s="307">
        <f>IF(AV55=0,0,(AW55-AV55)/AV55*100)</f>
        <v>0</v>
      </c>
      <c r="BH55" s="307">
        <f>IF(AW55=0,0,(AX55-AW55)/AW55*100)</f>
        <v>0</v>
      </c>
      <c r="BI55" s="307">
        <f>IF(AX55=0,0,(AY55-AX55)/AX55*100)</f>
        <v>-100</v>
      </c>
      <c r="BJ55" s="307">
        <f>IF(AY55=0,0,(AZ55-AY55)/AY55*100)</f>
        <v>0</v>
      </c>
      <c r="BK55" s="307">
        <f>IF(AZ55=0,0,(BA55-AZ55)/AZ55*100)</f>
        <v>0</v>
      </c>
      <c r="BL55" s="307">
        <f>IF(BA55=0,0,(BB55-BA55)/BA55*100)</f>
        <v>0</v>
      </c>
      <c r="BM55" s="307">
        <f>IF(BB55=0,0,(BC55-BB55)/BB55*100)</f>
        <v>0</v>
      </c>
      <c r="BN55" s="1730"/>
      <c r="BO55" s="1730"/>
      <c r="BP55" s="1730"/>
      <c r="BQ55" s="232"/>
      <c r="BR55" s="232"/>
      <c r="BS55" s="1181" t="s">
        <v>1268</v>
      </c>
    </row>
    <row s="1619"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1042</v>
      </c>
      <c r="AC56" s="164" t="s">
        <v>1362</v>
      </c>
      <c r="AD56" s="157" t="s">
        <v>805</v>
      </c>
      <c r="AE56" s="1903"/>
      <c r="AF56" s="1903"/>
      <c r="AG56" s="1903"/>
      <c r="AH56" s="307">
        <f>AG56-AF56</f>
        <v>0</v>
      </c>
      <c r="AI56" s="1903"/>
      <c r="AJ56" s="614">
        <v>329</v>
      </c>
      <c r="AK56" s="614">
        <v>339</v>
      </c>
      <c r="AL56" s="614">
        <v>349</v>
      </c>
      <c r="AM56" s="614">
        <v>359</v>
      </c>
      <c r="AN56" s="614">
        <v>370</v>
      </c>
      <c r="AO56" s="1903"/>
      <c r="AP56" s="1903"/>
      <c r="AQ56" s="1903"/>
      <c r="AR56" s="1903"/>
      <c r="AS56" s="1903"/>
      <c r="AT56" s="614">
        <v>146</v>
      </c>
      <c r="AU56" s="614">
        <v>150</v>
      </c>
      <c r="AV56" s="614">
        <v>156</v>
      </c>
      <c r="AW56" s="614">
        <v>163</v>
      </c>
      <c r="AX56" s="614">
        <v>167</v>
      </c>
      <c r="AY56" s="1903"/>
      <c r="AZ56" s="1903"/>
      <c r="BA56" s="1903"/>
      <c r="BB56" s="1903"/>
      <c r="BC56" s="1903"/>
      <c r="BD56" s="307">
        <f>IF(AI56=0,0,(AT56-AI56)/AI56*100)</f>
        <v>0</v>
      </c>
      <c r="BE56" s="307">
        <f>IF(AT56=0,0,(AU56-AT56)/AT56*100)</f>
        <v>2.73972602739726</v>
      </c>
      <c r="BF56" s="307">
        <f>IF(AU56=0,0,(AV56-AU56)/AU56*100)</f>
        <v>4</v>
      </c>
      <c r="BG56" s="307">
        <f>IF(AV56=0,0,(AW56-AV56)/AV56*100)</f>
        <v>4.48717948717949</v>
      </c>
      <c r="BH56" s="307">
        <f>IF(AW56=0,0,(AX56-AW56)/AW56*100)</f>
        <v>2.45398773006135</v>
      </c>
      <c r="BI56" s="307">
        <f>IF(AX56=0,0,(AY56-AX56)/AX56*100)</f>
        <v>-100</v>
      </c>
      <c r="BJ56" s="307">
        <f>IF(AY56=0,0,(AZ56-AY56)/AY56*100)</f>
        <v>0</v>
      </c>
      <c r="BK56" s="307">
        <f>IF(AZ56=0,0,(BA56-AZ56)/AZ56*100)</f>
        <v>0</v>
      </c>
      <c r="BL56" s="307">
        <f>IF(BA56=0,0,(BB56-BA56)/BA56*100)</f>
        <v>0</v>
      </c>
      <c r="BM56" s="307">
        <f>IF(BB56=0,0,(BC56-BB56)/BB56*100)</f>
        <v>0</v>
      </c>
      <c r="BN56" s="1730"/>
      <c r="BO56" s="1730"/>
      <c r="BP56" s="1730"/>
      <c r="BQ56" s="227"/>
      <c r="BR56" s="227"/>
      <c r="BS56" s="1181" t="s">
        <v>1363</v>
      </c>
    </row>
    <row s="1619"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1364</v>
      </c>
      <c r="AC57" s="871" t="s">
        <v>1365</v>
      </c>
      <c r="AD57" s="157" t="s">
        <v>490</v>
      </c>
      <c r="AE57" s="1889"/>
      <c r="AF57" s="1889"/>
      <c r="AG57" s="1889"/>
      <c r="AH57" s="307">
        <f>AG57-AF57</f>
        <v>0</v>
      </c>
      <c r="AI57" s="1889"/>
      <c r="AJ57" s="1132"/>
      <c r="AK57" s="1132"/>
      <c r="AL57" s="1132"/>
      <c r="AM57" s="1132"/>
      <c r="AN57" s="1132"/>
      <c r="AO57" s="1889"/>
      <c r="AP57" s="1889"/>
      <c r="AQ57" s="1889"/>
      <c r="AR57" s="1889"/>
      <c r="AS57" s="1889"/>
      <c r="AT57" s="1132"/>
      <c r="AU57" s="1132"/>
      <c r="AV57" s="1132"/>
      <c r="AW57" s="1132"/>
      <c r="AX57" s="1132"/>
      <c r="AY57" s="1889"/>
      <c r="AZ57" s="1889"/>
      <c r="BA57" s="1889"/>
      <c r="BB57" s="1889"/>
      <c r="BC57" s="1889"/>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30"/>
      <c r="BO57" s="1730"/>
      <c r="BP57" s="1730"/>
      <c r="BQ57" s="227"/>
      <c r="BR57" s="227"/>
      <c r="BS57" s="1181" t="s">
        <v>1366</v>
      </c>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1045</v>
      </c>
      <c r="AC58" s="164" t="s">
        <v>1367</v>
      </c>
      <c r="AD58" s="157" t="s">
        <v>805</v>
      </c>
      <c r="AE58" s="1903"/>
      <c r="AF58" s="1903"/>
      <c r="AG58" s="1903"/>
      <c r="AH58" s="307">
        <f>AG58-AF58</f>
        <v>0</v>
      </c>
      <c r="AI58" s="1903"/>
      <c r="AJ58" s="614">
        <v>558</v>
      </c>
      <c r="AK58" s="614">
        <v>0</v>
      </c>
      <c r="AL58" s="614">
        <v>0</v>
      </c>
      <c r="AM58" s="614">
        <v>0</v>
      </c>
      <c r="AN58" s="614">
        <v>0</v>
      </c>
      <c r="AO58" s="1903"/>
      <c r="AP58" s="1903"/>
      <c r="AQ58" s="1903"/>
      <c r="AR58" s="1903"/>
      <c r="AS58" s="1903"/>
      <c r="AT58" s="614">
        <v>0</v>
      </c>
      <c r="AU58" s="614">
        <v>0</v>
      </c>
      <c r="AV58" s="614">
        <v>0</v>
      </c>
      <c r="AW58" s="614">
        <v>0</v>
      </c>
      <c r="AX58" s="614">
        <v>0</v>
      </c>
      <c r="AY58" s="1903"/>
      <c r="AZ58" s="1903"/>
      <c r="BA58" s="1903"/>
      <c r="BB58" s="1903"/>
      <c r="BC58" s="1903"/>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30"/>
      <c r="BO58" s="1730"/>
      <c r="BP58" s="1730"/>
      <c r="BQ58" s="227"/>
      <c r="BR58" s="227"/>
      <c r="BS58" s="1181" t="s">
        <v>1368</v>
      </c>
    </row>
    <row s="1619" customFormat="1" customHeight="1" ht="14.25">
      <c r="A59" s="225"/>
      <c r="B59" s="924"/>
      <c r="C59" s="225"/>
      <c r="D59" s="225"/>
      <c r="E59" s="794">
        <v>15</v>
      </c>
      <c r="F59" s="919" cm="1" t="str">
        <f t="array" ref="F59:F59">OFFSET(G59,-1,-1)</f>
        <v>1</v>
      </c>
      <c r="G59" s="190" t="s">
        <v>1129</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1048</v>
      </c>
      <c r="AC59" s="164" t="s">
        <v>1369</v>
      </c>
      <c r="AD59" s="157" t="s">
        <v>805</v>
      </c>
      <c r="AE59" s="612">
        <f>_xlfn.SUMIFS(Амортизация!AE$26:AE$324,Амортизация!$F$26:$F$324,$F59,Амортизация!$G$26:$G$324,$G59)</f>
        <v>0</v>
      </c>
      <c r="AF59" s="612">
        <f>_xlfn.SUMIFS(Амортизация!AF$26:AF$324,Амортизация!$F$26:$F$324,$F59,Амортизация!$G$26:$G$324,$G59)</f>
        <v>0</v>
      </c>
      <c r="AG59" s="1903">
        <f>_xlfn.SUMIFS(Амортизация!AG$26:AG$324,Амортизация!$F$26:$F$324,$F59,Амортизация!$G$26:$G$324,$G59)</f>
        <v>0</v>
      </c>
      <c r="AH59" s="307">
        <f>AG59-AF59</f>
        <v>0</v>
      </c>
      <c r="AI59" s="612">
        <f>_xlfn.SUMIFS(Амортизация!AH$26:AH$324,Амортизация!$F$26:$F$324,$F59,Амортизация!$G$26:$G$324,$G59)</f>
        <v>0</v>
      </c>
      <c r="AJ59" s="612">
        <f>_xlfn.SUMIFS(Амортизация!AI$26:AI$324,Амортизация!$F$26:$F$324,$F59,Амортизация!$G$26:$G$324,$G59)</f>
        <v>507</v>
      </c>
      <c r="AK59" s="612">
        <f>_xlfn.SUMIFS(Амортизация!AJ$26:AJ$324,Амортизация!$F$26:$F$324,$F59,Амортизация!$G$26:$G$324,$G59)</f>
        <v>507</v>
      </c>
      <c r="AL59" s="612">
        <f>_xlfn.SUMIFS(Амортизация!AK$26:AK$324,Амортизация!$F$26:$F$324,$F59,Амортизация!$G$26:$G$324,$G59)</f>
        <v>507</v>
      </c>
      <c r="AM59" s="612">
        <f>_xlfn.SUMIFS(Амортизация!AL$26:AL$324,Амортизация!$F$26:$F$324,$F59,Амортизация!$G$26:$G$324,$G59)</f>
        <v>465</v>
      </c>
      <c r="AN59" s="612">
        <f>_xlfn.SUMIFS(Амортизация!AM$26:AM$324,Амортизация!$F$26:$F$324,$F59,Амортизация!$G$26:$G$324,$G59)</f>
        <v>465</v>
      </c>
      <c r="AO59" s="612">
        <f>_xlfn.SUMIFS(Амортизация!AN$26:AN$324,Амортизация!$F$26:$F$324,$F59,Амортизация!$G$26:$G$324,$G59)</f>
        <v>0</v>
      </c>
      <c r="AP59" s="612">
        <f>_xlfn.SUMIFS(Амортизация!AO$26:AO$324,Амортизация!$F$26:$F$324,$F59,Амортизация!$G$26:$G$324,$G59)</f>
        <v>0</v>
      </c>
      <c r="AQ59" s="612">
        <f>_xlfn.SUMIFS(Амортизация!AP$26:AP$324,Амортизация!$F$26:$F$324,$F59,Амортизация!$G$26:$G$324,$G59)</f>
        <v>0</v>
      </c>
      <c r="AR59" s="612">
        <f>_xlfn.SUMIFS(Амортизация!AQ$26:AQ$324,Амортизация!$F$26:$F$324,$F59,Амортизация!$G$26:$G$324,$G59)</f>
        <v>0</v>
      </c>
      <c r="AS59" s="612">
        <f>_xlfn.SUMIFS(Амортизация!AR$26:AR$324,Амортизация!$F$26:$F$324,$F59,Амортизация!$G$26:$G$324,$G59)</f>
        <v>0</v>
      </c>
      <c r="AT59" s="612">
        <f>_xlfn.SUMIFS(Амортизация!AS$26:AS$324,Амортизация!$F$26:$F$324,$F59,Амортизация!$G$26:$G$324,$G59)</f>
        <v>322</v>
      </c>
      <c r="AU59" s="612">
        <f>_xlfn.SUMIFS(Амортизация!AT$26:AT$324,Амортизация!$F$26:$F$324,$F59,Амортизация!$G$26:$G$324,$G59)</f>
        <v>322</v>
      </c>
      <c r="AV59" s="612">
        <f>_xlfn.SUMIFS(Амортизация!AU$26:AU$324,Амортизация!$F$26:$F$324,$F59,Амортизация!$G$26:$G$324,$G59)</f>
        <v>4</v>
      </c>
      <c r="AW59" s="612">
        <f>_xlfn.SUMIFS(Амортизация!AV$26:AV$324,Амортизация!$F$26:$F$324,$F59,Амортизация!$G$26:$G$324,$G59)</f>
        <v>4</v>
      </c>
      <c r="AX59" s="612">
        <f>_xlfn.SUMIFS(Амортизация!AW$26:AW$324,Амортизация!$F$26:$F$324,$F59,Амортизация!$G$26:$G$324,$G59)</f>
        <v>4</v>
      </c>
      <c r="AY59" s="612">
        <f>_xlfn.SUMIFS(Амортизация!AX$26:AX$324,Амортизация!$F$26:$F$324,$F59,Амортизация!$G$26:$G$324,$G59)</f>
        <v>0</v>
      </c>
      <c r="AZ59" s="612">
        <f>_xlfn.SUMIFS(Амортизация!AY$26:AY$324,Амортизация!$F$26:$F$324,$F59,Амортизация!$G$26:$G$324,$G59)</f>
        <v>0</v>
      </c>
      <c r="BA59" s="612">
        <f>_xlfn.SUMIFS(Амортизация!AZ$26:AZ$324,Амортизация!$F$26:$F$324,$F59,Амортизация!$G$26:$G$324,$G59)</f>
        <v>0</v>
      </c>
      <c r="BB59" s="612">
        <f>_xlfn.SUMIFS(Амортизация!BA$26:BA$324,Амортизация!$F$26:$F$324,$F59,Амортизация!$G$26:$G$324,$G59)</f>
        <v>0</v>
      </c>
      <c r="BC59" s="612">
        <f>_xlfn.SUMIFS(Амортизация!BB$26:BB$324,Амортизация!$F$26:$F$324,$F59,Амортизация!$G$26:$G$324,$G59)</f>
        <v>0</v>
      </c>
      <c r="BD59" s="307">
        <f>IF(AI59=0,0,(AT59-AI59)/AI59*100)</f>
        <v>0</v>
      </c>
      <c r="BE59" s="307">
        <f>IF(AT59=0,0,(AU59-AT59)/AT59*100)</f>
        <v>0</v>
      </c>
      <c r="BF59" s="307">
        <f>IF(AU59=0,0,(AV59-AU59)/AU59*100)</f>
        <v>-98.7577639751553</v>
      </c>
      <c r="BG59" s="307">
        <f>IF(AV59=0,0,(AW59-AV59)/AV59*100)</f>
        <v>0</v>
      </c>
      <c r="BH59" s="307">
        <f>IF(AW59=0,0,(AX59-AW59)/AW59*100)</f>
        <v>0</v>
      </c>
      <c r="BI59" s="307">
        <f>IF(AX59=0,0,(AY59-AX59)/AX59*100)</f>
        <v>-100</v>
      </c>
      <c r="BJ59" s="307">
        <f>IF(AY59=0,0,(AZ59-AY59)/AY59*100)</f>
        <v>0</v>
      </c>
      <c r="BK59" s="307">
        <f>IF(AZ59=0,0,(BA59-AZ59)/AZ59*100)</f>
        <v>0</v>
      </c>
      <c r="BL59" s="307">
        <f>IF(BA59=0,0,(BB59-BA59)/BA59*100)</f>
        <v>0</v>
      </c>
      <c r="BM59" s="307">
        <f>IF(BB59=0,0,(BC59-BB59)/BB59*100)</f>
        <v>0</v>
      </c>
      <c r="BN59" s="1730"/>
      <c r="BO59" s="1730"/>
      <c r="BP59" s="1730"/>
      <c r="BQ59" s="227"/>
      <c r="BR59" s="227"/>
      <c r="BS59" s="1181" t="s">
        <v>1370</v>
      </c>
    </row>
    <row s="1619"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1051</v>
      </c>
      <c r="AC60" s="164" t="s">
        <v>1371</v>
      </c>
      <c r="AD60" s="157" t="s">
        <v>805</v>
      </c>
      <c r="AE60" s="1903"/>
      <c r="AF60" s="1903"/>
      <c r="AG60" s="1903"/>
      <c r="AH60" s="307">
        <f>AG60-AF60</f>
        <v>0</v>
      </c>
      <c r="AI60" s="1903"/>
      <c r="AJ60" s="614"/>
      <c r="AK60" s="614"/>
      <c r="AL60" s="614"/>
      <c r="AM60" s="614"/>
      <c r="AN60" s="614"/>
      <c r="AO60" s="1903"/>
      <c r="AP60" s="1903"/>
      <c r="AQ60" s="1903"/>
      <c r="AR60" s="1903"/>
      <c r="AS60" s="1903"/>
      <c r="AT60" s="614"/>
      <c r="AU60" s="614"/>
      <c r="AV60" s="614"/>
      <c r="AW60" s="614"/>
      <c r="AX60" s="614"/>
      <c r="AY60" s="1903"/>
      <c r="AZ60" s="1903"/>
      <c r="BA60" s="1903"/>
      <c r="BB60" s="1903"/>
      <c r="BC60" s="1903"/>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30"/>
      <c r="BO60" s="1730"/>
      <c r="BP60" s="1730"/>
      <c r="BQ60" s="227"/>
      <c r="BR60" s="227"/>
      <c r="BS60" s="1181" t="s">
        <v>1372</v>
      </c>
    </row>
    <row s="1619"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1266</v>
      </c>
      <c r="AC61" s="164" t="s">
        <v>1373</v>
      </c>
      <c r="AD61" s="157" t="s">
        <v>805</v>
      </c>
      <c r="AE61" s="1903"/>
      <c r="AF61" s="1903"/>
      <c r="AG61" s="1903"/>
      <c r="AH61" s="307">
        <f>AG61-AF61</f>
        <v>0</v>
      </c>
      <c r="AI61" s="1903"/>
      <c r="AJ61" s="614"/>
      <c r="AK61" s="614"/>
      <c r="AL61" s="614"/>
      <c r="AM61" s="614"/>
      <c r="AN61" s="614"/>
      <c r="AO61" s="1903"/>
      <c r="AP61" s="1903"/>
      <c r="AQ61" s="1903"/>
      <c r="AR61" s="1903"/>
      <c r="AS61" s="1903"/>
      <c r="AT61" s="614"/>
      <c r="AU61" s="614"/>
      <c r="AV61" s="614"/>
      <c r="AW61" s="614"/>
      <c r="AX61" s="614"/>
      <c r="AY61" s="1903"/>
      <c r="AZ61" s="1903"/>
      <c r="BA61" s="1903"/>
      <c r="BB61" s="1903"/>
      <c r="BC61" s="1903"/>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30"/>
      <c r="BO61" s="1730"/>
      <c r="BP61" s="1730"/>
      <c r="BQ61" s="227"/>
      <c r="BR61" s="227"/>
      <c r="BS61" s="1181" t="s">
        <v>1374</v>
      </c>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1375</v>
      </c>
      <c r="AD62" s="157" t="s">
        <v>805</v>
      </c>
      <c r="AE62" s="612">
        <f>AE49+AE50+AE51+AE52+AE56+AE58+AE59+AE60+AE61</f>
        <v>0</v>
      </c>
      <c r="AF62" s="612">
        <f>AF49+AF50+AF51+AF52+AF56+AF58+AF59+AF60+AF61</f>
        <v>0</v>
      </c>
      <c r="AG62" s="1903">
        <f>AG49+AG50+AG51+AG52+AG56+AG58+AG59+AG60+AG61</f>
        <v>0</v>
      </c>
      <c r="AH62" s="307">
        <f>AG62-AF62</f>
        <v>0</v>
      </c>
      <c r="AI62" s="612">
        <f>AI49+AI50+AI51+AI52+AI56+AI58+AI59+AI60+AI61</f>
        <v>0</v>
      </c>
      <c r="AJ62" s="612">
        <f>AJ49+AJ50+AJ51+AJ52+AJ56+AJ58+AJ59+AJ60+AJ61</f>
        <v>5755</v>
      </c>
      <c r="AK62" s="612">
        <f>AK49+AK50+AK51+AK52+AK56+AK58+AK59+AK60+AK61</f>
        <v>5380</v>
      </c>
      <c r="AL62" s="612">
        <f>AL49+AL50+AL51+AL52+AL56+AL58+AL59+AL60+AL61</f>
        <v>5570</v>
      </c>
      <c r="AM62" s="612">
        <f>AM49+AM50+AM51+AM52+AM56+AM58+AM59+AM60+AM61</f>
        <v>5725</v>
      </c>
      <c r="AN62" s="612">
        <f>AN49+AN50+AN51+AN52+AN56+AN58+AN59+AN60+AN61</f>
        <v>5930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4791.00116</v>
      </c>
      <c r="AU62" s="612">
        <f>AU49+AU50+AU51+AU52+AU56+AU58+AU59+AU60+AU61</f>
        <v>4968</v>
      </c>
      <c r="AV62" s="612">
        <f>AV49+AV50+AV51+AV52+AV56+AV58+AV59+AV60+AV61</f>
        <v>4836</v>
      </c>
      <c r="AW62" s="612">
        <f>AW49+AW50+AW51+AW52+AW56+AW58+AW59+AW60+AW61</f>
        <v>5030.00000000001</v>
      </c>
      <c r="AX62" s="612">
        <f>AX49+AX50+AX51+AX52+AX56+AX58+AX59+AX60+AX61</f>
        <v>5228.00000000002</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3.69440194416484</v>
      </c>
      <c r="BF62" s="307">
        <f>IF(AU62=0,0,(AV62-AU62)/AU62*100)</f>
        <v>-2.65700483091787</v>
      </c>
      <c r="BG62" s="307">
        <f>IF(AV62=0,0,(AW62-AV62)/AV62*100)</f>
        <v>4.01157981803164</v>
      </c>
      <c r="BH62" s="307">
        <f>IF(AW62=0,0,(AX62-AW62)/AW62*100)</f>
        <v>3.93638170974174</v>
      </c>
      <c r="BI62" s="307">
        <f>IF(AX62=0,0,(AY62-AX62)/AX62*100)</f>
        <v>-100</v>
      </c>
      <c r="BJ62" s="307">
        <f>IF(AY62=0,0,(AZ62-AY62)/AY62*100)</f>
        <v>0</v>
      </c>
      <c r="BK62" s="307">
        <f>IF(AZ62=0,0,(BA62-AZ62)/AZ62*100)</f>
        <v>0</v>
      </c>
      <c r="BL62" s="307">
        <f>IF(BA62=0,0,(BB62-BA62)/BA62*100)</f>
        <v>0</v>
      </c>
      <c r="BM62" s="307">
        <f>IF(BB62=0,0,(BC62-BB62)/BB62*100)</f>
        <v>0</v>
      </c>
      <c r="BN62" s="1730"/>
      <c r="BO62" s="1730"/>
      <c r="BP62" s="1730"/>
      <c r="BQ62" s="227"/>
      <c r="BR62" s="227"/>
      <c r="BS62" s="1181" t="s">
        <v>592</v>
      </c>
    </row>
    <row s="1619" customFormat="1" customHeight="1" ht="14.25">
      <c r="A63" s="225"/>
      <c r="B63" s="924"/>
      <c r="C63" s="225"/>
      <c r="D63" s="225"/>
      <c r="E63" s="794">
        <v>15</v>
      </c>
      <c r="F63" s="919" cm="1" t="str">
        <f t="array" ref="F63:F63">OFFSET(G63,-1,-1)</f>
        <v>1</v>
      </c>
      <c r="G63" s="190" t="s">
        <v>1261</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343</v>
      </c>
      <c r="AC63" s="164" t="s">
        <v>1376</v>
      </c>
      <c r="AD63" s="157" t="s">
        <v>805</v>
      </c>
      <c r="AE63" s="612">
        <f>_xlfn.SUMIFS(Налоги!AE$26:AE$69,Налоги!$F$26:$F$69,$F63,Налоги!$G$26:$G$69,$G63)</f>
        <v>0</v>
      </c>
      <c r="AF63" s="612">
        <f>_xlfn.SUMIFS(Налоги!AF$26:AF$69,Налоги!$F$26:$F$69,$F63,Налоги!$G$26:$G$69,$G63)</f>
        <v>0</v>
      </c>
      <c r="AG63" s="1903">
        <f>_xlfn.SUMIFS(Налоги!AG$26:AG$69,Налоги!$F$26:$F$69,$F63,Налоги!$G$26:$G$69,$G63)</f>
        <v>0</v>
      </c>
      <c r="AH63" s="307">
        <f>AG63-AF63</f>
        <v>0</v>
      </c>
      <c r="AI63" s="612">
        <f>_xlfn.SUMIFS(Налоги!AH$26:AH$69,Налоги!$F$26:$F$69,$F63,Налоги!$G$26:$G$69,$G63)</f>
        <v>0</v>
      </c>
      <c r="AJ63" s="612">
        <f>_xlfn.SUMIFS(Налоги!AI$26:AI$69,Налоги!$F$26:$F$69,$F63,Налоги!$G$26:$G$69,$G63)</f>
        <v>0</v>
      </c>
      <c r="AK63" s="612">
        <f>_xlfn.SUMIFS(Налоги!AJ$26:AJ$69,Налоги!$F$26:$F$69,$F63,Налоги!$G$26:$G$69,$G63)</f>
        <v>0</v>
      </c>
      <c r="AL63" s="612">
        <f>_xlfn.SUMIFS(Налоги!AK$26:AK$69,Налоги!$F$26:$F$69,$F63,Налоги!$G$26:$G$69,$G63)</f>
        <v>0</v>
      </c>
      <c r="AM63" s="612">
        <f>_xlfn.SUMIFS(Налоги!AL$26:AL$69,Налоги!$F$26:$F$69,$F63,Налоги!$G$26:$G$69,$G63)</f>
        <v>0</v>
      </c>
      <c r="AN63" s="612">
        <f>_xlfn.SUMIFS(Налоги!AM$26:AM$69,Налоги!$F$26:$F$69,$F63,Налоги!$G$26:$G$69,$G63)</f>
        <v>0</v>
      </c>
      <c r="AO63" s="612">
        <f>_xlfn.SUMIFS(Налоги!AN$26:AN$69,Налоги!$F$26:$F$69,$F63,Налоги!$G$26:$G$69,$G63)</f>
        <v>0</v>
      </c>
      <c r="AP63" s="612">
        <f>_xlfn.SUMIFS(Налоги!AO$26:AO$69,Налоги!$F$26:$F$69,$F63,Налоги!$G$26:$G$69,$G63)</f>
        <v>0</v>
      </c>
      <c r="AQ63" s="612">
        <f>_xlfn.SUMIFS(Налоги!AP$26:AP$69,Налоги!$F$26:$F$69,$F63,Налоги!$G$26:$G$69,$G63)</f>
        <v>0</v>
      </c>
      <c r="AR63" s="612">
        <f>_xlfn.SUMIFS(Налоги!AQ$26:AQ$69,Налоги!$F$26:$F$69,$F63,Налоги!$G$26:$G$69,$G63)</f>
        <v>0</v>
      </c>
      <c r="AS63" s="612">
        <f>_xlfn.SUMIFS(Налоги!AR$26:AR$69,Налоги!$F$26:$F$69,$F63,Налоги!$G$26:$G$69,$G63)</f>
        <v>0</v>
      </c>
      <c r="AT63" s="612">
        <f>_xlfn.SUMIFS(Налоги!AS$26:AS$69,Налоги!$F$26:$F$69,$F63,Налоги!$G$26:$G$69,$G63)</f>
        <v>0</v>
      </c>
      <c r="AU63" s="612">
        <f>_xlfn.SUMIFS(Налоги!AT$26:AT$69,Налоги!$F$26:$F$69,$F63,Налоги!$G$26:$G$69,$G63)</f>
        <v>0</v>
      </c>
      <c r="AV63" s="612">
        <f>_xlfn.SUMIFS(Налоги!AU$26:AU$69,Налоги!$F$26:$F$69,$F63,Налоги!$G$26:$G$69,$G63)</f>
        <v>0</v>
      </c>
      <c r="AW63" s="612">
        <f>_xlfn.SUMIFS(Налоги!AV$26:AV$69,Налоги!$F$26:$F$69,$F63,Налоги!$G$26:$G$69,$G63)</f>
        <v>0</v>
      </c>
      <c r="AX63" s="612">
        <f>_xlfn.SUMIFS(Налоги!AW$26:AW$69,Налоги!$F$26:$F$69,$F63,Налоги!$G$26:$G$69,$G63)</f>
        <v>0</v>
      </c>
      <c r="AY63" s="612">
        <f>_xlfn.SUMIFS(Налоги!AX$26:AX$69,Налоги!$F$26:$F$69,$F63,Налоги!$G$26:$G$69,$G63)</f>
        <v>0</v>
      </c>
      <c r="AZ63" s="612">
        <f>_xlfn.SUMIFS(Налоги!AY$26:AY$69,Налоги!$F$26:$F$69,$F63,Налоги!$G$26:$G$69,$G63)</f>
        <v>0</v>
      </c>
      <c r="BA63" s="612">
        <f>_xlfn.SUMIFS(Налоги!AZ$26:AZ$69,Налоги!$F$26:$F$69,$F63,Налоги!$G$26:$G$69,$G63)</f>
        <v>0</v>
      </c>
      <c r="BB63" s="612">
        <f>_xlfn.SUMIFS(Налоги!BA$26:BA$69,Налоги!$F$26:$F$69,$F63,Налоги!$G$26:$G$69,$G63)</f>
        <v>0</v>
      </c>
      <c r="BC63" s="612">
        <f>_xlfn.SUMIFS(Налоги!BB$26:BB$69,Налоги!$F$26:$F$69,$F63,Налоги!$G$26:$G$69,$G63)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30"/>
      <c r="BO63" s="1730"/>
      <c r="BP63" s="1730"/>
      <c r="BQ63" s="227"/>
      <c r="BR63" s="227"/>
      <c r="BS63" s="1181" t="s">
        <v>571</v>
      </c>
    </row>
    <row s="1619" customFormat="1" customHeight="1" ht="27">
      <c r="A64" s="225"/>
      <c r="B64" s="924"/>
      <c r="C64" s="225"/>
      <c r="D64" s="225"/>
      <c r="E64" s="794">
        <v>27.8</v>
      </c>
      <c r="F64" s="919" cm="1" t="str">
        <f t="array" ref="F64:F64">OFFSET(G64,-1,-1)</f>
        <v>1</v>
      </c>
      <c r="G64" s="190" t="s">
        <v>1284</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614</v>
      </c>
      <c r="AC64" s="164" t="s">
        <v>1377</v>
      </c>
      <c r="AD64" s="157" t="s">
        <v>805</v>
      </c>
      <c r="AE64" s="1903"/>
      <c r="AF64" s="1903"/>
      <c r="AG64" s="1903"/>
      <c r="AH64" s="307">
        <f>AG64-AF64</f>
        <v>0</v>
      </c>
      <c r="AI64" s="1903"/>
      <c r="AJ64" s="612">
        <f>_xlfn.SUMIFS(Экономия_корр!AE$26:AE$51,Экономия_корр!$F$26:$F$51,$F64,Экономия_корр!$G$26:$G$51,$G64)</f>
        <v>0</v>
      </c>
      <c r="AK64" s="612">
        <f>_xlfn.SUMIFS(Экономия_корр!AF$26:AF$51,Экономия_корр!$F$26:$F$51,$F64,Экономия_корр!$G$26:$G$51,$G64)</f>
        <v>0</v>
      </c>
      <c r="AL64" s="612">
        <f>_xlfn.SUMIFS(Экономия_корр!AG$26:AG$51,Экономия_корр!$F$26:$F$51,$F64,Экономия_корр!$G$26:$G$51,$G64)</f>
        <v>0</v>
      </c>
      <c r="AM64" s="612">
        <f>_xlfn.SUMIFS(Экономия_корр!AH$26:AH$51,Экономия_корр!$F$26:$F$51,$F64,Экономия_корр!$G$26:$G$51,$G64)</f>
        <v>0</v>
      </c>
      <c r="AN64" s="612">
        <f>_xlfn.SUMIFS(Экономия_корр!AI$26:AI$51,Экономия_корр!$F$26:$F$51,$F64,Экономия_корр!$G$26:$G$51,$G64)</f>
        <v>0</v>
      </c>
      <c r="AO64" s="612">
        <f>_xlfn.SUMIFS(Экономия_корр!AJ$26:AJ$51,Экономия_корр!$F$26:$F$51,$F64,Экономия_корр!$G$26:$G$51,$G64)</f>
        <v>0</v>
      </c>
      <c r="AP64" s="612">
        <f>_xlfn.SUMIFS(Экономия_корр!AK$26:AK$51,Экономия_корр!$F$26:$F$51,$F64,Экономия_корр!$G$26:$G$51,$G64)</f>
        <v>0</v>
      </c>
      <c r="AQ64" s="612">
        <f>_xlfn.SUMIFS(Экономия_корр!AL$26:AL$51,Экономия_корр!$F$26:$F$51,$F64,Экономия_корр!$G$26:$G$51,$G64)</f>
        <v>0</v>
      </c>
      <c r="AR64" s="612">
        <f>_xlfn.SUMIFS(Экономия_корр!AM$26:AM$51,Экономия_корр!$F$26:$F$51,$F64,Экономия_корр!$G$26:$G$51,$G64)</f>
        <v>0</v>
      </c>
      <c r="AS64" s="612">
        <f>_xlfn.SUMIFS(Экономия_корр!AN$26:AN$51,Экономия_корр!$F$26:$F$51,$F64,Экономия_корр!$G$26:$G$51,$G64)</f>
        <v>0</v>
      </c>
      <c r="AT64" s="612">
        <f>_xlfn.SUMIFS(Экономия_корр!AO$26:AO$51,Экономия_корр!$F$26:$F$51,$F64,Экономия_корр!$G$26:$G$51,$G64)</f>
        <v>0</v>
      </c>
      <c r="AU64" s="612">
        <f>_xlfn.SUMIFS(Экономия_корр!AP$26:AP$51,Экономия_корр!$F$26:$F$51,$F64,Экономия_корр!$G$26:$G$51,$G64)</f>
        <v>0</v>
      </c>
      <c r="AV64" s="612">
        <f>_xlfn.SUMIFS(Экономия_корр!AQ$26:AQ$51,Экономия_корр!$F$26:$F$51,$F64,Экономия_корр!$G$26:$G$51,$G64)</f>
        <v>0</v>
      </c>
      <c r="AW64" s="612">
        <f>_xlfn.SUMIFS(Экономия_корр!AR$26:AR$51,Экономия_корр!$F$26:$F$51,$F64,Экономия_корр!$G$26:$G$51,$G64)</f>
        <v>0</v>
      </c>
      <c r="AX64" s="612">
        <f>_xlfn.SUMIFS(Экономия_корр!AS$26:AS$51,Экономия_корр!$F$26:$F$51,$F64,Экономия_корр!$G$26:$G$51,$G64)</f>
        <v>0</v>
      </c>
      <c r="AY64" s="612">
        <f>_xlfn.SUMIFS(Экономия_корр!AT$26:AT$51,Экономия_корр!$F$26:$F$51,$F64,Экономия_корр!$G$26:$G$51,$G64)</f>
        <v>0</v>
      </c>
      <c r="AZ64" s="612">
        <f>_xlfn.SUMIFS(Экономия_корр!AU$26:AU$51,Экономия_корр!$F$26:$F$51,$F64,Экономия_корр!$G$26:$G$51,$G64)</f>
        <v>0</v>
      </c>
      <c r="BA64" s="612">
        <f>_xlfn.SUMIFS(Экономия_корр!AV$26:AV$51,Экономия_корр!$F$26:$F$51,$F64,Экономия_корр!$G$26:$G$51,$G64)</f>
        <v>0</v>
      </c>
      <c r="BB64" s="612">
        <f>_xlfn.SUMIFS(Экономия_корр!AW$26:AW$51,Экономия_корр!$F$26:$F$51,$F64,Экономия_корр!$G$26:$G$51,$G64)</f>
        <v>0</v>
      </c>
      <c r="BC64" s="612">
        <f>_xlfn.SUMIFS(Экономия_корр!AX$26:AX$51,Экономия_корр!$F$26:$F$51,$F64,Экономия_корр!$G$26:$G$51,$G64)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30"/>
      <c r="BO64" s="1730"/>
      <c r="BP64" s="1730"/>
      <c r="BQ64" s="227"/>
      <c r="BR64" s="227"/>
      <c r="BS64" s="1181" t="s">
        <v>1378</v>
      </c>
    </row>
    <row s="1619"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624</v>
      </c>
      <c r="AC65" s="164" t="s">
        <v>1379</v>
      </c>
      <c r="AD65" s="157" t="s">
        <v>805</v>
      </c>
      <c r="AE65" s="1903"/>
      <c r="AF65" s="1903"/>
      <c r="AG65" s="1903"/>
      <c r="AH65" s="307">
        <f>AG65-AF65</f>
        <v>0</v>
      </c>
      <c r="AI65" s="1903"/>
      <c r="AJ65" s="614"/>
      <c r="AK65" s="614"/>
      <c r="AL65" s="614"/>
      <c r="AM65" s="614"/>
      <c r="AN65" s="614"/>
      <c r="AO65" s="1903"/>
      <c r="AP65" s="1903"/>
      <c r="AQ65" s="1903"/>
      <c r="AR65" s="1903"/>
      <c r="AS65" s="1903"/>
      <c r="AT65" s="614"/>
      <c r="AU65" s="614"/>
      <c r="AV65" s="614"/>
      <c r="AW65" s="614"/>
      <c r="AX65" s="614"/>
      <c r="AY65" s="1903"/>
      <c r="AZ65" s="1903"/>
      <c r="BA65" s="1903"/>
      <c r="BB65" s="1903"/>
      <c r="BC65" s="1903"/>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30"/>
      <c r="BO65" s="1730"/>
      <c r="BP65" s="1730"/>
      <c r="BQ65" s="227"/>
      <c r="BR65" s="227"/>
      <c r="BS65" s="1181" t="s">
        <v>1380</v>
      </c>
    </row>
    <row s="1907"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629</v>
      </c>
      <c r="AC66" s="159" t="s">
        <v>1351</v>
      </c>
      <c r="AD66" s="158" t="s">
        <v>805</v>
      </c>
      <c r="AE66" s="615">
        <f>AE62+AE63+AE64+AE65</f>
        <v>0</v>
      </c>
      <c r="AF66" s="615">
        <f>AF62+AF63+AF64+AF65</f>
        <v>0</v>
      </c>
      <c r="AG66" s="1908">
        <f>AG62+AG63+AG64+AG65</f>
        <v>0</v>
      </c>
      <c r="AH66" s="307">
        <f>AG66-AF66</f>
        <v>0</v>
      </c>
      <c r="AI66" s="615">
        <f>AI62+AI63+AI64+AI65</f>
        <v>0</v>
      </c>
      <c r="AJ66" s="615">
        <f>AJ62+AJ63+AJ64+AJ65</f>
        <v>5755</v>
      </c>
      <c r="AK66" s="615">
        <f>AK62+AK63+AK64+AK65</f>
        <v>5380</v>
      </c>
      <c r="AL66" s="615">
        <f>AL62+AL63+AL64+AL65</f>
        <v>5570</v>
      </c>
      <c r="AM66" s="615">
        <f>AM62+AM63+AM64+AM65</f>
        <v>5725</v>
      </c>
      <c r="AN66" s="615">
        <f>AN62+AN63+AN64+AN65</f>
        <v>5930</v>
      </c>
      <c r="AO66" s="615">
        <f>AO62+AO63+AO64+AO65</f>
        <v>0</v>
      </c>
      <c r="AP66" s="615">
        <f>AP62+AP63+AP64+AP65</f>
        <v>0</v>
      </c>
      <c r="AQ66" s="615">
        <f>AQ62+AQ63+AQ64+AQ65</f>
        <v>0</v>
      </c>
      <c r="AR66" s="615">
        <f>AR62+AR63+AR64+AR65</f>
        <v>0</v>
      </c>
      <c r="AS66" s="615">
        <f>AS62+AS63+AS64+AS65</f>
        <v>0</v>
      </c>
      <c r="AT66" s="615">
        <f>AT62+AT63+AT64+AT65</f>
        <v>4791.00116</v>
      </c>
      <c r="AU66" s="615">
        <f>AU62+AU63+AU64+AU65</f>
        <v>4968</v>
      </c>
      <c r="AV66" s="615">
        <f>AV62+AV63+AV64+AV65</f>
        <v>4836</v>
      </c>
      <c r="AW66" s="615">
        <f>AW62+AW63+AW64+AW65</f>
        <v>5030.00000000001</v>
      </c>
      <c r="AX66" s="615">
        <f>AX62+AX63+AX64+AX65</f>
        <v>5228.00000000002</v>
      </c>
      <c r="AY66" s="615">
        <f>AY62+AY63+AY64+AY65</f>
        <v>0</v>
      </c>
      <c r="AZ66" s="615">
        <f>AZ62+AZ63+AZ64+AZ65</f>
        <v>0</v>
      </c>
      <c r="BA66" s="615">
        <f>BA62+BA63+BA64+BA65</f>
        <v>0</v>
      </c>
      <c r="BB66" s="615">
        <f>BB62+BB63+BB64+BB65</f>
        <v>0</v>
      </c>
      <c r="BC66" s="615">
        <f>BC62+BC63+BC64+BC65</f>
        <v>0</v>
      </c>
      <c r="BD66" s="306">
        <f>IF(AI66=0,0,(AT66-AI66)/AI66*100)</f>
        <v>0</v>
      </c>
      <c r="BE66" s="306">
        <f>IF(AT66=0,0,(AU66-AT66)/AT66*100)</f>
        <v>3.69440194416484</v>
      </c>
      <c r="BF66" s="306">
        <f>IF(AU66=0,0,(AV66-AU66)/AU66*100)</f>
        <v>-2.65700483091787</v>
      </c>
      <c r="BG66" s="306">
        <f>IF(AV66=0,0,(AW66-AV66)/AV66*100)</f>
        <v>4.01157981803164</v>
      </c>
      <c r="BH66" s="306">
        <f>IF(AW66=0,0,(AX66-AW66)/AW66*100)</f>
        <v>3.93638170974174</v>
      </c>
      <c r="BI66" s="306">
        <f>IF(AX66=0,0,(AY66-AX66)/AX66*100)</f>
        <v>-100</v>
      </c>
      <c r="BJ66" s="306">
        <f>IF(AY66=0,0,(AZ66-AY66)/AY66*100)</f>
        <v>0</v>
      </c>
      <c r="BK66" s="306">
        <f>IF(AZ66=0,0,(BA66-AZ66)/AZ66*100)</f>
        <v>0</v>
      </c>
      <c r="BL66" s="306">
        <f>IF(BA66=0,0,(BB66-BA66)/BA66*100)</f>
        <v>0</v>
      </c>
      <c r="BM66" s="306">
        <f>IF(BB66=0,0,(BC66-BB66)/BB66*100)</f>
        <v>0</v>
      </c>
      <c r="BN66" s="1730"/>
      <c r="BO66" s="1730"/>
      <c r="BP66" s="1730"/>
      <c r="BQ66" s="232"/>
      <c r="BR66" s="232"/>
      <c r="BS66" s="1181" t="s">
        <v>1381</v>
      </c>
    </row>
    <row s="1909" customFormat="1" customHeight="1" ht="18">
      <c r="A67" s="217"/>
      <c r="B67" s="217"/>
      <c r="C67" s="217"/>
      <c r="D67" s="217"/>
      <c r="E67" s="794">
        <v>18.8</v>
      </c>
      <c r="F67" s="919" cm="1" t="str">
        <f t="array" ref="F67:F67">X67</f>
        <v>2</v>
      </c>
      <c r="G67" s="736" cm="1" t="str">
        <f t="array" ref="G67:G67">INDEX('Общие сведения'!$AK$169:$AK$218,MATCH($F67,'Общие сведения'!$Z$169:$Z$218,0))</f>
        <v>одноставочный</v>
      </c>
      <c r="H67" s="217"/>
      <c r="I67" s="210" cm="1" t="str">
        <f t="array" ref="I67:I67">INDEX('Общие сведения'!$AE$169:$AE$218,MATCH($F67,'Общие сведения'!$Z$169:$Z$218,0))</f>
        <v>Теплоснабжение</v>
      </c>
      <c r="J67" s="217"/>
      <c r="K67" s="217"/>
      <c r="L67" s="217"/>
      <c r="M67" s="217"/>
      <c r="N67" s="217"/>
      <c r="O67" s="217"/>
      <c r="P67" s="217"/>
      <c r="Q67" s="217"/>
      <c r="R67" s="217"/>
      <c r="S67" s="217"/>
      <c r="T67" s="805">
        <f>X67&gt;0</f>
        <v>1</v>
      </c>
      <c r="U67" s="217"/>
      <c r="V67" s="172" cm="1" t="str">
        <f t="array" ref="V67:V67">'Операционные (5.2)'!$AB$45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67" s="217"/>
      <c r="X67" s="172" t="s">
        <v>343</v>
      </c>
      <c r="Y67" s="217"/>
      <c r="Z67" s="217"/>
      <c r="AA67" s="217"/>
      <c r="AB67" s="327" cm="1" t="str">
        <f t="array" ref="AB67:AB67">IF(ISBLANK('Операционные (5.2)'!$AB$45),"",'Операционные (5.2)'!$AB$45)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67" s="328"/>
      <c r="AD67" s="328"/>
      <c r="AE67" s="328"/>
      <c r="AF67" s="328"/>
      <c r="AG67" s="328"/>
      <c r="AH67" s="328"/>
      <c r="AI67" s="328"/>
      <c r="AJ67" s="328"/>
      <c r="AK67" s="328"/>
      <c r="AL67" s="328"/>
      <c r="AM67" s="328"/>
      <c r="AN67" s="328"/>
      <c r="AO67" s="328"/>
      <c r="AP67" s="328"/>
      <c r="AQ67" s="328"/>
      <c r="AR67" s="328"/>
      <c r="AS67" s="328"/>
      <c r="AT67" s="328"/>
      <c r="AU67" s="328"/>
      <c r="AV67" s="328"/>
      <c r="AW67" s="328"/>
      <c r="AX67" s="328"/>
      <c r="AY67" s="328"/>
      <c r="AZ67" s="328"/>
      <c r="BA67" s="328"/>
      <c r="BB67" s="328"/>
      <c r="BC67" s="328"/>
      <c r="BD67" s="328"/>
      <c r="BE67" s="328"/>
      <c r="BF67" s="328"/>
      <c r="BG67" s="328"/>
      <c r="BH67" s="328"/>
      <c r="BI67" s="328"/>
      <c r="BJ67" s="328"/>
      <c r="BK67" s="328"/>
      <c r="BL67" s="328"/>
      <c r="BM67" s="328"/>
      <c r="BN67" s="328"/>
      <c r="BO67" s="328"/>
      <c r="BP67" s="328"/>
      <c r="BQ67" s="217"/>
      <c r="BR67" s="217"/>
      <c r="BS67" s="1181"/>
    </row>
    <row s="1910" customFormat="1" customHeight="1" ht="13.5">
      <c r="A68" s="217"/>
      <c r="B68" s="217"/>
      <c r="C68" s="217"/>
      <c r="D68" s="217"/>
      <c r="E68" s="794">
        <v>14.1</v>
      </c>
      <c r="F68" s="919" cm="1" t="str">
        <f t="array" ref="F68:F68">OFFSET(G68,-1,-1)</f>
        <v>2</v>
      </c>
      <c r="G68" s="736" t="s">
        <v>1350</v>
      </c>
      <c r="H68" s="217"/>
      <c r="I68" s="217"/>
      <c r="J68" s="217"/>
      <c r="K68" s="227" t="str">
        <f>F68&amp;"komm"</f>
        <v>2komm</v>
      </c>
      <c r="L68" s="226" cm="1" t="str">
        <f t="array" ref="L68:L68">BO68</f>
        <v>0</v>
      </c>
      <c r="M68" s="217"/>
      <c r="N68" s="217"/>
      <c r="O68" s="217"/>
      <c r="P68" s="217"/>
      <c r="Q68" s="217"/>
      <c r="R68" s="217"/>
      <c r="S68" s="217"/>
      <c r="T68" s="805" cm="1" t="str">
        <f t="array" ref="T68:T68">T67</f>
        <v>true</v>
      </c>
      <c r="U68" s="217"/>
      <c r="V68" s="217"/>
      <c r="W68" s="217"/>
      <c r="X68" s="217"/>
      <c r="Y68" s="217"/>
      <c r="Z68" s="217"/>
      <c r="AA68" s="217"/>
      <c r="AB68" s="1545" t="s">
        <v>1351</v>
      </c>
      <c r="AC68" s="1546"/>
      <c r="AD68" s="302" t="s">
        <v>805</v>
      </c>
      <c r="AE68" s="306" cm="1" t="str">
        <f t="array" ref="AE68:AE68">AE86</f>
        <v>0</v>
      </c>
      <c r="AF68" s="306" cm="1" t="str">
        <f t="array" ref="AF68:AF68">AF86</f>
        <v>0</v>
      </c>
      <c r="AG68" s="306" cm="1" t="str">
        <f t="array" ref="AG68:AG68">AG86</f>
        <v>0</v>
      </c>
      <c r="AH68" s="306" cm="1" t="str">
        <f t="array" ref="AH68:AH68">AH86</f>
        <v>0</v>
      </c>
      <c r="AI68" s="306" cm="1" t="str">
        <f t="array" ref="AI68:AI68">AI86</f>
        <v>0</v>
      </c>
      <c r="AJ68" s="306" cm="1" t="str">
        <f t="array" ref="AJ68:AJ68">AJ86</f>
        <v>1433</v>
      </c>
      <c r="AK68" s="306" cm="1" t="str">
        <f t="array" ref="AK68:AK68">AK86</f>
        <v>885</v>
      </c>
      <c r="AL68" s="306" cm="1" t="str">
        <f t="array" ref="AL68:AL68">AL86</f>
        <v>895</v>
      </c>
      <c r="AM68" s="306" cm="1" t="str">
        <f t="array" ref="AM68:AM68">AM86</f>
        <v>863</v>
      </c>
      <c r="AN68" s="306" cm="1" t="str">
        <f t="array" ref="AN68:AN68">AN86</f>
        <v>874</v>
      </c>
      <c r="AO68" s="306" cm="1" t="str">
        <f t="array" ref="AO68:AO68">AO86</f>
        <v>0</v>
      </c>
      <c r="AP68" s="306" cm="1" t="str">
        <f t="array" ref="AP68:AP68">AP86</f>
        <v>0</v>
      </c>
      <c r="AQ68" s="306" cm="1" t="str">
        <f t="array" ref="AQ68:AQ68">AQ86</f>
        <v>0</v>
      </c>
      <c r="AR68" s="306" cm="1" t="str">
        <f t="array" ref="AR68:AR68">AR86</f>
        <v>0</v>
      </c>
      <c r="AS68" s="306" cm="1" t="str">
        <f t="array" ref="AS68:AS68">AS86</f>
        <v>0</v>
      </c>
      <c r="AT68" s="306" cm="1" t="str">
        <f t="array" ref="AT68:AT68">AT86</f>
        <v>469</v>
      </c>
      <c r="AU68" s="306" cm="1" t="str">
        <f t="array" ref="AU68:AU68">AU86</f>
        <v>473</v>
      </c>
      <c r="AV68" s="306" cm="1" t="str">
        <f t="array" ref="AV68:AV68">AV86</f>
        <v>161</v>
      </c>
      <c r="AW68" s="306" cm="1" t="str">
        <f t="array" ref="AW68:AW68">AW86</f>
        <v>168</v>
      </c>
      <c r="AX68" s="306" cm="1" t="str">
        <f t="array" ref="AX68:AX68">AX86</f>
        <v>172</v>
      </c>
      <c r="AY68" s="306" cm="1" t="str">
        <f t="array" ref="AY68:AY68">AY86</f>
        <v>0</v>
      </c>
      <c r="AZ68" s="306" cm="1" t="str">
        <f t="array" ref="AZ68:AZ68">AZ86</f>
        <v>0</v>
      </c>
      <c r="BA68" s="306" cm="1" t="str">
        <f t="array" ref="BA68:BA68">BA86</f>
        <v>0</v>
      </c>
      <c r="BB68" s="306" cm="1" t="str">
        <f t="array" ref="BB68:BB68">BB86</f>
        <v>0</v>
      </c>
      <c r="BC68" s="306" cm="1" t="str">
        <f t="array" ref="BC68:BC68">BC86</f>
        <v>0</v>
      </c>
      <c r="BD68" s="306" cm="1" t="str">
        <f t="array" ref="BD68:BD68">BD86</f>
        <v>0</v>
      </c>
      <c r="BE68" s="306" cm="1" t="str">
        <f t="array" ref="BE68:BE68">BE86</f>
        <v>0.852878464818763</v>
      </c>
      <c r="BF68" s="306" cm="1" t="str">
        <f t="array" ref="BF68:BF68">BF86</f>
        <v>-65.9619450317125</v>
      </c>
      <c r="BG68" s="306" cm="1" t="str">
        <f t="array" ref="BG68:BG68">BG86</f>
        <v>4.34782608695652</v>
      </c>
      <c r="BH68" s="306" cm="1" t="str">
        <f t="array" ref="BH68:BH68">BH86</f>
        <v>2.38095238095238</v>
      </c>
      <c r="BI68" s="306" cm="1" t="str">
        <f t="array" ref="BI68:BI68">BI86</f>
        <v>-100</v>
      </c>
      <c r="BJ68" s="306" cm="1" t="str">
        <f t="array" ref="BJ68:BJ68">BJ86</f>
        <v>0</v>
      </c>
      <c r="BK68" s="306" cm="1" t="str">
        <f t="array" ref="BK68:BK68">BK86</f>
        <v>0</v>
      </c>
      <c r="BL68" s="306" cm="1" t="str">
        <f t="array" ref="BL68:BL68">BL86</f>
        <v>0</v>
      </c>
      <c r="BM68" s="306" cm="1" t="str">
        <f t="array" ref="BM68:BM68">BM86</f>
        <v>0</v>
      </c>
      <c r="BN68" s="1730"/>
      <c r="BO68" s="1730"/>
      <c r="BP68" s="1730"/>
      <c r="BQ68" s="217"/>
      <c r="BR68" s="217"/>
      <c r="BS68" s="1181" t="s">
        <v>1352</v>
      </c>
    </row>
    <row s="1619" customFormat="1" customHeight="1" ht="27">
      <c r="A69" s="225"/>
      <c r="B69" s="924"/>
      <c r="C69" s="225"/>
      <c r="D69" s="225"/>
      <c r="E69" s="794">
        <v>27.8</v>
      </c>
      <c r="F69" s="919" cm="1" t="str">
        <f t="array" ref="F69:F69">OFFSET(G69,-1,-1)</f>
        <v>2</v>
      </c>
      <c r="G69" s="190" t="s">
        <v>1179</v>
      </c>
      <c r="H69" s="227"/>
      <c r="I69" s="227"/>
      <c r="J69" s="227"/>
      <c r="K69" s="227"/>
      <c r="L69" s="227"/>
      <c r="M69" s="227"/>
      <c r="N69" s="227"/>
      <c r="O69" s="227"/>
      <c r="P69" s="227"/>
      <c r="Q69" s="190"/>
      <c r="R69" s="190"/>
      <c r="S69" s="227"/>
      <c r="T69" s="805" cm="1" t="str">
        <f t="array" ref="T69:T69">T68</f>
        <v>true</v>
      </c>
      <c r="U69" s="1461"/>
      <c r="V69" s="1461"/>
      <c r="W69" s="1461"/>
      <c r="X69" s="1461"/>
      <c r="Y69" s="1461"/>
      <c r="Z69" s="1461"/>
      <c r="AA69" s="227"/>
      <c r="AB69" s="157" t="s">
        <v>442</v>
      </c>
      <c r="AC69" s="164" t="s">
        <v>47</v>
      </c>
      <c r="AD69" s="157" t="s">
        <v>805</v>
      </c>
      <c r="AE69" s="612">
        <f>_xlfn.SUMIFS('Покупка услуг'!AE$26:AE$87,'Покупка услуг'!$F$26:$F$87,$F69,'Покупка услуг'!$G$26:$G$87,$G69)</f>
        <v>0</v>
      </c>
      <c r="AF69" s="612">
        <f>_xlfn.SUMIFS('Покупка услуг'!AF$26:AF$87,'Покупка услуг'!$F$26:$F$87,$F69,'Покупка услуг'!$G$26:$G$87,$G69)</f>
        <v>0</v>
      </c>
      <c r="AG69" s="1903">
        <f>_xlfn.SUMIFS('Покупка услуг'!AG$26:AG$87,'Покупка услуг'!$F$26:$F$87,$F69,'Покупка услуг'!$G$26:$G$87,$G69)</f>
        <v>0</v>
      </c>
      <c r="AH69" s="307">
        <f>AG69-AF69</f>
        <v>0</v>
      </c>
      <c r="AI69" s="612">
        <f>_xlfn.SUMIFS('Покупка услуг'!AH$26:AH$87,'Покупка услуг'!$F$26:$F$87,$F69,'Покупка услуг'!$G$26:$G$87,$G69)</f>
        <v>0</v>
      </c>
      <c r="AJ69" s="612">
        <f>_xlfn.SUMIFS('Покупка услуг'!AI$26:AI$87,'Покупка услуг'!$F$26:$F$87,$F69,'Покупка услуг'!$G$26:$G$87,$G69)</f>
        <v>0</v>
      </c>
      <c r="AK69" s="612">
        <f>_xlfn.SUMIFS('Покупка услуг'!AJ$26:AJ$87,'Покупка услуг'!$F$26:$F$87,$F69,'Покупка услуг'!$G$26:$G$87,$G69)</f>
        <v>0</v>
      </c>
      <c r="AL69" s="612">
        <f>_xlfn.SUMIFS('Покупка услуг'!AK$26:AK$87,'Покупка услуг'!$F$26:$F$87,$F69,'Покупка услуг'!$G$26:$G$87,$G69)</f>
        <v>0</v>
      </c>
      <c r="AM69" s="612">
        <f>_xlfn.SUMIFS('Покупка услуг'!AL$26:AL$87,'Покупка услуг'!$F$26:$F$87,$F69,'Покупка услуг'!$G$26:$G$87,$G69)</f>
        <v>0</v>
      </c>
      <c r="AN69" s="612">
        <f>_xlfn.SUMIFS('Покупка услуг'!AM$26:AM$87,'Покупка услуг'!$F$26:$F$87,$F69,'Покупка услуг'!$G$26:$G$87,$G69)</f>
        <v>0</v>
      </c>
      <c r="AO69" s="612">
        <f>_xlfn.SUMIFS('Покупка услуг'!AN$26:AN$87,'Покупка услуг'!$F$26:$F$87,$F69,'Покупка услуг'!$G$26:$G$87,$G69)</f>
        <v>0</v>
      </c>
      <c r="AP69" s="612">
        <f>_xlfn.SUMIFS('Покупка услуг'!AO$26:AO$87,'Покупка услуг'!$F$26:$F$87,$F69,'Покупка услуг'!$G$26:$G$87,$G69)</f>
        <v>0</v>
      </c>
      <c r="AQ69" s="612">
        <f>_xlfn.SUMIFS('Покупка услуг'!AP$26:AP$87,'Покупка услуг'!$F$26:$F$87,$F69,'Покупка услуг'!$G$26:$G$87,$G69)</f>
        <v>0</v>
      </c>
      <c r="AR69" s="612">
        <f>_xlfn.SUMIFS('Покупка услуг'!AQ$26:AQ$87,'Покупка услуг'!$F$26:$F$87,$F69,'Покупка услуг'!$G$26:$G$87,$G69)</f>
        <v>0</v>
      </c>
      <c r="AS69" s="612">
        <f>_xlfn.SUMIFS('Покупка услуг'!AR$26:AR$87,'Покупка услуг'!$F$26:$F$87,$F69,'Покупка услуг'!$G$26:$G$87,$G69)</f>
        <v>0</v>
      </c>
      <c r="AT69" s="612">
        <f>_xlfn.SUMIFS('Покупка услуг'!AS$26:AS$87,'Покупка услуг'!$F$26:$F$87,$F69,'Покупка услуг'!$G$26:$G$87,$G69)</f>
        <v>0</v>
      </c>
      <c r="AU69" s="612">
        <f>_xlfn.SUMIFS('Покупка услуг'!AT$26:AT$87,'Покупка услуг'!$F$26:$F$87,$F69,'Покупка услуг'!$G$26:$G$87,$G69)</f>
        <v>0</v>
      </c>
      <c r="AV69" s="612">
        <f>_xlfn.SUMIFS('Покупка услуг'!AU$26:AU$87,'Покупка услуг'!$F$26:$F$87,$F69,'Покупка услуг'!$G$26:$G$87,$G69)</f>
        <v>0</v>
      </c>
      <c r="AW69" s="612">
        <f>_xlfn.SUMIFS('Покупка услуг'!AV$26:AV$87,'Покупка услуг'!$F$26:$F$87,$F69,'Покупка услуг'!$G$26:$G$87,$G69)</f>
        <v>0</v>
      </c>
      <c r="AX69" s="612">
        <f>_xlfn.SUMIFS('Покупка услуг'!AW$26:AW$87,'Покупка услуг'!$F$26:$F$87,$F69,'Покупка услуг'!$G$26:$G$87,$G69)</f>
        <v>0</v>
      </c>
      <c r="AY69" s="612">
        <f>_xlfn.SUMIFS('Покупка услуг'!AX$26:AX$87,'Покупка услуг'!$F$26:$F$87,$F69,'Покупка услуг'!$G$26:$G$87,$G69)</f>
        <v>0</v>
      </c>
      <c r="AZ69" s="612">
        <f>_xlfn.SUMIFS('Покупка услуг'!AY$26:AY$87,'Покупка услуг'!$F$26:$F$87,$F69,'Покупка услуг'!$G$26:$G$87,$G69)</f>
        <v>0</v>
      </c>
      <c r="BA69" s="612">
        <f>_xlfn.SUMIFS('Покупка услуг'!AZ$26:AZ$87,'Покупка услуг'!$F$26:$F$87,$F69,'Покупка услуг'!$G$26:$G$87,$G69)</f>
        <v>0</v>
      </c>
      <c r="BB69" s="612">
        <f>_xlfn.SUMIFS('Покупка услуг'!BA$26:BA$87,'Покупка услуг'!$F$26:$F$87,$F69,'Покупка услуг'!$G$26:$G$87,$G69)</f>
        <v>0</v>
      </c>
      <c r="BC69" s="612">
        <f>_xlfn.SUMIFS('Покупка услуг'!BB$26:BB$87,'Покупка услуг'!$F$26:$F$87,$F69,'Покупка услуг'!$G$26:$G$87,$G69)</f>
        <v>0</v>
      </c>
      <c r="BD69" s="307">
        <f>IF(AI69=0,0,(AT69-AI69)/AI69*100)</f>
        <v>0</v>
      </c>
      <c r="BE69" s="307">
        <f>IF(AT69=0,0,(AU69-AT69)/AT69*100)</f>
        <v>0</v>
      </c>
      <c r="BF69" s="307">
        <f>IF(AU69=0,0,(AV69-AU69)/AU69*100)</f>
        <v>0</v>
      </c>
      <c r="BG69" s="307">
        <f>IF(AV69=0,0,(AW69-AV69)/AV69*100)</f>
        <v>0</v>
      </c>
      <c r="BH69" s="307">
        <f>IF(AW69=0,0,(AX69-AW69)/AW69*100)</f>
        <v>0</v>
      </c>
      <c r="BI69" s="307">
        <f>IF(AX69=0,0,(AY69-AX69)/AX69*100)</f>
        <v>0</v>
      </c>
      <c r="BJ69" s="307">
        <f>IF(AY69=0,0,(AZ69-AY69)/AY69*100)</f>
        <v>0</v>
      </c>
      <c r="BK69" s="307">
        <f>IF(AZ69=0,0,(BA69-AZ69)/AZ69*100)</f>
        <v>0</v>
      </c>
      <c r="BL69" s="307">
        <f>IF(BA69=0,0,(BB69-BA69)/BA69*100)</f>
        <v>0</v>
      </c>
      <c r="BM69" s="307">
        <f>IF(BB69=0,0,(BC69-BB69)/BB69*100)</f>
        <v>0</v>
      </c>
      <c r="BN69" s="1730"/>
      <c r="BO69" s="1730"/>
      <c r="BP69" s="1730"/>
      <c r="BQ69" s="227"/>
      <c r="BR69" s="227"/>
      <c r="BS69" s="1181" t="s">
        <v>1353</v>
      </c>
    </row>
    <row s="1619" customFormat="1" customHeight="1" ht="14.25">
      <c r="A70" s="225"/>
      <c r="B70" s="924"/>
      <c r="C70" s="225"/>
      <c r="D70" s="225"/>
      <c r="E70" s="794">
        <v>15</v>
      </c>
      <c r="F70" s="919" cm="1" t="str">
        <f t="array" ref="F70:F70">OFFSET(G70,-1,-1)</f>
        <v>2</v>
      </c>
      <c r="G70" s="736" t="s">
        <v>1155</v>
      </c>
      <c r="H70" s="227"/>
      <c r="I70" s="227"/>
      <c r="J70" s="227"/>
      <c r="K70" s="227"/>
      <c r="L70" s="227"/>
      <c r="M70" s="227"/>
      <c r="N70" s="227"/>
      <c r="O70" s="227"/>
      <c r="P70" s="227"/>
      <c r="Q70" s="190"/>
      <c r="R70" s="190"/>
      <c r="S70" s="227"/>
      <c r="T70" s="805" cm="1" t="str">
        <f t="array" ref="T70:T70">T69</f>
        <v>true</v>
      </c>
      <c r="U70" s="1461"/>
      <c r="V70" s="1461"/>
      <c r="W70" s="1461"/>
      <c r="X70" s="1461"/>
      <c r="Y70" s="1461"/>
      <c r="Z70" s="1461"/>
      <c r="AA70" s="227"/>
      <c r="AB70" s="157" t="s">
        <v>931</v>
      </c>
      <c r="AC70" s="164" t="s">
        <v>1354</v>
      </c>
      <c r="AD70" s="157" t="s">
        <v>805</v>
      </c>
      <c r="AE70" s="307">
        <f>_xlfn.SUMIFS(Аренда!AE$26:AE$63,Аренда!$F$26:$F$63,$F70,Аренда!$G$26:$G$63,$G70)</f>
        <v>0</v>
      </c>
      <c r="AF70" s="307">
        <f>_xlfn.SUMIFS(Аренда!AF$26:AF$63,Аренда!$F$26:$F$63,$F70,Аренда!$G$26:$G$63,$G70)</f>
        <v>0</v>
      </c>
      <c r="AG70" s="1785">
        <f>_xlfn.SUMIFS(Аренда!AG$26:AG$63,Аренда!$F$26:$F$63,$F70,Аренда!$G$26:$G$63,$G70)</f>
        <v>0</v>
      </c>
      <c r="AH70" s="307">
        <f>AG70-AF70</f>
        <v>0</v>
      </c>
      <c r="AI70" s="307">
        <f>_xlfn.SUMIFS(Аренда!AH$26:AH$63,Аренда!$F$26:$F$63,$F70,Аренда!$G$26:$G$63,$G70)</f>
        <v>0</v>
      </c>
      <c r="AJ70" s="307">
        <f>_xlfn.SUMIFS(Аренда!AI$26:AI$63,Аренда!$F$26:$F$63,$F70,Аренда!$G$26:$G$63,$G70)</f>
        <v>0</v>
      </c>
      <c r="AK70" s="307">
        <f>_xlfn.SUMIFS(Аренда!AJ$26:AJ$63,Аренда!$F$26:$F$63,$F70,Аренда!$G$26:$G$63,$G70)</f>
        <v>0</v>
      </c>
      <c r="AL70" s="307">
        <f>_xlfn.SUMIFS(Аренда!AK$26:AK$63,Аренда!$F$26:$F$63,$F70,Аренда!$G$26:$G$63,$G70)</f>
        <v>0</v>
      </c>
      <c r="AM70" s="307">
        <f>_xlfn.SUMIFS(Аренда!AL$26:AL$63,Аренда!$F$26:$F$63,$F70,Аренда!$G$26:$G$63,$G70)</f>
        <v>0</v>
      </c>
      <c r="AN70" s="307">
        <f>_xlfn.SUMIFS(Аренда!AM$26:AM$63,Аренда!$F$26:$F$63,$F70,Аренда!$G$26:$G$63,$G70)</f>
        <v>0</v>
      </c>
      <c r="AO70" s="307">
        <f>_xlfn.SUMIFS(Аренда!AN$26:AN$63,Аренда!$F$26:$F$63,$F70,Аренда!$G$26:$G$63,$G70)</f>
        <v>0</v>
      </c>
      <c r="AP70" s="307">
        <f>_xlfn.SUMIFS(Аренда!AO$26:AO$63,Аренда!$F$26:$F$63,$F70,Аренда!$G$26:$G$63,$G70)</f>
        <v>0</v>
      </c>
      <c r="AQ70" s="307">
        <f>_xlfn.SUMIFS(Аренда!AP$26:AP$63,Аренда!$F$26:$F$63,$F70,Аренда!$G$26:$G$63,$G70)</f>
        <v>0</v>
      </c>
      <c r="AR70" s="307">
        <f>_xlfn.SUMIFS(Аренда!AQ$26:AQ$63,Аренда!$F$26:$F$63,$F70,Аренда!$G$26:$G$63,$G70)</f>
        <v>0</v>
      </c>
      <c r="AS70" s="307">
        <f>_xlfn.SUMIFS(Аренда!AR$26:AR$63,Аренда!$F$26:$F$63,$F70,Аренда!$G$26:$G$63,$G70)</f>
        <v>0</v>
      </c>
      <c r="AT70" s="307">
        <f>_xlfn.SUMIFS(Аренда!AS$26:AS$63,Аренда!$F$26:$F$63,$F70,Аренда!$G$26:$G$63,$G70)</f>
        <v>0</v>
      </c>
      <c r="AU70" s="307">
        <f>_xlfn.SUMIFS(Аренда!AT$26:AT$63,Аренда!$F$26:$F$63,$F70,Аренда!$G$26:$G$63,$G70)</f>
        <v>0</v>
      </c>
      <c r="AV70" s="307">
        <f>_xlfn.SUMIFS(Аренда!AU$26:AU$63,Аренда!$F$26:$F$63,$F70,Аренда!$G$26:$G$63,$G70)</f>
        <v>0</v>
      </c>
      <c r="AW70" s="307">
        <f>_xlfn.SUMIFS(Аренда!AV$26:AV$63,Аренда!$F$26:$F$63,$F70,Аренда!$G$26:$G$63,$G70)</f>
        <v>0</v>
      </c>
      <c r="AX70" s="307">
        <f>_xlfn.SUMIFS(Аренда!AW$26:AW$63,Аренда!$F$26:$F$63,$F70,Аренда!$G$26:$G$63,$G70)</f>
        <v>0</v>
      </c>
      <c r="AY70" s="307">
        <f>_xlfn.SUMIFS(Аренда!AX$26:AX$63,Аренда!$F$26:$F$63,$F70,Аренда!$G$26:$G$63,$G70)</f>
        <v>0</v>
      </c>
      <c r="AZ70" s="307">
        <f>_xlfn.SUMIFS(Аренда!AY$26:AY$63,Аренда!$F$26:$F$63,$F70,Аренда!$G$26:$G$63,$G70)</f>
        <v>0</v>
      </c>
      <c r="BA70" s="307">
        <f>_xlfn.SUMIFS(Аренда!AZ$26:AZ$63,Аренда!$F$26:$F$63,$F70,Аренда!$G$26:$G$63,$G70)</f>
        <v>0</v>
      </c>
      <c r="BB70" s="307">
        <f>_xlfn.SUMIFS(Аренда!BA$26:BA$63,Аренда!$F$26:$F$63,$F70,Аренда!$G$26:$G$63,$G70)</f>
        <v>0</v>
      </c>
      <c r="BC70" s="307">
        <f>_xlfn.SUMIFS(Аренда!BB$26:BB$63,Аренда!$F$26:$F$63,$F70,Аренда!$G$26:$G$63,$G70)</f>
        <v>0</v>
      </c>
      <c r="BD70" s="307">
        <f>IF(AI70=0,0,(AT70-AI70)/AI70*100)</f>
        <v>0</v>
      </c>
      <c r="BE70" s="307">
        <f>IF(AT70=0,0,(AU70-AT70)/AT70*100)</f>
        <v>0</v>
      </c>
      <c r="BF70" s="307">
        <f>IF(AU70=0,0,(AV70-AU70)/AU70*100)</f>
        <v>0</v>
      </c>
      <c r="BG70" s="307">
        <f>IF(AV70=0,0,(AW70-AV70)/AV70*100)</f>
        <v>0</v>
      </c>
      <c r="BH70" s="307">
        <f>IF(AW70=0,0,(AX70-AW70)/AW70*100)</f>
        <v>0</v>
      </c>
      <c r="BI70" s="307">
        <f>IF(AX70=0,0,(AY70-AX70)/AX70*100)</f>
        <v>0</v>
      </c>
      <c r="BJ70" s="307">
        <f>IF(AY70=0,0,(AZ70-AY70)/AY70*100)</f>
        <v>0</v>
      </c>
      <c r="BK70" s="307">
        <f>IF(AZ70=0,0,(BA70-AZ70)/AZ70*100)</f>
        <v>0</v>
      </c>
      <c r="BL70" s="307">
        <f>IF(BA70=0,0,(BB70-BA70)/BA70*100)</f>
        <v>0</v>
      </c>
      <c r="BM70" s="307">
        <f>IF(BB70=0,0,(BC70-BB70)/BB70*100)</f>
        <v>0</v>
      </c>
      <c r="BN70" s="1730"/>
      <c r="BO70" s="1730"/>
      <c r="BP70" s="1730"/>
      <c r="BQ70" s="227"/>
      <c r="BR70" s="227"/>
      <c r="BS70" s="1181" t="s">
        <v>1158</v>
      </c>
    </row>
    <row s="1619" customFormat="1" customHeight="1" ht="14.25">
      <c r="A71" s="225"/>
      <c r="B71" s="924"/>
      <c r="C71" s="225"/>
      <c r="D71" s="225"/>
      <c r="E71" s="794">
        <v>15</v>
      </c>
      <c r="F71" s="919" cm="1" t="str">
        <f t="array" ref="F71:F71">OFFSET(G71,-1,-1)</f>
        <v>2</v>
      </c>
      <c r="G71" s="190" t="s">
        <v>1159</v>
      </c>
      <c r="H71" s="227"/>
      <c r="I71" s="227"/>
      <c r="J71" s="227"/>
      <c r="K71" s="227"/>
      <c r="L71" s="227"/>
      <c r="M71" s="227"/>
      <c r="N71" s="227"/>
      <c r="O71" s="227"/>
      <c r="P71" s="227"/>
      <c r="Q71" s="190"/>
      <c r="R71" s="190"/>
      <c r="S71" s="227"/>
      <c r="T71" s="805" cm="1" t="str">
        <f t="array" ref="T71:T71">T70</f>
        <v>true</v>
      </c>
      <c r="U71" s="1461"/>
      <c r="V71" s="1461"/>
      <c r="W71" s="1461"/>
      <c r="X71" s="1461"/>
      <c r="Y71" s="1461"/>
      <c r="Z71" s="1461"/>
      <c r="AA71" s="227"/>
      <c r="AB71" s="157" t="s">
        <v>933</v>
      </c>
      <c r="AC71" s="164" t="s">
        <v>1160</v>
      </c>
      <c r="AD71" s="157" t="s">
        <v>805</v>
      </c>
      <c r="AE71" s="307">
        <f>_xlfn.SUMIFS(Аренда!AE$26:AE$63,Аренда!$F$26:$F$63,$F71,Аренда!$G$26:$G$63,$G71)</f>
        <v>0</v>
      </c>
      <c r="AF71" s="307">
        <f>_xlfn.SUMIFS(Аренда!AF$26:AF$63,Аренда!$F$26:$F$63,$F71,Аренда!$G$26:$G$63,$G71)</f>
        <v>0</v>
      </c>
      <c r="AG71" s="1785">
        <f>_xlfn.SUMIFS(Аренда!AG$26:AG$63,Аренда!$F$26:$F$63,$F71,Аренда!$G$26:$G$63,$G71)</f>
        <v>0</v>
      </c>
      <c r="AH71" s="307">
        <f>AG71-AF71</f>
        <v>0</v>
      </c>
      <c r="AI71" s="307">
        <f>_xlfn.SUMIFS(Аренда!AH$26:AH$63,Аренда!$F$26:$F$63,$F71,Аренда!$G$26:$G$63,$G71)</f>
        <v>0</v>
      </c>
      <c r="AJ71" s="307">
        <f>_xlfn.SUMIFS(Аренда!AI$26:AI$63,Аренда!$F$26:$F$63,$F71,Аренда!$G$26:$G$63,$G71)</f>
        <v>0</v>
      </c>
      <c r="AK71" s="307">
        <f>_xlfn.SUMIFS(Аренда!AJ$26:AJ$63,Аренда!$F$26:$F$63,$F71,Аренда!$G$26:$G$63,$G71)</f>
        <v>0</v>
      </c>
      <c r="AL71" s="307">
        <f>_xlfn.SUMIFS(Аренда!AK$26:AK$63,Аренда!$F$26:$F$63,$F71,Аренда!$G$26:$G$63,$G71)</f>
        <v>0</v>
      </c>
      <c r="AM71" s="307">
        <f>_xlfn.SUMIFS(Аренда!AL$26:AL$63,Аренда!$F$26:$F$63,$F71,Аренда!$G$26:$G$63,$G71)</f>
        <v>0</v>
      </c>
      <c r="AN71" s="307">
        <f>_xlfn.SUMIFS(Аренда!AM$26:AM$63,Аренда!$F$26:$F$63,$F71,Аренда!$G$26:$G$63,$G71)</f>
        <v>0</v>
      </c>
      <c r="AO71" s="307">
        <f>_xlfn.SUMIFS(Аренда!AN$26:AN$63,Аренда!$F$26:$F$63,$F71,Аренда!$G$26:$G$63,$G71)</f>
        <v>0</v>
      </c>
      <c r="AP71" s="307">
        <f>_xlfn.SUMIFS(Аренда!AO$26:AO$63,Аренда!$F$26:$F$63,$F71,Аренда!$G$26:$G$63,$G71)</f>
        <v>0</v>
      </c>
      <c r="AQ71" s="307">
        <f>_xlfn.SUMIFS(Аренда!AP$26:AP$63,Аренда!$F$26:$F$63,$F71,Аренда!$G$26:$G$63,$G71)</f>
        <v>0</v>
      </c>
      <c r="AR71" s="307">
        <f>_xlfn.SUMIFS(Аренда!AQ$26:AQ$63,Аренда!$F$26:$F$63,$F71,Аренда!$G$26:$G$63,$G71)</f>
        <v>0</v>
      </c>
      <c r="AS71" s="307">
        <f>_xlfn.SUMIFS(Аренда!AR$26:AR$63,Аренда!$F$26:$F$63,$F71,Аренда!$G$26:$G$63,$G71)</f>
        <v>0</v>
      </c>
      <c r="AT71" s="307">
        <f>_xlfn.SUMIFS(Аренда!AS$26:AS$63,Аренда!$F$26:$F$63,$F71,Аренда!$G$26:$G$63,$G71)</f>
        <v>0</v>
      </c>
      <c r="AU71" s="307">
        <f>_xlfn.SUMIFS(Аренда!AT$26:AT$63,Аренда!$F$26:$F$63,$F71,Аренда!$G$26:$G$63,$G71)</f>
        <v>0</v>
      </c>
      <c r="AV71" s="307">
        <f>_xlfn.SUMIFS(Аренда!AU$26:AU$63,Аренда!$F$26:$F$63,$F71,Аренда!$G$26:$G$63,$G71)</f>
        <v>0</v>
      </c>
      <c r="AW71" s="307">
        <f>_xlfn.SUMIFS(Аренда!AV$26:AV$63,Аренда!$F$26:$F$63,$F71,Аренда!$G$26:$G$63,$G71)</f>
        <v>0</v>
      </c>
      <c r="AX71" s="307">
        <f>_xlfn.SUMIFS(Аренда!AW$26:AW$63,Аренда!$F$26:$F$63,$F71,Аренда!$G$26:$G$63,$G71)</f>
        <v>0</v>
      </c>
      <c r="AY71" s="307">
        <f>_xlfn.SUMIFS(Аренда!AX$26:AX$63,Аренда!$F$26:$F$63,$F71,Аренда!$G$26:$G$63,$G71)</f>
        <v>0</v>
      </c>
      <c r="AZ71" s="307">
        <f>_xlfn.SUMIFS(Аренда!AY$26:AY$63,Аренда!$F$26:$F$63,$F71,Аренда!$G$26:$G$63,$G71)</f>
        <v>0</v>
      </c>
      <c r="BA71" s="307">
        <f>_xlfn.SUMIFS(Аренда!AZ$26:AZ$63,Аренда!$F$26:$F$63,$F71,Аренда!$G$26:$G$63,$G71)</f>
        <v>0</v>
      </c>
      <c r="BB71" s="307">
        <f>_xlfn.SUMIFS(Аренда!BA$26:BA$63,Аренда!$F$26:$F$63,$F71,Аренда!$G$26:$G$63,$G71)</f>
        <v>0</v>
      </c>
      <c r="BC71" s="307">
        <f>_xlfn.SUMIFS(Аренда!BB$26:BB$63,Аренда!$F$26:$F$63,$F71,Аренда!$G$26:$G$63,$G71)</f>
        <v>0</v>
      </c>
      <c r="BD71" s="307">
        <f>IF(AI71=0,0,(AT71-AI71)/AI71*100)</f>
        <v>0</v>
      </c>
      <c r="BE71" s="307">
        <f>IF(AT71=0,0,(AU71-AT71)/AT71*100)</f>
        <v>0</v>
      </c>
      <c r="BF71" s="307">
        <f>IF(AU71=0,0,(AV71-AU71)/AU71*100)</f>
        <v>0</v>
      </c>
      <c r="BG71" s="307">
        <f>IF(AV71=0,0,(AW71-AV71)/AV71*100)</f>
        <v>0</v>
      </c>
      <c r="BH71" s="307">
        <f>IF(AW71=0,0,(AX71-AW71)/AW71*100)</f>
        <v>0</v>
      </c>
      <c r="BI71" s="307">
        <f>IF(AX71=0,0,(AY71-AX71)/AX71*100)</f>
        <v>0</v>
      </c>
      <c r="BJ71" s="307">
        <f>IF(AY71=0,0,(AZ71-AY71)/AY71*100)</f>
        <v>0</v>
      </c>
      <c r="BK71" s="307">
        <f>IF(AZ71=0,0,(BA71-AZ71)/AZ71*100)</f>
        <v>0</v>
      </c>
      <c r="BL71" s="307">
        <f>IF(BA71=0,0,(BB71-BA71)/BA71*100)</f>
        <v>0</v>
      </c>
      <c r="BM71" s="307">
        <f>IF(BB71=0,0,(BC71-BB71)/BB71*100)</f>
        <v>0</v>
      </c>
      <c r="BN71" s="1730"/>
      <c r="BO71" s="1730"/>
      <c r="BP71" s="1730"/>
      <c r="BQ71" s="227"/>
      <c r="BR71" s="227"/>
      <c r="BS71" s="1181" t="s">
        <v>1355</v>
      </c>
    </row>
    <row s="1619" customFormat="1" customHeight="1" ht="14.25">
      <c r="A72" s="225"/>
      <c r="B72" s="924"/>
      <c r="C72" s="225"/>
      <c r="D72" s="225"/>
      <c r="E72" s="794">
        <v>15</v>
      </c>
      <c r="F72" s="919" cm="1" t="str">
        <f t="array" ref="F72:F72">OFFSET(G72,-1,-1)</f>
        <v>2</v>
      </c>
      <c r="G72" s="227"/>
      <c r="H72" s="227"/>
      <c r="I72" s="227"/>
      <c r="J72" s="227"/>
      <c r="K72" s="227"/>
      <c r="L72" s="227"/>
      <c r="M72" s="227"/>
      <c r="N72" s="227"/>
      <c r="O72" s="227"/>
      <c r="P72" s="227"/>
      <c r="Q72" s="190"/>
      <c r="R72" s="190"/>
      <c r="S72" s="227"/>
      <c r="T72" s="805" cm="1" t="str">
        <f t="array" ref="T72:T72">T71</f>
        <v>true</v>
      </c>
      <c r="U72" s="1461"/>
      <c r="V72" s="1461"/>
      <c r="W72" s="1461"/>
      <c r="X72" s="1461"/>
      <c r="Y72" s="1461"/>
      <c r="Z72" s="1461"/>
      <c r="AA72" s="227"/>
      <c r="AB72" s="157" t="s">
        <v>937</v>
      </c>
      <c r="AC72" s="164" t="s">
        <v>1356</v>
      </c>
      <c r="AD72" s="157" t="s">
        <v>805</v>
      </c>
      <c r="AE72" s="612">
        <f>SUM(AE73:AE75)</f>
        <v>0</v>
      </c>
      <c r="AF72" s="612">
        <f>SUM(AF73:AF75)</f>
        <v>0</v>
      </c>
      <c r="AG72" s="1903">
        <f>SUM(AG73:AG75)</f>
        <v>0</v>
      </c>
      <c r="AH72" s="307">
        <f>AG72-AF72</f>
        <v>0</v>
      </c>
      <c r="AI72" s="612">
        <f>SUM(AI73:AI75)</f>
        <v>0</v>
      </c>
      <c r="AJ72" s="612">
        <f>SUM(AJ73:AJ75)</f>
        <v>39</v>
      </c>
      <c r="AK72" s="612">
        <f>SUM(AK73:AK75)</f>
        <v>39</v>
      </c>
      <c r="AL72" s="612">
        <f>SUM(AL73:AL75)</f>
        <v>39</v>
      </c>
      <c r="AM72" s="612">
        <f>SUM(AM73:AM75)</f>
        <v>39</v>
      </c>
      <c r="AN72" s="612">
        <f>SUM(AN73:AN75)</f>
        <v>39</v>
      </c>
      <c r="AO72" s="612">
        <f>SUM(AO73:AO75)</f>
        <v>0</v>
      </c>
      <c r="AP72" s="612">
        <f>SUM(AP73:AP75)</f>
        <v>0</v>
      </c>
      <c r="AQ72" s="612">
        <f>SUM(AQ73:AQ75)</f>
        <v>0</v>
      </c>
      <c r="AR72" s="612">
        <f>SUM(AR73:AR75)</f>
        <v>0</v>
      </c>
      <c r="AS72" s="612">
        <f>SUM(AS73:AS75)</f>
        <v>0</v>
      </c>
      <c r="AT72" s="612">
        <f>SUM(AT73:AT75)</f>
        <v>1</v>
      </c>
      <c r="AU72" s="612">
        <f>SUM(AU73:AU75)</f>
        <v>1</v>
      </c>
      <c r="AV72" s="612">
        <f>SUM(AV73:AV75)</f>
        <v>1</v>
      </c>
      <c r="AW72" s="612">
        <f>SUM(AW73:AW75)</f>
        <v>1</v>
      </c>
      <c r="AX72" s="612">
        <f>SUM(AX73:AX75)</f>
        <v>1</v>
      </c>
      <c r="AY72" s="612">
        <f>SUM(AY73:AY75)</f>
        <v>0</v>
      </c>
      <c r="AZ72" s="612">
        <f>SUM(AZ73:AZ75)</f>
        <v>0</v>
      </c>
      <c r="BA72" s="612">
        <f>SUM(BA73:BA75)</f>
        <v>0</v>
      </c>
      <c r="BB72" s="612">
        <f>SUM(BB73:BB75)</f>
        <v>0</v>
      </c>
      <c r="BC72" s="612">
        <f>SUM(BC73:BC75)</f>
        <v>0</v>
      </c>
      <c r="BD72" s="307">
        <f>IF(AI72=0,0,(AT72-AI72)/AI72*100)</f>
        <v>0</v>
      </c>
      <c r="BE72" s="307">
        <f>IF(AT72=0,0,(AU72-AT72)/AT72*100)</f>
        <v>0</v>
      </c>
      <c r="BF72" s="307">
        <f>IF(AU72=0,0,(AV72-AU72)/AU72*100)</f>
        <v>0</v>
      </c>
      <c r="BG72" s="307">
        <f>IF(AV72=0,0,(AW72-AV72)/AV72*100)</f>
        <v>0</v>
      </c>
      <c r="BH72" s="307">
        <f>IF(AW72=0,0,(AX72-AW72)/AW72*100)</f>
        <v>0</v>
      </c>
      <c r="BI72" s="307">
        <f>IF(AX72=0,0,(AY72-AX72)/AX72*100)</f>
        <v>-100</v>
      </c>
      <c r="BJ72" s="307">
        <f>IF(AY72=0,0,(AZ72-AY72)/AY72*100)</f>
        <v>0</v>
      </c>
      <c r="BK72" s="307">
        <f>IF(AZ72=0,0,(BA72-AZ72)/AZ72*100)</f>
        <v>0</v>
      </c>
      <c r="BL72" s="307">
        <f>IF(BA72=0,0,(BB72-BA72)/BA72*100)</f>
        <v>0</v>
      </c>
      <c r="BM72" s="307">
        <f>IF(BB72=0,0,(BC72-BB72)/BB72*100)</f>
        <v>0</v>
      </c>
      <c r="BN72" s="1730"/>
      <c r="BO72" s="1730"/>
      <c r="BP72" s="1730"/>
      <c r="BQ72" s="227"/>
      <c r="BR72" s="227"/>
      <c r="BS72" s="1181" t="s">
        <v>1357</v>
      </c>
    </row>
    <row s="1619" customFormat="1" customHeight="1" ht="39">
      <c r="A73" s="225"/>
      <c r="B73" s="924"/>
      <c r="C73" s="225"/>
      <c r="D73" s="225"/>
      <c r="E73" s="794">
        <v>40.5</v>
      </c>
      <c r="F73" s="919" cm="1" t="str">
        <f t="array" ref="F73:F73">OFFSET(G73,-1,-1)</f>
        <v>2</v>
      </c>
      <c r="G73" s="190" t="s">
        <v>1245</v>
      </c>
      <c r="H73" s="227"/>
      <c r="I73" s="227"/>
      <c r="J73" s="227"/>
      <c r="K73" s="227"/>
      <c r="L73" s="227"/>
      <c r="M73" s="227"/>
      <c r="N73" s="227"/>
      <c r="O73" s="227"/>
      <c r="P73" s="227"/>
      <c r="Q73" s="190"/>
      <c r="R73" s="190"/>
      <c r="S73" s="227"/>
      <c r="T73" s="805" cm="1" t="str">
        <f t="array" ref="T73:T73">T72</f>
        <v>true</v>
      </c>
      <c r="U73" s="1461"/>
      <c r="V73" s="1461"/>
      <c r="W73" s="1461"/>
      <c r="X73" s="1461"/>
      <c r="Y73" s="1461"/>
      <c r="Z73" s="1461"/>
      <c r="AA73" s="227"/>
      <c r="AB73" s="157" t="s">
        <v>1027</v>
      </c>
      <c r="AC73" s="164" t="s">
        <v>1246</v>
      </c>
      <c r="AD73" s="157" t="s">
        <v>805</v>
      </c>
      <c r="AE73" s="612">
        <f>_xlfn.SUMIFS(Налоги!AE$26:AE$69,Налоги!$F$26:$F$69,$F73,Налоги!$G$26:$G$69,$G73)</f>
        <v>0</v>
      </c>
      <c r="AF73" s="612">
        <f>_xlfn.SUMIFS(Налоги!AF$26:AF$69,Налоги!$F$26:$F$69,$F73,Налоги!$G$26:$G$69,$G73)</f>
        <v>0</v>
      </c>
      <c r="AG73" s="1903">
        <f>_xlfn.SUMIFS(Налоги!AG$26:AG$69,Налоги!$F$26:$F$69,$F73,Налоги!$G$26:$G$69,$G73)</f>
        <v>0</v>
      </c>
      <c r="AH73" s="307">
        <f>AG73-AF73</f>
        <v>0</v>
      </c>
      <c r="AI73" s="612">
        <f>_xlfn.SUMIFS(Налоги!AH$26:AH$69,Налоги!$F$26:$F$69,$F73,Налоги!$G$26:$G$69,$G73)</f>
        <v>0</v>
      </c>
      <c r="AJ73" s="612">
        <f>_xlfn.SUMIFS(Налоги!AI$26:AI$69,Налоги!$F$26:$F$69,$F73,Налоги!$G$26:$G$69,$G73)</f>
        <v>1</v>
      </c>
      <c r="AK73" s="612">
        <f>_xlfn.SUMIFS(Налоги!AJ$26:AJ$69,Налоги!$F$26:$F$69,$F73,Налоги!$G$26:$G$69,$G73)</f>
        <v>1</v>
      </c>
      <c r="AL73" s="612">
        <f>_xlfn.SUMIFS(Налоги!AK$26:AK$69,Налоги!$F$26:$F$69,$F73,Налоги!$G$26:$G$69,$G73)</f>
        <v>1</v>
      </c>
      <c r="AM73" s="612">
        <f>_xlfn.SUMIFS(Налоги!AL$26:AL$69,Налоги!$F$26:$F$69,$F73,Налоги!$G$26:$G$69,$G73)</f>
        <v>1</v>
      </c>
      <c r="AN73" s="612">
        <f>_xlfn.SUMIFS(Налоги!AM$26:AM$69,Налоги!$F$26:$F$69,$F73,Налоги!$G$26:$G$69,$G73)</f>
        <v>1</v>
      </c>
      <c r="AO73" s="612">
        <f>_xlfn.SUMIFS(Налоги!AN$26:AN$69,Налоги!$F$26:$F$69,$F73,Налоги!$G$26:$G$69,$G73)</f>
        <v>0</v>
      </c>
      <c r="AP73" s="612">
        <f>_xlfn.SUMIFS(Налоги!AO$26:AO$69,Налоги!$F$26:$F$69,$F73,Налоги!$G$26:$G$69,$G73)</f>
        <v>0</v>
      </c>
      <c r="AQ73" s="612">
        <f>_xlfn.SUMIFS(Налоги!AP$26:AP$69,Налоги!$F$26:$F$69,$F73,Налоги!$G$26:$G$69,$G73)</f>
        <v>0</v>
      </c>
      <c r="AR73" s="612">
        <f>_xlfn.SUMIFS(Налоги!AQ$26:AQ$69,Налоги!$F$26:$F$69,$F73,Налоги!$G$26:$G$69,$G73)</f>
        <v>0</v>
      </c>
      <c r="AS73" s="612">
        <f>_xlfn.SUMIFS(Налоги!AR$26:AR$69,Налоги!$F$26:$F$69,$F73,Налоги!$G$26:$G$69,$G73)</f>
        <v>0</v>
      </c>
      <c r="AT73" s="612">
        <f>_xlfn.SUMIFS(Налоги!AS$26:AS$69,Налоги!$F$26:$F$69,$F73,Налоги!$G$26:$G$69,$G73)</f>
        <v>0</v>
      </c>
      <c r="AU73" s="612">
        <f>_xlfn.SUMIFS(Налоги!AT$26:AT$69,Налоги!$F$26:$F$69,$F73,Налоги!$G$26:$G$69,$G73)</f>
        <v>0</v>
      </c>
      <c r="AV73" s="612">
        <f>_xlfn.SUMIFS(Налоги!AU$26:AU$69,Налоги!$F$26:$F$69,$F73,Налоги!$G$26:$G$69,$G73)</f>
        <v>0</v>
      </c>
      <c r="AW73" s="612">
        <f>_xlfn.SUMIFS(Налоги!AV$26:AV$69,Налоги!$F$26:$F$69,$F73,Налоги!$G$26:$G$69,$G73)</f>
        <v>0</v>
      </c>
      <c r="AX73" s="612">
        <f>_xlfn.SUMIFS(Налоги!AW$26:AW$69,Налоги!$F$26:$F$69,$F73,Налоги!$G$26:$G$69,$G73)</f>
        <v>0</v>
      </c>
      <c r="AY73" s="612">
        <f>_xlfn.SUMIFS(Налоги!AX$26:AX$69,Налоги!$F$26:$F$69,$F73,Налоги!$G$26:$G$69,$G73)</f>
        <v>0</v>
      </c>
      <c r="AZ73" s="612">
        <f>_xlfn.SUMIFS(Налоги!AY$26:AY$69,Налоги!$F$26:$F$69,$F73,Налоги!$G$26:$G$69,$G73)</f>
        <v>0</v>
      </c>
      <c r="BA73" s="612">
        <f>_xlfn.SUMIFS(Налоги!AZ$26:AZ$69,Налоги!$F$26:$F$69,$F73,Налоги!$G$26:$G$69,$G73)</f>
        <v>0</v>
      </c>
      <c r="BB73" s="612">
        <f>_xlfn.SUMIFS(Налоги!BA$26:BA$69,Налоги!$F$26:$F$69,$F73,Налоги!$G$26:$G$69,$G73)</f>
        <v>0</v>
      </c>
      <c r="BC73" s="612">
        <f>_xlfn.SUMIFS(Налоги!BB$26:BB$69,Налоги!$F$26:$F$69,$F73,Налоги!$G$26:$G$69,$G73)</f>
        <v>0</v>
      </c>
      <c r="BD73" s="307">
        <f>IF(AI73=0,0,(AT73-AI73)/AI73*100)</f>
        <v>0</v>
      </c>
      <c r="BE73" s="307">
        <f>IF(AT73=0,0,(AU73-AT73)/AT73*100)</f>
        <v>0</v>
      </c>
      <c r="BF73" s="307">
        <f>IF(AU73=0,0,(AV73-AU73)/AU73*100)</f>
        <v>0</v>
      </c>
      <c r="BG73" s="307">
        <f>IF(AV73=0,0,(AW73-AV73)/AV73*100)</f>
        <v>0</v>
      </c>
      <c r="BH73" s="307">
        <f>IF(AW73=0,0,(AX73-AW73)/AW73*100)</f>
        <v>0</v>
      </c>
      <c r="BI73" s="307">
        <f>IF(AX73=0,0,(AY73-AX73)/AX73*100)</f>
        <v>0</v>
      </c>
      <c r="BJ73" s="307">
        <f>IF(AY73=0,0,(AZ73-AY73)/AY73*100)</f>
        <v>0</v>
      </c>
      <c r="BK73" s="307">
        <f>IF(AZ73=0,0,(BA73-AZ73)/AZ73*100)</f>
        <v>0</v>
      </c>
      <c r="BL73" s="307">
        <f>IF(BA73=0,0,(BB73-BA73)/BA73*100)</f>
        <v>0</v>
      </c>
      <c r="BM73" s="307">
        <f>IF(BB73=0,0,(BC73-BB73)/BB73*100)</f>
        <v>0</v>
      </c>
      <c r="BN73" s="1730"/>
      <c r="BO73" s="1730"/>
      <c r="BP73" s="1730"/>
      <c r="BQ73" s="227"/>
      <c r="BR73" s="227"/>
      <c r="BS73" s="1181" t="s">
        <v>1358</v>
      </c>
    </row>
    <row s="1911" customFormat="1" customHeight="1" ht="14.25">
      <c r="A74" s="232"/>
      <c r="B74" s="232"/>
      <c r="C74" s="232"/>
      <c r="D74" s="232"/>
      <c r="E74" s="794">
        <v>15</v>
      </c>
      <c r="F74" s="919" cm="1" t="str">
        <f t="array" ref="F74:F74">OFFSET(G74,-1,-1)</f>
        <v>2</v>
      </c>
      <c r="G74" s="190" t="s">
        <v>1252</v>
      </c>
      <c r="H74" s="232"/>
      <c r="I74" s="232"/>
      <c r="J74" s="232"/>
      <c r="K74" s="232"/>
      <c r="L74" s="232"/>
      <c r="M74" s="232"/>
      <c r="N74" s="232"/>
      <c r="O74" s="232"/>
      <c r="P74" s="232"/>
      <c r="Q74" s="232"/>
      <c r="R74" s="232"/>
      <c r="S74" s="232"/>
      <c r="T74" s="805" cm="1" t="str">
        <f t="array" ref="T74:T74">T73</f>
        <v>true</v>
      </c>
      <c r="U74" s="232"/>
      <c r="V74" s="232"/>
      <c r="W74" s="232"/>
      <c r="X74" s="232"/>
      <c r="Y74" s="232"/>
      <c r="Z74" s="232"/>
      <c r="AA74" s="232"/>
      <c r="AB74" s="157" t="s">
        <v>1030</v>
      </c>
      <c r="AC74" s="164" t="s">
        <v>1359</v>
      </c>
      <c r="AD74" s="157" t="s">
        <v>805</v>
      </c>
      <c r="AE74" s="612">
        <f>_xlfn.SUMIFS(Налоги!AE$26:AE$69,Налоги!$F$26:$F$69,$F74,Налоги!$G$26:$G$69,$G74)</f>
        <v>0</v>
      </c>
      <c r="AF74" s="612">
        <f>_xlfn.SUMIFS(Налоги!AF$26:AF$69,Налоги!$F$26:$F$69,$F74,Налоги!$G$26:$G$69,$G74)</f>
        <v>0</v>
      </c>
      <c r="AG74" s="1903">
        <f>_xlfn.SUMIFS(Налоги!AG$26:AG$69,Налоги!$F$26:$F$69,$F74,Налоги!$G$26:$G$69,$G74)</f>
        <v>0</v>
      </c>
      <c r="AH74" s="307">
        <f>AG74-AF74</f>
        <v>0</v>
      </c>
      <c r="AI74" s="612">
        <f>_xlfn.SUMIFS(Налоги!AH$26:AH$69,Налоги!$F$26:$F$69,$F74,Налоги!$G$26:$G$69,$G74)</f>
        <v>0</v>
      </c>
      <c r="AJ74" s="612">
        <f>_xlfn.SUMIFS(Налоги!AI$26:AI$69,Налоги!$F$26:$F$69,$F74,Налоги!$G$26:$G$69,$G74)</f>
        <v>0</v>
      </c>
      <c r="AK74" s="612">
        <f>_xlfn.SUMIFS(Налоги!AJ$26:AJ$69,Налоги!$F$26:$F$69,$F74,Налоги!$G$26:$G$69,$G74)</f>
        <v>0</v>
      </c>
      <c r="AL74" s="612">
        <f>_xlfn.SUMIFS(Налоги!AK$26:AK$69,Налоги!$F$26:$F$69,$F74,Налоги!$G$26:$G$69,$G74)</f>
        <v>0</v>
      </c>
      <c r="AM74" s="612">
        <f>_xlfn.SUMIFS(Налоги!AL$26:AL$69,Налоги!$F$26:$F$69,$F74,Налоги!$G$26:$G$69,$G74)</f>
        <v>0</v>
      </c>
      <c r="AN74" s="612">
        <f>_xlfn.SUMIFS(Налоги!AM$26:AM$69,Налоги!$F$26:$F$69,$F74,Налоги!$G$26:$G$69,$G74)</f>
        <v>0</v>
      </c>
      <c r="AO74" s="612">
        <f>_xlfn.SUMIFS(Налоги!AN$26:AN$69,Налоги!$F$26:$F$69,$F74,Налоги!$G$26:$G$69,$G74)</f>
        <v>0</v>
      </c>
      <c r="AP74" s="612">
        <f>_xlfn.SUMIFS(Налоги!AO$26:AO$69,Налоги!$F$26:$F$69,$F74,Налоги!$G$26:$G$69,$G74)</f>
        <v>0</v>
      </c>
      <c r="AQ74" s="612">
        <f>_xlfn.SUMIFS(Налоги!AP$26:AP$69,Налоги!$F$26:$F$69,$F74,Налоги!$G$26:$G$69,$G74)</f>
        <v>0</v>
      </c>
      <c r="AR74" s="612">
        <f>_xlfn.SUMIFS(Налоги!AQ$26:AQ$69,Налоги!$F$26:$F$69,$F74,Налоги!$G$26:$G$69,$G74)</f>
        <v>0</v>
      </c>
      <c r="AS74" s="612">
        <f>_xlfn.SUMIFS(Налоги!AR$26:AR$69,Налоги!$F$26:$F$69,$F74,Налоги!$G$26:$G$69,$G74)</f>
        <v>0</v>
      </c>
      <c r="AT74" s="612">
        <f>_xlfn.SUMIFS(Налоги!AS$26:AS$69,Налоги!$F$26:$F$69,$F74,Налоги!$G$26:$G$69,$G74)</f>
        <v>0</v>
      </c>
      <c r="AU74" s="612">
        <f>_xlfn.SUMIFS(Налоги!AT$26:AT$69,Налоги!$F$26:$F$69,$F74,Налоги!$G$26:$G$69,$G74)</f>
        <v>0</v>
      </c>
      <c r="AV74" s="612">
        <f>_xlfn.SUMIFS(Налоги!AU$26:AU$69,Налоги!$F$26:$F$69,$F74,Налоги!$G$26:$G$69,$G74)</f>
        <v>0</v>
      </c>
      <c r="AW74" s="612">
        <f>_xlfn.SUMIFS(Налоги!AV$26:AV$69,Налоги!$F$26:$F$69,$F74,Налоги!$G$26:$G$69,$G74)</f>
        <v>0</v>
      </c>
      <c r="AX74" s="612">
        <f>_xlfn.SUMIFS(Налоги!AW$26:AW$69,Налоги!$F$26:$F$69,$F74,Налоги!$G$26:$G$69,$G74)</f>
        <v>0</v>
      </c>
      <c r="AY74" s="612">
        <f>_xlfn.SUMIFS(Налоги!AX$26:AX$69,Налоги!$F$26:$F$69,$F74,Налоги!$G$26:$G$69,$G74)</f>
        <v>0</v>
      </c>
      <c r="AZ74" s="612">
        <f>_xlfn.SUMIFS(Налоги!AY$26:AY$69,Налоги!$F$26:$F$69,$F74,Налоги!$G$26:$G$69,$G74)</f>
        <v>0</v>
      </c>
      <c r="BA74" s="612">
        <f>_xlfn.SUMIFS(Налоги!AZ$26:AZ$69,Налоги!$F$26:$F$69,$F74,Налоги!$G$26:$G$69,$G74)</f>
        <v>0</v>
      </c>
      <c r="BB74" s="612">
        <f>_xlfn.SUMIFS(Налоги!BA$26:BA$69,Налоги!$F$26:$F$69,$F74,Налоги!$G$26:$G$69,$G74)</f>
        <v>0</v>
      </c>
      <c r="BC74" s="612">
        <f>_xlfn.SUMIFS(Налоги!BB$26:BB$69,Налоги!$F$26:$F$69,$F74,Налоги!$G$26:$G$69,$G74)</f>
        <v>0</v>
      </c>
      <c r="BD74" s="307">
        <f>IF(AI74=0,0,(AT74-AI74)/AI74*100)</f>
        <v>0</v>
      </c>
      <c r="BE74" s="307">
        <f>IF(AT74=0,0,(AU74-AT74)/AT74*100)</f>
        <v>0</v>
      </c>
      <c r="BF74" s="307">
        <f>IF(AU74=0,0,(AV74-AU74)/AU74*100)</f>
        <v>0</v>
      </c>
      <c r="BG74" s="307">
        <f>IF(AV74=0,0,(AW74-AV74)/AV74*100)</f>
        <v>0</v>
      </c>
      <c r="BH74" s="307">
        <f>IF(AW74=0,0,(AX74-AW74)/AW74*100)</f>
        <v>0</v>
      </c>
      <c r="BI74" s="307">
        <f>IF(AX74=0,0,(AY74-AX74)/AX74*100)</f>
        <v>0</v>
      </c>
      <c r="BJ74" s="307">
        <f>IF(AY74=0,0,(AZ74-AY74)/AY74*100)</f>
        <v>0</v>
      </c>
      <c r="BK74" s="307">
        <f>IF(AZ74=0,0,(BA74-AZ74)/AZ74*100)</f>
        <v>0</v>
      </c>
      <c r="BL74" s="307">
        <f>IF(BA74=0,0,(BB74-BA74)/BA74*100)</f>
        <v>0</v>
      </c>
      <c r="BM74" s="307">
        <f>IF(BB74=0,0,(BC74-BB74)/BB74*100)</f>
        <v>0</v>
      </c>
      <c r="BN74" s="1730"/>
      <c r="BO74" s="1730"/>
      <c r="BP74" s="1730"/>
      <c r="BQ74" s="232"/>
      <c r="BR74" s="232"/>
      <c r="BS74" s="1181" t="s">
        <v>1360</v>
      </c>
    </row>
    <row s="1912" customFormat="1" customHeight="1" ht="14.25">
      <c r="A75" s="232"/>
      <c r="B75" s="232"/>
      <c r="C75" s="232"/>
      <c r="D75" s="232"/>
      <c r="E75" s="794">
        <v>15</v>
      </c>
      <c r="F75" s="919" cm="1" t="str">
        <f t="array" ref="F75:F75">OFFSET(G75,-1,-1)</f>
        <v>2</v>
      </c>
      <c r="G75" s="190" t="s">
        <v>1248</v>
      </c>
      <c r="H75" s="232"/>
      <c r="I75" s="232"/>
      <c r="J75" s="232"/>
      <c r="K75" s="232"/>
      <c r="L75" s="232"/>
      <c r="M75" s="232"/>
      <c r="N75" s="232"/>
      <c r="O75" s="232"/>
      <c r="P75" s="232"/>
      <c r="Q75" s="232"/>
      <c r="R75" s="232"/>
      <c r="S75" s="232"/>
      <c r="T75" s="805" cm="1" t="str">
        <f t="array" ref="T75:T75">T74</f>
        <v>true</v>
      </c>
      <c r="U75" s="232"/>
      <c r="V75" s="232"/>
      <c r="W75" s="232"/>
      <c r="X75" s="232"/>
      <c r="Y75" s="232"/>
      <c r="Z75" s="232"/>
      <c r="AA75" s="232"/>
      <c r="AB75" s="157" t="s">
        <v>1033</v>
      </c>
      <c r="AC75" s="164" t="s">
        <v>1361</v>
      </c>
      <c r="AD75" s="157" t="s">
        <v>805</v>
      </c>
      <c r="AE75" s="612">
        <f>_xlfn.SUMIFS(Налоги!AE$26:AE$69,Налоги!$F$26:$F$69,$F75,Налоги!$G$26:$G$69,$G75)</f>
        <v>0</v>
      </c>
      <c r="AF75" s="612">
        <f>_xlfn.SUMIFS(Налоги!AF$26:AF$69,Налоги!$F$26:$F$69,$F75,Налоги!$G$26:$G$69,$G75)</f>
        <v>0</v>
      </c>
      <c r="AG75" s="1903">
        <f>_xlfn.SUMIFS(Налоги!AG$26:AG$69,Налоги!$F$26:$F$69,$F75,Налоги!$G$26:$G$69,$G75)</f>
        <v>0</v>
      </c>
      <c r="AH75" s="307">
        <f>AG75-AF75</f>
        <v>0</v>
      </c>
      <c r="AI75" s="612">
        <f>_xlfn.SUMIFS(Налоги!AH$26:AH$69,Налоги!$F$26:$F$69,$F75,Налоги!$G$26:$G$69,$G75)</f>
        <v>0</v>
      </c>
      <c r="AJ75" s="612">
        <f>_xlfn.SUMIFS(Налоги!AI$26:AI$69,Налоги!$F$26:$F$69,$F75,Налоги!$G$26:$G$69,$G75)</f>
        <v>38</v>
      </c>
      <c r="AK75" s="612">
        <f>_xlfn.SUMIFS(Налоги!AJ$26:AJ$69,Налоги!$F$26:$F$69,$F75,Налоги!$G$26:$G$69,$G75)</f>
        <v>38</v>
      </c>
      <c r="AL75" s="612">
        <f>_xlfn.SUMIFS(Налоги!AK$26:AK$69,Налоги!$F$26:$F$69,$F75,Налоги!$G$26:$G$69,$G75)</f>
        <v>38</v>
      </c>
      <c r="AM75" s="612">
        <f>_xlfn.SUMIFS(Налоги!AL$26:AL$69,Налоги!$F$26:$F$69,$F75,Налоги!$G$26:$G$69,$G75)</f>
        <v>38</v>
      </c>
      <c r="AN75" s="612">
        <f>_xlfn.SUMIFS(Налоги!AM$26:AM$69,Налоги!$F$26:$F$69,$F75,Налоги!$G$26:$G$69,$G75)</f>
        <v>38</v>
      </c>
      <c r="AO75" s="612">
        <f>_xlfn.SUMIFS(Налоги!AN$26:AN$69,Налоги!$F$26:$F$69,$F75,Налоги!$G$26:$G$69,$G75)</f>
        <v>0</v>
      </c>
      <c r="AP75" s="612">
        <f>_xlfn.SUMIFS(Налоги!AO$26:AO$69,Налоги!$F$26:$F$69,$F75,Налоги!$G$26:$G$69,$G75)</f>
        <v>0</v>
      </c>
      <c r="AQ75" s="612">
        <f>_xlfn.SUMIFS(Налоги!AP$26:AP$69,Налоги!$F$26:$F$69,$F75,Налоги!$G$26:$G$69,$G75)</f>
        <v>0</v>
      </c>
      <c r="AR75" s="612">
        <f>_xlfn.SUMIFS(Налоги!AQ$26:AQ$69,Налоги!$F$26:$F$69,$F75,Налоги!$G$26:$G$69,$G75)</f>
        <v>0</v>
      </c>
      <c r="AS75" s="612">
        <f>_xlfn.SUMIFS(Налоги!AR$26:AR$69,Налоги!$F$26:$F$69,$F75,Налоги!$G$26:$G$69,$G75)</f>
        <v>0</v>
      </c>
      <c r="AT75" s="612">
        <f>_xlfn.SUMIFS(Налоги!AS$26:AS$69,Налоги!$F$26:$F$69,$F75,Налоги!$G$26:$G$69,$G75)</f>
        <v>1</v>
      </c>
      <c r="AU75" s="612">
        <f>_xlfn.SUMIFS(Налоги!AT$26:AT$69,Налоги!$F$26:$F$69,$F75,Налоги!$G$26:$G$69,$G75)</f>
        <v>1</v>
      </c>
      <c r="AV75" s="612">
        <f>_xlfn.SUMIFS(Налоги!AU$26:AU$69,Налоги!$F$26:$F$69,$F75,Налоги!$G$26:$G$69,$G75)</f>
        <v>1</v>
      </c>
      <c r="AW75" s="612">
        <f>_xlfn.SUMIFS(Налоги!AV$26:AV$69,Налоги!$F$26:$F$69,$F75,Налоги!$G$26:$G$69,$G75)</f>
        <v>1</v>
      </c>
      <c r="AX75" s="612">
        <f>_xlfn.SUMIFS(Налоги!AW$26:AW$69,Налоги!$F$26:$F$69,$F75,Налоги!$G$26:$G$69,$G75)</f>
        <v>1</v>
      </c>
      <c r="AY75" s="612">
        <f>_xlfn.SUMIFS(Налоги!AX$26:AX$69,Налоги!$F$26:$F$69,$F75,Налоги!$G$26:$G$69,$G75)</f>
        <v>0</v>
      </c>
      <c r="AZ75" s="612">
        <f>_xlfn.SUMIFS(Налоги!AY$26:AY$69,Налоги!$F$26:$F$69,$F75,Налоги!$G$26:$G$69,$G75)</f>
        <v>0</v>
      </c>
      <c r="BA75" s="612">
        <f>_xlfn.SUMIFS(Налоги!AZ$26:AZ$69,Налоги!$F$26:$F$69,$F75,Налоги!$G$26:$G$69,$G75)</f>
        <v>0</v>
      </c>
      <c r="BB75" s="612">
        <f>_xlfn.SUMIFS(Налоги!BA$26:BA$69,Налоги!$F$26:$F$69,$F75,Налоги!$G$26:$G$69,$G75)</f>
        <v>0</v>
      </c>
      <c r="BC75" s="612">
        <f>_xlfn.SUMIFS(Налоги!BB$26:BB$69,Налоги!$F$26:$F$69,$F75,Налоги!$G$26:$G$69,$G75)</f>
        <v>0</v>
      </c>
      <c r="BD75" s="307">
        <f>IF(AI75=0,0,(AT75-AI75)/AI75*100)</f>
        <v>0</v>
      </c>
      <c r="BE75" s="307">
        <f>IF(AT75=0,0,(AU75-AT75)/AT75*100)</f>
        <v>0</v>
      </c>
      <c r="BF75" s="307">
        <f>IF(AU75=0,0,(AV75-AU75)/AU75*100)</f>
        <v>0</v>
      </c>
      <c r="BG75" s="307">
        <f>IF(AV75=0,0,(AW75-AV75)/AV75*100)</f>
        <v>0</v>
      </c>
      <c r="BH75" s="307">
        <f>IF(AW75=0,0,(AX75-AW75)/AW75*100)</f>
        <v>0</v>
      </c>
      <c r="BI75" s="307">
        <f>IF(AX75=0,0,(AY75-AX75)/AX75*100)</f>
        <v>-100</v>
      </c>
      <c r="BJ75" s="307">
        <f>IF(AY75=0,0,(AZ75-AY75)/AY75*100)</f>
        <v>0</v>
      </c>
      <c r="BK75" s="307">
        <f>IF(AZ75=0,0,(BA75-AZ75)/AZ75*100)</f>
        <v>0</v>
      </c>
      <c r="BL75" s="307">
        <f>IF(BA75=0,0,(BB75-BA75)/BA75*100)</f>
        <v>0</v>
      </c>
      <c r="BM75" s="307">
        <f>IF(BB75=0,0,(BC75-BB75)/BB75*100)</f>
        <v>0</v>
      </c>
      <c r="BN75" s="1730"/>
      <c r="BO75" s="1730"/>
      <c r="BP75" s="1730"/>
      <c r="BQ75" s="232"/>
      <c r="BR75" s="232"/>
      <c r="BS75" s="1181" t="s">
        <v>1268</v>
      </c>
    </row>
    <row s="1619" customFormat="1" customHeight="1" ht="14.25">
      <c r="A76" s="225"/>
      <c r="B76" s="924"/>
      <c r="C76" s="225"/>
      <c r="D76" s="225"/>
      <c r="E76" s="794">
        <v>15</v>
      </c>
      <c r="F76" s="919" cm="1" t="str">
        <f t="array" ref="F76:F76">OFFSET(G76,-1,-1)</f>
        <v>2</v>
      </c>
      <c r="G76" s="227"/>
      <c r="H76" s="227"/>
      <c r="I76" s="227"/>
      <c r="J76" s="227"/>
      <c r="K76" s="227"/>
      <c r="L76" s="227"/>
      <c r="M76" s="227"/>
      <c r="N76" s="227"/>
      <c r="O76" s="227"/>
      <c r="P76" s="227"/>
      <c r="Q76" s="190"/>
      <c r="R76" s="190"/>
      <c r="S76" s="227"/>
      <c r="T76" s="805" cm="1" t="str">
        <f t="array" ref="T76:T76">T75</f>
        <v>true</v>
      </c>
      <c r="U76" s="1461"/>
      <c r="V76" s="1461"/>
      <c r="W76" s="1461"/>
      <c r="X76" s="1461"/>
      <c r="Y76" s="1461"/>
      <c r="Z76" s="1461"/>
      <c r="AA76" s="227"/>
      <c r="AB76" s="157" t="s">
        <v>1042</v>
      </c>
      <c r="AC76" s="164" t="s">
        <v>1362</v>
      </c>
      <c r="AD76" s="157" t="s">
        <v>805</v>
      </c>
      <c r="AE76" s="1903"/>
      <c r="AF76" s="1903"/>
      <c r="AG76" s="1903"/>
      <c r="AH76" s="307">
        <f>AG76-AF76</f>
        <v>0</v>
      </c>
      <c r="AI76" s="1903"/>
      <c r="AJ76" s="614">
        <v>329</v>
      </c>
      <c r="AK76" s="614">
        <v>339</v>
      </c>
      <c r="AL76" s="614">
        <v>349</v>
      </c>
      <c r="AM76" s="614">
        <v>359</v>
      </c>
      <c r="AN76" s="614">
        <v>370</v>
      </c>
      <c r="AO76" s="1903"/>
      <c r="AP76" s="1903"/>
      <c r="AQ76" s="1903"/>
      <c r="AR76" s="1903"/>
      <c r="AS76" s="1903"/>
      <c r="AT76" s="614">
        <v>146</v>
      </c>
      <c r="AU76" s="614">
        <v>150</v>
      </c>
      <c r="AV76" s="614">
        <v>156</v>
      </c>
      <c r="AW76" s="614">
        <v>163</v>
      </c>
      <c r="AX76" s="614">
        <v>167</v>
      </c>
      <c r="AY76" s="1903"/>
      <c r="AZ76" s="1903"/>
      <c r="BA76" s="1903"/>
      <c r="BB76" s="1903"/>
      <c r="BC76" s="1903"/>
      <c r="BD76" s="307">
        <f>IF(AI76=0,0,(AT76-AI76)/AI76*100)</f>
        <v>0</v>
      </c>
      <c r="BE76" s="307">
        <f>IF(AT76=0,0,(AU76-AT76)/AT76*100)</f>
        <v>2.73972602739726</v>
      </c>
      <c r="BF76" s="307">
        <f>IF(AU76=0,0,(AV76-AU76)/AU76*100)</f>
        <v>4</v>
      </c>
      <c r="BG76" s="307">
        <f>IF(AV76=0,0,(AW76-AV76)/AV76*100)</f>
        <v>4.48717948717949</v>
      </c>
      <c r="BH76" s="307">
        <f>IF(AW76=0,0,(AX76-AW76)/AW76*100)</f>
        <v>2.45398773006135</v>
      </c>
      <c r="BI76" s="307">
        <f>IF(AX76=0,0,(AY76-AX76)/AX76*100)</f>
        <v>-100</v>
      </c>
      <c r="BJ76" s="307">
        <f>IF(AY76=0,0,(AZ76-AY76)/AY76*100)</f>
        <v>0</v>
      </c>
      <c r="BK76" s="307">
        <f>IF(AZ76=0,0,(BA76-AZ76)/AZ76*100)</f>
        <v>0</v>
      </c>
      <c r="BL76" s="307">
        <f>IF(BA76=0,0,(BB76-BA76)/BA76*100)</f>
        <v>0</v>
      </c>
      <c r="BM76" s="307">
        <f>IF(BB76=0,0,(BC76-BB76)/BB76*100)</f>
        <v>0</v>
      </c>
      <c r="BN76" s="1730"/>
      <c r="BO76" s="1730"/>
      <c r="BP76" s="1730"/>
      <c r="BQ76" s="227"/>
      <c r="BR76" s="227"/>
      <c r="BS76" s="1181" t="s">
        <v>1363</v>
      </c>
    </row>
    <row s="1619" customFormat="1" customHeight="1" ht="14.25">
      <c r="A77" s="225"/>
      <c r="B77" s="924"/>
      <c r="C77" s="225"/>
      <c r="D77" s="225"/>
      <c r="E77" s="794">
        <v>15</v>
      </c>
      <c r="F77" s="919" cm="1" t="str">
        <f t="array" ref="F77:F77">OFFSET(G77,-1,-1)</f>
        <v>2</v>
      </c>
      <c r="G77" s="227"/>
      <c r="H77" s="227"/>
      <c r="I77" s="227"/>
      <c r="J77" s="227"/>
      <c r="K77" s="227"/>
      <c r="L77" s="227"/>
      <c r="M77" s="227"/>
      <c r="N77" s="227"/>
      <c r="O77" s="227"/>
      <c r="P77" s="227"/>
      <c r="Q77" s="190"/>
      <c r="R77" s="190"/>
      <c r="S77" s="227"/>
      <c r="T77" s="805" cm="1" t="str">
        <f t="array" ref="T77:T77">T76</f>
        <v>true</v>
      </c>
      <c r="U77" s="1461"/>
      <c r="V77" s="1461"/>
      <c r="W77" s="1461"/>
      <c r="X77" s="1461"/>
      <c r="Y77" s="1461"/>
      <c r="Z77" s="1461"/>
      <c r="AA77" s="227"/>
      <c r="AB77" s="157" t="s">
        <v>1364</v>
      </c>
      <c r="AC77" s="871" t="s">
        <v>1365</v>
      </c>
      <c r="AD77" s="157" t="s">
        <v>490</v>
      </c>
      <c r="AE77" s="1889"/>
      <c r="AF77" s="1889"/>
      <c r="AG77" s="1889"/>
      <c r="AH77" s="307">
        <f>AG77-AF77</f>
        <v>0</v>
      </c>
      <c r="AI77" s="1889"/>
      <c r="AJ77" s="1132"/>
      <c r="AK77" s="1132"/>
      <c r="AL77" s="1132"/>
      <c r="AM77" s="1132"/>
      <c r="AN77" s="1132"/>
      <c r="AO77" s="1889"/>
      <c r="AP77" s="1889"/>
      <c r="AQ77" s="1889"/>
      <c r="AR77" s="1889"/>
      <c r="AS77" s="1889"/>
      <c r="AT77" s="1132"/>
      <c r="AU77" s="1132"/>
      <c r="AV77" s="1132"/>
      <c r="AW77" s="1132"/>
      <c r="AX77" s="1132"/>
      <c r="AY77" s="1889"/>
      <c r="AZ77" s="1889"/>
      <c r="BA77" s="1889"/>
      <c r="BB77" s="1889"/>
      <c r="BC77" s="1889"/>
      <c r="BD77" s="307">
        <f>IF(AI77=0,0,(AT77-AI77)/AI77*100)</f>
        <v>0</v>
      </c>
      <c r="BE77" s="307">
        <f>IF(AT77=0,0,(AU77-AT77)/AT77*100)</f>
        <v>0</v>
      </c>
      <c r="BF77" s="307">
        <f>IF(AU77=0,0,(AV77-AU77)/AU77*100)</f>
        <v>0</v>
      </c>
      <c r="BG77" s="307">
        <f>IF(AV77=0,0,(AW77-AV77)/AV77*100)</f>
        <v>0</v>
      </c>
      <c r="BH77" s="307">
        <f>IF(AW77=0,0,(AX77-AW77)/AW77*100)</f>
        <v>0</v>
      </c>
      <c r="BI77" s="307">
        <f>IF(AX77=0,0,(AY77-AX77)/AX77*100)</f>
        <v>0</v>
      </c>
      <c r="BJ77" s="307">
        <f>IF(AY77=0,0,(AZ77-AY77)/AY77*100)</f>
        <v>0</v>
      </c>
      <c r="BK77" s="307">
        <f>IF(AZ77=0,0,(BA77-AZ77)/AZ77*100)</f>
        <v>0</v>
      </c>
      <c r="BL77" s="307">
        <f>IF(BA77=0,0,(BB77-BA77)/BA77*100)</f>
        <v>0</v>
      </c>
      <c r="BM77" s="307">
        <f>IF(BB77=0,0,(BC77-BB77)/BB77*100)</f>
        <v>0</v>
      </c>
      <c r="BN77" s="1730"/>
      <c r="BO77" s="1730"/>
      <c r="BP77" s="1730"/>
      <c r="BQ77" s="227"/>
      <c r="BR77" s="227"/>
      <c r="BS77" s="1181" t="s">
        <v>1366</v>
      </c>
    </row>
    <row s="1619" customFormat="1" customHeight="1" ht="14.25">
      <c r="A78" s="225"/>
      <c r="B78" s="924"/>
      <c r="C78" s="225"/>
      <c r="D78" s="225"/>
      <c r="E78" s="794">
        <v>15</v>
      </c>
      <c r="F78" s="919" cm="1" t="str">
        <f t="array" ref="F78:F78">OFFSET(G78,-1,-1)</f>
        <v>2</v>
      </c>
      <c r="G78" s="227"/>
      <c r="H78" s="227"/>
      <c r="I78" s="227"/>
      <c r="J78" s="227"/>
      <c r="K78" s="227"/>
      <c r="L78" s="227"/>
      <c r="M78" s="227"/>
      <c r="N78" s="227"/>
      <c r="O78" s="227"/>
      <c r="P78" s="227"/>
      <c r="Q78" s="190"/>
      <c r="R78" s="190"/>
      <c r="S78" s="227"/>
      <c r="T78" s="805" cm="1" t="str">
        <f t="array" ref="T78:T78">T76</f>
        <v>true</v>
      </c>
      <c r="U78" s="1461"/>
      <c r="V78" s="1461"/>
      <c r="W78" s="1461"/>
      <c r="X78" s="1461"/>
      <c r="Y78" s="1461"/>
      <c r="Z78" s="1461"/>
      <c r="AA78" s="227"/>
      <c r="AB78" s="157" t="s">
        <v>1045</v>
      </c>
      <c r="AC78" s="164" t="s">
        <v>1367</v>
      </c>
      <c r="AD78" s="157" t="s">
        <v>805</v>
      </c>
      <c r="AE78" s="1903"/>
      <c r="AF78" s="1903"/>
      <c r="AG78" s="1903"/>
      <c r="AH78" s="307">
        <f>AG78-AF78</f>
        <v>0</v>
      </c>
      <c r="AI78" s="1903"/>
      <c r="AJ78" s="614">
        <v>558</v>
      </c>
      <c r="AK78" s="614">
        <v>0</v>
      </c>
      <c r="AL78" s="614">
        <v>0</v>
      </c>
      <c r="AM78" s="614">
        <v>0</v>
      </c>
      <c r="AN78" s="614">
        <v>0</v>
      </c>
      <c r="AO78" s="1903"/>
      <c r="AP78" s="1903"/>
      <c r="AQ78" s="1903"/>
      <c r="AR78" s="1903"/>
      <c r="AS78" s="1903"/>
      <c r="AT78" s="614">
        <v>0</v>
      </c>
      <c r="AU78" s="614">
        <v>0</v>
      </c>
      <c r="AV78" s="614">
        <v>0</v>
      </c>
      <c r="AW78" s="614">
        <v>0</v>
      </c>
      <c r="AX78" s="614">
        <v>0</v>
      </c>
      <c r="AY78" s="1903"/>
      <c r="AZ78" s="1903"/>
      <c r="BA78" s="1903"/>
      <c r="BB78" s="1903"/>
      <c r="BC78" s="1903"/>
      <c r="BD78" s="307">
        <f>IF(AI78=0,0,(AT78-AI78)/AI78*100)</f>
        <v>0</v>
      </c>
      <c r="BE78" s="307">
        <f>IF(AT78=0,0,(AU78-AT78)/AT78*100)</f>
        <v>0</v>
      </c>
      <c r="BF78" s="307">
        <f>IF(AU78=0,0,(AV78-AU78)/AU78*100)</f>
        <v>0</v>
      </c>
      <c r="BG78" s="307">
        <f>IF(AV78=0,0,(AW78-AV78)/AV78*100)</f>
        <v>0</v>
      </c>
      <c r="BH78" s="307">
        <f>IF(AW78=0,0,(AX78-AW78)/AW78*100)</f>
        <v>0</v>
      </c>
      <c r="BI78" s="307">
        <f>IF(AX78=0,0,(AY78-AX78)/AX78*100)</f>
        <v>0</v>
      </c>
      <c r="BJ78" s="307">
        <f>IF(AY78=0,0,(AZ78-AY78)/AY78*100)</f>
        <v>0</v>
      </c>
      <c r="BK78" s="307">
        <f>IF(AZ78=0,0,(BA78-AZ78)/AZ78*100)</f>
        <v>0</v>
      </c>
      <c r="BL78" s="307">
        <f>IF(BA78=0,0,(BB78-BA78)/BA78*100)</f>
        <v>0</v>
      </c>
      <c r="BM78" s="307">
        <f>IF(BB78=0,0,(BC78-BB78)/BB78*100)</f>
        <v>0</v>
      </c>
      <c r="BN78" s="1730"/>
      <c r="BO78" s="1730"/>
      <c r="BP78" s="1730"/>
      <c r="BQ78" s="227"/>
      <c r="BR78" s="227"/>
      <c r="BS78" s="1181" t="s">
        <v>1368</v>
      </c>
    </row>
    <row s="1619" customFormat="1" customHeight="1" ht="14.25">
      <c r="A79" s="225"/>
      <c r="B79" s="924"/>
      <c r="C79" s="225"/>
      <c r="D79" s="225"/>
      <c r="E79" s="794">
        <v>15</v>
      </c>
      <c r="F79" s="919" cm="1" t="str">
        <f t="array" ref="F79:F79">OFFSET(G79,-1,-1)</f>
        <v>2</v>
      </c>
      <c r="G79" s="190" t="s">
        <v>1129</v>
      </c>
      <c r="H79" s="227"/>
      <c r="I79" s="227"/>
      <c r="J79" s="227"/>
      <c r="K79" s="227"/>
      <c r="L79" s="227"/>
      <c r="M79" s="227"/>
      <c r="N79" s="227"/>
      <c r="O79" s="227"/>
      <c r="P79" s="227"/>
      <c r="Q79" s="190"/>
      <c r="R79" s="190"/>
      <c r="S79" s="227"/>
      <c r="T79" s="805" cm="1" t="str">
        <f t="array" ref="T79:T79">T78</f>
        <v>true</v>
      </c>
      <c r="U79" s="1461"/>
      <c r="V79" s="1461"/>
      <c r="W79" s="1461"/>
      <c r="X79" s="1461"/>
      <c r="Y79" s="1461"/>
      <c r="Z79" s="1461"/>
      <c r="AA79" s="227"/>
      <c r="AB79" s="157" t="s">
        <v>1048</v>
      </c>
      <c r="AC79" s="164" t="s">
        <v>1369</v>
      </c>
      <c r="AD79" s="157" t="s">
        <v>805</v>
      </c>
      <c r="AE79" s="612">
        <f>_xlfn.SUMIFS(Амортизация!AE$26:AE$324,Амортизация!$F$26:$F$324,$F79,Амортизация!$G$26:$G$324,$G79)</f>
        <v>0</v>
      </c>
      <c r="AF79" s="612">
        <f>_xlfn.SUMIFS(Амортизация!AF$26:AF$324,Амортизация!$F$26:$F$324,$F79,Амортизация!$G$26:$G$324,$G79)</f>
        <v>0</v>
      </c>
      <c r="AG79" s="1903">
        <f>_xlfn.SUMIFS(Амортизация!AG$26:AG$324,Амортизация!$F$26:$F$324,$F79,Амортизация!$G$26:$G$324,$G79)</f>
        <v>0</v>
      </c>
      <c r="AH79" s="307">
        <f>AG79-AF79</f>
        <v>0</v>
      </c>
      <c r="AI79" s="612">
        <f>_xlfn.SUMIFS(Амортизация!AH$26:AH$324,Амортизация!$F$26:$F$324,$F79,Амортизация!$G$26:$G$324,$G79)</f>
        <v>0</v>
      </c>
      <c r="AJ79" s="612">
        <f>_xlfn.SUMIFS(Амортизация!AI$26:AI$324,Амортизация!$F$26:$F$324,$F79,Амортизация!$G$26:$G$324,$G79)</f>
        <v>507</v>
      </c>
      <c r="AK79" s="612">
        <f>_xlfn.SUMIFS(Амортизация!AJ$26:AJ$324,Амортизация!$F$26:$F$324,$F79,Амортизация!$G$26:$G$324,$G79)</f>
        <v>507</v>
      </c>
      <c r="AL79" s="612">
        <f>_xlfn.SUMIFS(Амортизация!AK$26:AK$324,Амортизация!$F$26:$F$324,$F79,Амортизация!$G$26:$G$324,$G79)</f>
        <v>507</v>
      </c>
      <c r="AM79" s="612">
        <f>_xlfn.SUMIFS(Амортизация!AL$26:AL$324,Амортизация!$F$26:$F$324,$F79,Амортизация!$G$26:$G$324,$G79)</f>
        <v>465</v>
      </c>
      <c r="AN79" s="612">
        <f>_xlfn.SUMIFS(Амортизация!AM$26:AM$324,Амортизация!$F$26:$F$324,$F79,Амортизация!$G$26:$G$324,$G79)</f>
        <v>465</v>
      </c>
      <c r="AO79" s="612">
        <f>_xlfn.SUMIFS(Амортизация!AN$26:AN$324,Амортизация!$F$26:$F$324,$F79,Амортизация!$G$26:$G$324,$G79)</f>
        <v>0</v>
      </c>
      <c r="AP79" s="612">
        <f>_xlfn.SUMIFS(Амортизация!AO$26:AO$324,Амортизация!$F$26:$F$324,$F79,Амортизация!$G$26:$G$324,$G79)</f>
        <v>0</v>
      </c>
      <c r="AQ79" s="612">
        <f>_xlfn.SUMIFS(Амортизация!AP$26:AP$324,Амортизация!$F$26:$F$324,$F79,Амортизация!$G$26:$G$324,$G79)</f>
        <v>0</v>
      </c>
      <c r="AR79" s="612">
        <f>_xlfn.SUMIFS(Амортизация!AQ$26:AQ$324,Амортизация!$F$26:$F$324,$F79,Амортизация!$G$26:$G$324,$G79)</f>
        <v>0</v>
      </c>
      <c r="AS79" s="612">
        <f>_xlfn.SUMIFS(Амортизация!AR$26:AR$324,Амортизация!$F$26:$F$324,$F79,Амортизация!$G$26:$G$324,$G79)</f>
        <v>0</v>
      </c>
      <c r="AT79" s="612">
        <f>_xlfn.SUMIFS(Амортизация!AS$26:AS$324,Амортизация!$F$26:$F$324,$F79,Амортизация!$G$26:$G$324,$G79)</f>
        <v>322</v>
      </c>
      <c r="AU79" s="612">
        <f>_xlfn.SUMIFS(Амортизация!AT$26:AT$324,Амортизация!$F$26:$F$324,$F79,Амортизация!$G$26:$G$324,$G79)</f>
        <v>322</v>
      </c>
      <c r="AV79" s="612">
        <f>_xlfn.SUMIFS(Амортизация!AU$26:AU$324,Амортизация!$F$26:$F$324,$F79,Амортизация!$G$26:$G$324,$G79)</f>
        <v>4</v>
      </c>
      <c r="AW79" s="612">
        <f>_xlfn.SUMIFS(Амортизация!AV$26:AV$324,Амортизация!$F$26:$F$324,$F79,Амортизация!$G$26:$G$324,$G79)</f>
        <v>4</v>
      </c>
      <c r="AX79" s="612">
        <f>_xlfn.SUMIFS(Амортизация!AW$26:AW$324,Амортизация!$F$26:$F$324,$F79,Амортизация!$G$26:$G$324,$G79)</f>
        <v>4</v>
      </c>
      <c r="AY79" s="612">
        <f>_xlfn.SUMIFS(Амортизация!AX$26:AX$324,Амортизация!$F$26:$F$324,$F79,Амортизация!$G$26:$G$324,$G79)</f>
        <v>0</v>
      </c>
      <c r="AZ79" s="612">
        <f>_xlfn.SUMIFS(Амортизация!AY$26:AY$324,Амортизация!$F$26:$F$324,$F79,Амортизация!$G$26:$G$324,$G79)</f>
        <v>0</v>
      </c>
      <c r="BA79" s="612">
        <f>_xlfn.SUMIFS(Амортизация!AZ$26:AZ$324,Амортизация!$F$26:$F$324,$F79,Амортизация!$G$26:$G$324,$G79)</f>
        <v>0</v>
      </c>
      <c r="BB79" s="612">
        <f>_xlfn.SUMIFS(Амортизация!BA$26:BA$324,Амортизация!$F$26:$F$324,$F79,Амортизация!$G$26:$G$324,$G79)</f>
        <v>0</v>
      </c>
      <c r="BC79" s="612">
        <f>_xlfn.SUMIFS(Амортизация!BB$26:BB$324,Амортизация!$F$26:$F$324,$F79,Амортизация!$G$26:$G$324,$G79)</f>
        <v>0</v>
      </c>
      <c r="BD79" s="307">
        <f>IF(AI79=0,0,(AT79-AI79)/AI79*100)</f>
        <v>0</v>
      </c>
      <c r="BE79" s="307">
        <f>IF(AT79=0,0,(AU79-AT79)/AT79*100)</f>
        <v>0</v>
      </c>
      <c r="BF79" s="307">
        <f>IF(AU79=0,0,(AV79-AU79)/AU79*100)</f>
        <v>-98.7577639751553</v>
      </c>
      <c r="BG79" s="307">
        <f>IF(AV79=0,0,(AW79-AV79)/AV79*100)</f>
        <v>0</v>
      </c>
      <c r="BH79" s="307">
        <f>IF(AW79=0,0,(AX79-AW79)/AW79*100)</f>
        <v>0</v>
      </c>
      <c r="BI79" s="307">
        <f>IF(AX79=0,0,(AY79-AX79)/AX79*100)</f>
        <v>-100</v>
      </c>
      <c r="BJ79" s="307">
        <f>IF(AY79=0,0,(AZ79-AY79)/AY79*100)</f>
        <v>0</v>
      </c>
      <c r="BK79" s="307">
        <f>IF(AZ79=0,0,(BA79-AZ79)/AZ79*100)</f>
        <v>0</v>
      </c>
      <c r="BL79" s="307">
        <f>IF(BA79=0,0,(BB79-BA79)/BA79*100)</f>
        <v>0</v>
      </c>
      <c r="BM79" s="307">
        <f>IF(BB79=0,0,(BC79-BB79)/BB79*100)</f>
        <v>0</v>
      </c>
      <c r="BN79" s="1730"/>
      <c r="BO79" s="1730"/>
      <c r="BP79" s="1730"/>
      <c r="BQ79" s="227"/>
      <c r="BR79" s="227"/>
      <c r="BS79" s="1181" t="s">
        <v>1370</v>
      </c>
    </row>
    <row s="1619" customFormat="1" customHeight="1" ht="24.75">
      <c r="A80" s="225"/>
      <c r="B80" s="924"/>
      <c r="C80" s="225"/>
      <c r="D80" s="225"/>
      <c r="E80" s="794">
        <v>25.5</v>
      </c>
      <c r="F80" s="919" cm="1" t="str">
        <f t="array" ref="F80:F80">OFFSET(G80,-1,-1)</f>
        <v>2</v>
      </c>
      <c r="G80" s="227"/>
      <c r="H80" s="227"/>
      <c r="I80" s="227"/>
      <c r="J80" s="227"/>
      <c r="K80" s="227"/>
      <c r="L80" s="227"/>
      <c r="M80" s="227"/>
      <c r="N80" s="227"/>
      <c r="O80" s="227"/>
      <c r="P80" s="227"/>
      <c r="Q80" s="190"/>
      <c r="R80" s="190"/>
      <c r="S80" s="227"/>
      <c r="T80" s="805" cm="1" t="str">
        <f t="array" ref="T80:T80">T79</f>
        <v>true</v>
      </c>
      <c r="U80" s="1461"/>
      <c r="V80" s="1461"/>
      <c r="W80" s="1461"/>
      <c r="X80" s="1461"/>
      <c r="Y80" s="1461"/>
      <c r="Z80" s="1461"/>
      <c r="AA80" s="227"/>
      <c r="AB80" s="157" t="s">
        <v>1051</v>
      </c>
      <c r="AC80" s="164" t="s">
        <v>1371</v>
      </c>
      <c r="AD80" s="157" t="s">
        <v>805</v>
      </c>
      <c r="AE80" s="1903"/>
      <c r="AF80" s="1903"/>
      <c r="AG80" s="1903"/>
      <c r="AH80" s="307">
        <f>AG80-AF80</f>
        <v>0</v>
      </c>
      <c r="AI80" s="1903"/>
      <c r="AJ80" s="614"/>
      <c r="AK80" s="614"/>
      <c r="AL80" s="614"/>
      <c r="AM80" s="614"/>
      <c r="AN80" s="614"/>
      <c r="AO80" s="1903"/>
      <c r="AP80" s="1903"/>
      <c r="AQ80" s="1903"/>
      <c r="AR80" s="1903"/>
      <c r="AS80" s="1903"/>
      <c r="AT80" s="614"/>
      <c r="AU80" s="614"/>
      <c r="AV80" s="614"/>
      <c r="AW80" s="614"/>
      <c r="AX80" s="614"/>
      <c r="AY80" s="1903"/>
      <c r="AZ80" s="1903"/>
      <c r="BA80" s="1903"/>
      <c r="BB80" s="1903"/>
      <c r="BC80" s="1903"/>
      <c r="BD80" s="307">
        <f>IF(AI80=0,0,(AT80-AI80)/AI80*100)</f>
        <v>0</v>
      </c>
      <c r="BE80" s="307">
        <f>IF(AT80=0,0,(AU80-AT80)/AT80*100)</f>
        <v>0</v>
      </c>
      <c r="BF80" s="307">
        <f>IF(AU80=0,0,(AV80-AU80)/AU80*100)</f>
        <v>0</v>
      </c>
      <c r="BG80" s="307">
        <f>IF(AV80=0,0,(AW80-AV80)/AV80*100)</f>
        <v>0</v>
      </c>
      <c r="BH80" s="307">
        <f>IF(AW80=0,0,(AX80-AW80)/AW80*100)</f>
        <v>0</v>
      </c>
      <c r="BI80" s="307">
        <f>IF(AX80=0,0,(AY80-AX80)/AX80*100)</f>
        <v>0</v>
      </c>
      <c r="BJ80" s="307">
        <f>IF(AY80=0,0,(AZ80-AY80)/AY80*100)</f>
        <v>0</v>
      </c>
      <c r="BK80" s="307">
        <f>IF(AZ80=0,0,(BA80-AZ80)/AZ80*100)</f>
        <v>0</v>
      </c>
      <c r="BL80" s="307">
        <f>IF(BA80=0,0,(BB80-BA80)/BA80*100)</f>
        <v>0</v>
      </c>
      <c r="BM80" s="307">
        <f>IF(BB80=0,0,(BC80-BB80)/BB80*100)</f>
        <v>0</v>
      </c>
      <c r="BN80" s="1730"/>
      <c r="BO80" s="1730"/>
      <c r="BP80" s="1730"/>
      <c r="BQ80" s="227"/>
      <c r="BR80" s="227"/>
      <c r="BS80" s="1181" t="s">
        <v>1372</v>
      </c>
    </row>
    <row s="1619" customFormat="1" customHeight="1" ht="24.75">
      <c r="A81" s="225"/>
      <c r="B81" s="924"/>
      <c r="C81" s="225"/>
      <c r="D81" s="225"/>
      <c r="E81" s="794">
        <v>25.5</v>
      </c>
      <c r="F81" s="919" cm="1" t="str">
        <f t="array" ref="F81:F81">OFFSET(G81,-1,-1)</f>
        <v>2</v>
      </c>
      <c r="G81" s="227"/>
      <c r="H81" s="227"/>
      <c r="I81" s="227"/>
      <c r="J81" s="227"/>
      <c r="K81" s="227"/>
      <c r="L81" s="227"/>
      <c r="M81" s="227"/>
      <c r="N81" s="227"/>
      <c r="O81" s="227"/>
      <c r="P81" s="227"/>
      <c r="Q81" s="190"/>
      <c r="R81" s="190"/>
      <c r="S81" s="227"/>
      <c r="T81" s="805" cm="1" t="str">
        <f t="array" ref="T81:T81">T80</f>
        <v>true</v>
      </c>
      <c r="U81" s="1461"/>
      <c r="V81" s="1461"/>
      <c r="W81" s="1461"/>
      <c r="X81" s="1461"/>
      <c r="Y81" s="1461"/>
      <c r="Z81" s="1461"/>
      <c r="AA81" s="227"/>
      <c r="AB81" s="157" t="s">
        <v>1266</v>
      </c>
      <c r="AC81" s="164" t="s">
        <v>1373</v>
      </c>
      <c r="AD81" s="157" t="s">
        <v>805</v>
      </c>
      <c r="AE81" s="1903"/>
      <c r="AF81" s="1903"/>
      <c r="AG81" s="1903"/>
      <c r="AH81" s="307">
        <f>AG81-AF81</f>
        <v>0</v>
      </c>
      <c r="AI81" s="1903"/>
      <c r="AJ81" s="614"/>
      <c r="AK81" s="614"/>
      <c r="AL81" s="614"/>
      <c r="AM81" s="614"/>
      <c r="AN81" s="614"/>
      <c r="AO81" s="1903"/>
      <c r="AP81" s="1903"/>
      <c r="AQ81" s="1903"/>
      <c r="AR81" s="1903"/>
      <c r="AS81" s="1903"/>
      <c r="AT81" s="614"/>
      <c r="AU81" s="614"/>
      <c r="AV81" s="614"/>
      <c r="AW81" s="614"/>
      <c r="AX81" s="614"/>
      <c r="AY81" s="1903"/>
      <c r="AZ81" s="1903"/>
      <c r="BA81" s="1903"/>
      <c r="BB81" s="1903"/>
      <c r="BC81" s="1903"/>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1730"/>
      <c r="BO81" s="1730"/>
      <c r="BP81" s="1730"/>
      <c r="BQ81" s="227"/>
      <c r="BR81" s="227"/>
      <c r="BS81" s="1181" t="s">
        <v>1374</v>
      </c>
    </row>
    <row s="1619" customFormat="1" customHeight="1" ht="14.25">
      <c r="A82" s="225"/>
      <c r="B82" s="924"/>
      <c r="C82" s="225"/>
      <c r="D82" s="225"/>
      <c r="E82" s="794">
        <v>15</v>
      </c>
      <c r="F82" s="919" cm="1" t="str">
        <f t="array" ref="F82:F82">OFFSET(G82,-1,-1)</f>
        <v>2</v>
      </c>
      <c r="G82" s="227"/>
      <c r="H82" s="227"/>
      <c r="I82" s="227"/>
      <c r="J82" s="227"/>
      <c r="K82" s="227"/>
      <c r="L82" s="227"/>
      <c r="M82" s="227"/>
      <c r="N82" s="227"/>
      <c r="O82" s="227"/>
      <c r="P82" s="227"/>
      <c r="Q82" s="190"/>
      <c r="R82" s="190"/>
      <c r="S82" s="227"/>
      <c r="T82" s="805" cm="1" t="str">
        <f t="array" ref="T82:T82">T81</f>
        <v>true</v>
      </c>
      <c r="U82" s="1461"/>
      <c r="V82" s="1461"/>
      <c r="W82" s="1461"/>
      <c r="X82" s="1461"/>
      <c r="Y82" s="1461"/>
      <c r="Z82" s="1461"/>
      <c r="AA82" s="227"/>
      <c r="AB82" s="157"/>
      <c r="AC82" s="164" t="s">
        <v>1375</v>
      </c>
      <c r="AD82" s="157" t="s">
        <v>805</v>
      </c>
      <c r="AE82" s="612">
        <f>AE69+AE70+AE71+AE72+AE76+AE78+AE79+AE80+AE81</f>
        <v>0</v>
      </c>
      <c r="AF82" s="612">
        <f>AF69+AF70+AF71+AF72+AF76+AF78+AF79+AF80+AF81</f>
        <v>0</v>
      </c>
      <c r="AG82" s="1903">
        <f>AG69+AG70+AG71+AG72+AG76+AG78+AG79+AG80+AG81</f>
        <v>0</v>
      </c>
      <c r="AH82" s="307">
        <f>AG82-AF82</f>
        <v>0</v>
      </c>
      <c r="AI82" s="612">
        <f>AI69+AI70+AI71+AI72+AI76+AI78+AI79+AI80+AI81</f>
        <v>0</v>
      </c>
      <c r="AJ82" s="612">
        <f>AJ69+AJ70+AJ71+AJ72+AJ76+AJ78+AJ79+AJ80+AJ81</f>
        <v>1433</v>
      </c>
      <c r="AK82" s="612">
        <f>AK69+AK70+AK71+AK72+AK76+AK78+AK79+AK80+AK81</f>
        <v>885</v>
      </c>
      <c r="AL82" s="612">
        <f>AL69+AL70+AL71+AL72+AL76+AL78+AL79+AL80+AL81</f>
        <v>895</v>
      </c>
      <c r="AM82" s="612">
        <f>AM69+AM70+AM71+AM72+AM76+AM78+AM79+AM80+AM81</f>
        <v>863</v>
      </c>
      <c r="AN82" s="612">
        <f>AN69+AN70+AN71+AN72+AN76+AN78+AN79+AN80+AN81</f>
        <v>874</v>
      </c>
      <c r="AO82" s="612">
        <f>AO69+AO70+AO71+AO72+AO76+AO78+AO79+AO80+AO81</f>
        <v>0</v>
      </c>
      <c r="AP82" s="612">
        <f>AP69+AP70+AP71+AP72+AP76+AP78+AP79+AP80+AP81</f>
        <v>0</v>
      </c>
      <c r="AQ82" s="612">
        <f>AQ69+AQ70+AQ71+AQ72+AQ76+AQ78+AQ79+AQ80+AQ81</f>
        <v>0</v>
      </c>
      <c r="AR82" s="612">
        <f>AR69+AR70+AR71+AR72+AR76+AR78+AR79+AR80+AR81</f>
        <v>0</v>
      </c>
      <c r="AS82" s="612">
        <f>AS69+AS70+AS71+AS72+AS76+AS78+AS79+AS80+AS81</f>
        <v>0</v>
      </c>
      <c r="AT82" s="612">
        <f>AT69+AT70+AT71+AT72+AT76+AT78+AT79+AT80+AT81</f>
        <v>469</v>
      </c>
      <c r="AU82" s="612">
        <f>AU69+AU70+AU71+AU72+AU76+AU78+AU79+AU80+AU81</f>
        <v>473</v>
      </c>
      <c r="AV82" s="612">
        <f>AV69+AV70+AV71+AV72+AV76+AV78+AV79+AV80+AV81</f>
        <v>161</v>
      </c>
      <c r="AW82" s="612">
        <f>AW69+AW70+AW71+AW72+AW76+AW78+AW79+AW80+AW81</f>
        <v>168</v>
      </c>
      <c r="AX82" s="612">
        <f>AX69+AX70+AX71+AX72+AX76+AX78+AX79+AX80+AX81</f>
        <v>172</v>
      </c>
      <c r="AY82" s="612">
        <f>AY69+AY70+AY71+AY72+AY76+AY78+AY79+AY80+AY81</f>
        <v>0</v>
      </c>
      <c r="AZ82" s="612">
        <f>AZ69+AZ70+AZ71+AZ72+AZ76+AZ78+AZ79+AZ80+AZ81</f>
        <v>0</v>
      </c>
      <c r="BA82" s="612">
        <f>BA69+BA70+BA71+BA72+BA76+BA78+BA79+BA80+BA81</f>
        <v>0</v>
      </c>
      <c r="BB82" s="612">
        <f>BB69+BB70+BB71+BB72+BB76+BB78+BB79+BB80+BB81</f>
        <v>0</v>
      </c>
      <c r="BC82" s="612">
        <f>BC69+BC70+BC71+BC72+BC76+BC78+BC79+BC80+BC81</f>
        <v>0</v>
      </c>
      <c r="BD82" s="307">
        <f>IF(AI82=0,0,(AT82-AI82)/AI82*100)</f>
        <v>0</v>
      </c>
      <c r="BE82" s="307">
        <f>IF(AT82=0,0,(AU82-AT82)/AT82*100)</f>
        <v>0.852878464818763</v>
      </c>
      <c r="BF82" s="307">
        <f>IF(AU82=0,0,(AV82-AU82)/AU82*100)</f>
        <v>-65.9619450317125</v>
      </c>
      <c r="BG82" s="307">
        <f>IF(AV82=0,0,(AW82-AV82)/AV82*100)</f>
        <v>4.34782608695652</v>
      </c>
      <c r="BH82" s="307">
        <f>IF(AW82=0,0,(AX82-AW82)/AW82*100)</f>
        <v>2.38095238095238</v>
      </c>
      <c r="BI82" s="307">
        <f>IF(AX82=0,0,(AY82-AX82)/AX82*100)</f>
        <v>-100</v>
      </c>
      <c r="BJ82" s="307">
        <f>IF(AY82=0,0,(AZ82-AY82)/AY82*100)</f>
        <v>0</v>
      </c>
      <c r="BK82" s="307">
        <f>IF(AZ82=0,0,(BA82-AZ82)/AZ82*100)</f>
        <v>0</v>
      </c>
      <c r="BL82" s="307">
        <f>IF(BA82=0,0,(BB82-BA82)/BA82*100)</f>
        <v>0</v>
      </c>
      <c r="BM82" s="307">
        <f>IF(BB82=0,0,(BC82-BB82)/BB82*100)</f>
        <v>0</v>
      </c>
      <c r="BN82" s="1730"/>
      <c r="BO82" s="1730"/>
      <c r="BP82" s="1730"/>
      <c r="BQ82" s="227"/>
      <c r="BR82" s="227"/>
      <c r="BS82" s="1181" t="s">
        <v>592</v>
      </c>
    </row>
    <row s="1619" customFormat="1" customHeight="1" ht="14.25">
      <c r="A83" s="225"/>
      <c r="B83" s="924"/>
      <c r="C83" s="225"/>
      <c r="D83" s="225"/>
      <c r="E83" s="794">
        <v>15</v>
      </c>
      <c r="F83" s="919" cm="1" t="str">
        <f t="array" ref="F83:F83">OFFSET(G83,-1,-1)</f>
        <v>2</v>
      </c>
      <c r="G83" s="190" t="s">
        <v>1261</v>
      </c>
      <c r="H83" s="227"/>
      <c r="I83" s="227"/>
      <c r="J83" s="227"/>
      <c r="K83" s="227"/>
      <c r="L83" s="227"/>
      <c r="M83" s="227"/>
      <c r="N83" s="227"/>
      <c r="O83" s="227"/>
      <c r="P83" s="227"/>
      <c r="Q83" s="190"/>
      <c r="R83" s="190"/>
      <c r="S83" s="227"/>
      <c r="T83" s="805" cm="1" t="str">
        <f t="array" ref="T83:T83">T82</f>
        <v>true</v>
      </c>
      <c r="U83" s="1461"/>
      <c r="V83" s="1461"/>
      <c r="W83" s="1461"/>
      <c r="X83" s="1461"/>
      <c r="Y83" s="1461"/>
      <c r="Z83" s="1461"/>
      <c r="AA83" s="227"/>
      <c r="AB83" s="157" t="s">
        <v>343</v>
      </c>
      <c r="AC83" s="164" t="s">
        <v>1376</v>
      </c>
      <c r="AD83" s="157" t="s">
        <v>805</v>
      </c>
      <c r="AE83" s="612">
        <f>_xlfn.SUMIFS(Налоги!AE$26:AE$69,Налоги!$F$26:$F$69,$F83,Налоги!$G$26:$G$69,$G83)</f>
        <v>0</v>
      </c>
      <c r="AF83" s="612">
        <f>_xlfn.SUMIFS(Налоги!AF$26:AF$69,Налоги!$F$26:$F$69,$F83,Налоги!$G$26:$G$69,$G83)</f>
        <v>0</v>
      </c>
      <c r="AG83" s="1903">
        <f>_xlfn.SUMIFS(Налоги!AG$26:AG$69,Налоги!$F$26:$F$69,$F83,Налоги!$G$26:$G$69,$G83)</f>
        <v>0</v>
      </c>
      <c r="AH83" s="307">
        <f>AG83-AF83</f>
        <v>0</v>
      </c>
      <c r="AI83" s="612">
        <f>_xlfn.SUMIFS(Налоги!AH$26:AH$69,Налоги!$F$26:$F$69,$F83,Налоги!$G$26:$G$69,$G83)</f>
        <v>0</v>
      </c>
      <c r="AJ83" s="612">
        <f>_xlfn.SUMIFS(Налоги!AI$26:AI$69,Налоги!$F$26:$F$69,$F83,Налоги!$G$26:$G$69,$G83)</f>
        <v>0</v>
      </c>
      <c r="AK83" s="612">
        <f>_xlfn.SUMIFS(Налоги!AJ$26:AJ$69,Налоги!$F$26:$F$69,$F83,Налоги!$G$26:$G$69,$G83)</f>
        <v>0</v>
      </c>
      <c r="AL83" s="612">
        <f>_xlfn.SUMIFS(Налоги!AK$26:AK$69,Налоги!$F$26:$F$69,$F83,Налоги!$G$26:$G$69,$G83)</f>
        <v>0</v>
      </c>
      <c r="AM83" s="612">
        <f>_xlfn.SUMIFS(Налоги!AL$26:AL$69,Налоги!$F$26:$F$69,$F83,Налоги!$G$26:$G$69,$G83)</f>
        <v>0</v>
      </c>
      <c r="AN83" s="612">
        <f>_xlfn.SUMIFS(Налоги!AM$26:AM$69,Налоги!$F$26:$F$69,$F83,Налоги!$G$26:$G$69,$G83)</f>
        <v>0</v>
      </c>
      <c r="AO83" s="612">
        <f>_xlfn.SUMIFS(Налоги!AN$26:AN$69,Налоги!$F$26:$F$69,$F83,Налоги!$G$26:$G$69,$G83)</f>
        <v>0</v>
      </c>
      <c r="AP83" s="612">
        <f>_xlfn.SUMIFS(Налоги!AO$26:AO$69,Налоги!$F$26:$F$69,$F83,Налоги!$G$26:$G$69,$G83)</f>
        <v>0</v>
      </c>
      <c r="AQ83" s="612">
        <f>_xlfn.SUMIFS(Налоги!AP$26:AP$69,Налоги!$F$26:$F$69,$F83,Налоги!$G$26:$G$69,$G83)</f>
        <v>0</v>
      </c>
      <c r="AR83" s="612">
        <f>_xlfn.SUMIFS(Налоги!AQ$26:AQ$69,Налоги!$F$26:$F$69,$F83,Налоги!$G$26:$G$69,$G83)</f>
        <v>0</v>
      </c>
      <c r="AS83" s="612">
        <f>_xlfn.SUMIFS(Налоги!AR$26:AR$69,Налоги!$F$26:$F$69,$F83,Налоги!$G$26:$G$69,$G83)</f>
        <v>0</v>
      </c>
      <c r="AT83" s="612">
        <f>_xlfn.SUMIFS(Налоги!AS$26:AS$69,Налоги!$F$26:$F$69,$F83,Налоги!$G$26:$G$69,$G83)</f>
        <v>0</v>
      </c>
      <c r="AU83" s="612">
        <f>_xlfn.SUMIFS(Налоги!AT$26:AT$69,Налоги!$F$26:$F$69,$F83,Налоги!$G$26:$G$69,$G83)</f>
        <v>0</v>
      </c>
      <c r="AV83" s="612">
        <f>_xlfn.SUMIFS(Налоги!AU$26:AU$69,Налоги!$F$26:$F$69,$F83,Налоги!$G$26:$G$69,$G83)</f>
        <v>0</v>
      </c>
      <c r="AW83" s="612">
        <f>_xlfn.SUMIFS(Налоги!AV$26:AV$69,Налоги!$F$26:$F$69,$F83,Налоги!$G$26:$G$69,$G83)</f>
        <v>0</v>
      </c>
      <c r="AX83" s="612">
        <f>_xlfn.SUMIFS(Налоги!AW$26:AW$69,Налоги!$F$26:$F$69,$F83,Налоги!$G$26:$G$69,$G83)</f>
        <v>0</v>
      </c>
      <c r="AY83" s="612">
        <f>_xlfn.SUMIFS(Налоги!AX$26:AX$69,Налоги!$F$26:$F$69,$F83,Налоги!$G$26:$G$69,$G83)</f>
        <v>0</v>
      </c>
      <c r="AZ83" s="612">
        <f>_xlfn.SUMIFS(Налоги!AY$26:AY$69,Налоги!$F$26:$F$69,$F83,Налоги!$G$26:$G$69,$G83)</f>
        <v>0</v>
      </c>
      <c r="BA83" s="612">
        <f>_xlfn.SUMIFS(Налоги!AZ$26:AZ$69,Налоги!$F$26:$F$69,$F83,Налоги!$G$26:$G$69,$G83)</f>
        <v>0</v>
      </c>
      <c r="BB83" s="612">
        <f>_xlfn.SUMIFS(Налоги!BA$26:BA$69,Налоги!$F$26:$F$69,$F83,Налоги!$G$26:$G$69,$G83)</f>
        <v>0</v>
      </c>
      <c r="BC83" s="612">
        <f>_xlfn.SUMIFS(Налоги!BB$26:BB$69,Налоги!$F$26:$F$69,$F83,Налоги!$G$26:$G$69,$G83)</f>
        <v>0</v>
      </c>
      <c r="BD83" s="307">
        <f>IF(AI83=0,0,(AT83-AI83)/AI83*100)</f>
        <v>0</v>
      </c>
      <c r="BE83" s="307">
        <f>IF(AT83=0,0,(AU83-AT83)/AT83*100)</f>
        <v>0</v>
      </c>
      <c r="BF83" s="307">
        <f>IF(AU83=0,0,(AV83-AU83)/AU83*100)</f>
        <v>0</v>
      </c>
      <c r="BG83" s="307">
        <f>IF(AV83=0,0,(AW83-AV83)/AV83*100)</f>
        <v>0</v>
      </c>
      <c r="BH83" s="307">
        <f>IF(AW83=0,0,(AX83-AW83)/AW83*100)</f>
        <v>0</v>
      </c>
      <c r="BI83" s="307">
        <f>IF(AX83=0,0,(AY83-AX83)/AX83*100)</f>
        <v>0</v>
      </c>
      <c r="BJ83" s="307">
        <f>IF(AY83=0,0,(AZ83-AY83)/AY83*100)</f>
        <v>0</v>
      </c>
      <c r="BK83" s="307">
        <f>IF(AZ83=0,0,(BA83-AZ83)/AZ83*100)</f>
        <v>0</v>
      </c>
      <c r="BL83" s="307">
        <f>IF(BA83=0,0,(BB83-BA83)/BA83*100)</f>
        <v>0</v>
      </c>
      <c r="BM83" s="307">
        <f>IF(BB83=0,0,(BC83-BB83)/BB83*100)</f>
        <v>0</v>
      </c>
      <c r="BN83" s="1730"/>
      <c r="BO83" s="1730"/>
      <c r="BP83" s="1730"/>
      <c r="BQ83" s="227"/>
      <c r="BR83" s="227"/>
      <c r="BS83" s="1181" t="s">
        <v>571</v>
      </c>
    </row>
    <row s="1619" customFormat="1" customHeight="1" ht="27">
      <c r="A84" s="225"/>
      <c r="B84" s="924"/>
      <c r="C84" s="225"/>
      <c r="D84" s="225"/>
      <c r="E84" s="794">
        <v>27.8</v>
      </c>
      <c r="F84" s="919" cm="1" t="str">
        <f t="array" ref="F84:F84">OFFSET(G84,-1,-1)</f>
        <v>2</v>
      </c>
      <c r="G84" s="190" t="s">
        <v>1284</v>
      </c>
      <c r="H84" s="227"/>
      <c r="I84" s="227"/>
      <c r="J84" s="227"/>
      <c r="K84" s="227"/>
      <c r="L84" s="227"/>
      <c r="M84" s="227"/>
      <c r="N84" s="227"/>
      <c r="O84" s="227"/>
      <c r="P84" s="227"/>
      <c r="Q84" s="190"/>
      <c r="R84" s="190"/>
      <c r="S84" s="227"/>
      <c r="T84" s="805" cm="1" t="str">
        <f t="array" ref="T84:T84">T83</f>
        <v>true</v>
      </c>
      <c r="U84" s="1461"/>
      <c r="V84" s="1461"/>
      <c r="W84" s="1461"/>
      <c r="X84" s="1461"/>
      <c r="Y84" s="1461"/>
      <c r="Z84" s="1461"/>
      <c r="AA84" s="227"/>
      <c r="AB84" s="157" t="s">
        <v>614</v>
      </c>
      <c r="AC84" s="164" t="s">
        <v>1377</v>
      </c>
      <c r="AD84" s="157" t="s">
        <v>805</v>
      </c>
      <c r="AE84" s="1903"/>
      <c r="AF84" s="1903"/>
      <c r="AG84" s="1903"/>
      <c r="AH84" s="307">
        <f>AG84-AF84</f>
        <v>0</v>
      </c>
      <c r="AI84" s="1903"/>
      <c r="AJ84" s="612">
        <f>_xlfn.SUMIFS(Экономия_корр!AE$26:AE$51,Экономия_корр!$F$26:$F$51,$F84,Экономия_корр!$G$26:$G$51,$G84)</f>
        <v>0</v>
      </c>
      <c r="AK84" s="612">
        <f>_xlfn.SUMIFS(Экономия_корр!AF$26:AF$51,Экономия_корр!$F$26:$F$51,$F84,Экономия_корр!$G$26:$G$51,$G84)</f>
        <v>0</v>
      </c>
      <c r="AL84" s="612">
        <f>_xlfn.SUMIFS(Экономия_корр!AG$26:AG$51,Экономия_корр!$F$26:$F$51,$F84,Экономия_корр!$G$26:$G$51,$G84)</f>
        <v>0</v>
      </c>
      <c r="AM84" s="612">
        <f>_xlfn.SUMIFS(Экономия_корр!AH$26:AH$51,Экономия_корр!$F$26:$F$51,$F84,Экономия_корр!$G$26:$G$51,$G84)</f>
        <v>0</v>
      </c>
      <c r="AN84" s="612">
        <f>_xlfn.SUMIFS(Экономия_корр!AI$26:AI$51,Экономия_корр!$F$26:$F$51,$F84,Экономия_корр!$G$26:$G$51,$G84)</f>
        <v>0</v>
      </c>
      <c r="AO84" s="612">
        <f>_xlfn.SUMIFS(Экономия_корр!AJ$26:AJ$51,Экономия_корр!$F$26:$F$51,$F84,Экономия_корр!$G$26:$G$51,$G84)</f>
        <v>0</v>
      </c>
      <c r="AP84" s="612">
        <f>_xlfn.SUMIFS(Экономия_корр!AK$26:AK$51,Экономия_корр!$F$26:$F$51,$F84,Экономия_корр!$G$26:$G$51,$G84)</f>
        <v>0</v>
      </c>
      <c r="AQ84" s="612">
        <f>_xlfn.SUMIFS(Экономия_корр!AL$26:AL$51,Экономия_корр!$F$26:$F$51,$F84,Экономия_корр!$G$26:$G$51,$G84)</f>
        <v>0</v>
      </c>
      <c r="AR84" s="612">
        <f>_xlfn.SUMIFS(Экономия_корр!AM$26:AM$51,Экономия_корр!$F$26:$F$51,$F84,Экономия_корр!$G$26:$G$51,$G84)</f>
        <v>0</v>
      </c>
      <c r="AS84" s="612">
        <f>_xlfn.SUMIFS(Экономия_корр!AN$26:AN$51,Экономия_корр!$F$26:$F$51,$F84,Экономия_корр!$G$26:$G$51,$G84)</f>
        <v>0</v>
      </c>
      <c r="AT84" s="612">
        <f>_xlfn.SUMIFS(Экономия_корр!AO$26:AO$51,Экономия_корр!$F$26:$F$51,$F84,Экономия_корр!$G$26:$G$51,$G84)</f>
        <v>0</v>
      </c>
      <c r="AU84" s="612">
        <f>_xlfn.SUMIFS(Экономия_корр!AP$26:AP$51,Экономия_корр!$F$26:$F$51,$F84,Экономия_корр!$G$26:$G$51,$G84)</f>
        <v>0</v>
      </c>
      <c r="AV84" s="612">
        <f>_xlfn.SUMIFS(Экономия_корр!AQ$26:AQ$51,Экономия_корр!$F$26:$F$51,$F84,Экономия_корр!$G$26:$G$51,$G84)</f>
        <v>0</v>
      </c>
      <c r="AW84" s="612">
        <f>_xlfn.SUMIFS(Экономия_корр!AR$26:AR$51,Экономия_корр!$F$26:$F$51,$F84,Экономия_корр!$G$26:$G$51,$G84)</f>
        <v>0</v>
      </c>
      <c r="AX84" s="612">
        <f>_xlfn.SUMIFS(Экономия_корр!AS$26:AS$51,Экономия_корр!$F$26:$F$51,$F84,Экономия_корр!$G$26:$G$51,$G84)</f>
        <v>0</v>
      </c>
      <c r="AY84" s="612">
        <f>_xlfn.SUMIFS(Экономия_корр!AT$26:AT$51,Экономия_корр!$F$26:$F$51,$F84,Экономия_корр!$G$26:$G$51,$G84)</f>
        <v>0</v>
      </c>
      <c r="AZ84" s="612">
        <f>_xlfn.SUMIFS(Экономия_корр!AU$26:AU$51,Экономия_корр!$F$26:$F$51,$F84,Экономия_корр!$G$26:$G$51,$G84)</f>
        <v>0</v>
      </c>
      <c r="BA84" s="612">
        <f>_xlfn.SUMIFS(Экономия_корр!AV$26:AV$51,Экономия_корр!$F$26:$F$51,$F84,Экономия_корр!$G$26:$G$51,$G84)</f>
        <v>0</v>
      </c>
      <c r="BB84" s="612">
        <f>_xlfn.SUMIFS(Экономия_корр!AW$26:AW$51,Экономия_корр!$F$26:$F$51,$F84,Экономия_корр!$G$26:$G$51,$G84)</f>
        <v>0</v>
      </c>
      <c r="BC84" s="612">
        <f>_xlfn.SUMIFS(Экономия_корр!AX$26:AX$51,Экономия_корр!$F$26:$F$51,$F84,Экономия_корр!$G$26:$G$51,$G84)</f>
        <v>0</v>
      </c>
      <c r="BD84" s="307">
        <f>IF(AI84=0,0,(AT84-AI84)/AI84*100)</f>
        <v>0</v>
      </c>
      <c r="BE84" s="307">
        <f>IF(AT84=0,0,(AU84-AT84)/AT84*100)</f>
        <v>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30"/>
      <c r="BO84" s="1730"/>
      <c r="BP84" s="1730"/>
      <c r="BQ84" s="227"/>
      <c r="BR84" s="227"/>
      <c r="BS84" s="1181" t="s">
        <v>1378</v>
      </c>
    </row>
    <row s="1619" customFormat="1" customHeight="1" ht="27">
      <c r="A85" s="225"/>
      <c r="B85" s="924"/>
      <c r="C85" s="225"/>
      <c r="D85" s="225"/>
      <c r="E85" s="794">
        <v>27.8</v>
      </c>
      <c r="F85" s="919" cm="1" t="str">
        <f t="array" ref="F85:F85">OFFSET(G85,-1,-1)</f>
        <v>2</v>
      </c>
      <c r="G85" s="227"/>
      <c r="H85" s="227"/>
      <c r="I85" s="227"/>
      <c r="J85" s="227"/>
      <c r="K85" s="227"/>
      <c r="L85" s="227"/>
      <c r="M85" s="227"/>
      <c r="N85" s="227"/>
      <c r="O85" s="227"/>
      <c r="P85" s="227"/>
      <c r="Q85" s="190"/>
      <c r="R85" s="190"/>
      <c r="S85" s="227"/>
      <c r="T85" s="805" cm="1" t="str">
        <f t="array" ref="T85:T85">T84</f>
        <v>true</v>
      </c>
      <c r="U85" s="1461"/>
      <c r="V85" s="1461"/>
      <c r="W85" s="1461"/>
      <c r="X85" s="1461"/>
      <c r="Y85" s="1461"/>
      <c r="Z85" s="1461"/>
      <c r="AA85" s="227"/>
      <c r="AB85" s="157" t="s">
        <v>624</v>
      </c>
      <c r="AC85" s="164" t="s">
        <v>1379</v>
      </c>
      <c r="AD85" s="157" t="s">
        <v>805</v>
      </c>
      <c r="AE85" s="1903"/>
      <c r="AF85" s="1903"/>
      <c r="AG85" s="1903"/>
      <c r="AH85" s="307">
        <f>AG85-AF85</f>
        <v>0</v>
      </c>
      <c r="AI85" s="1903"/>
      <c r="AJ85" s="614"/>
      <c r="AK85" s="614"/>
      <c r="AL85" s="614"/>
      <c r="AM85" s="614"/>
      <c r="AN85" s="614"/>
      <c r="AO85" s="1903"/>
      <c r="AP85" s="1903"/>
      <c r="AQ85" s="1903"/>
      <c r="AR85" s="1903"/>
      <c r="AS85" s="1903"/>
      <c r="AT85" s="614"/>
      <c r="AU85" s="614"/>
      <c r="AV85" s="614"/>
      <c r="AW85" s="614"/>
      <c r="AX85" s="614"/>
      <c r="AY85" s="1903"/>
      <c r="AZ85" s="1903"/>
      <c r="BA85" s="1903"/>
      <c r="BB85" s="1903"/>
      <c r="BC85" s="1903"/>
      <c r="BD85" s="307">
        <f>IF(AI85=0,0,(AT85-AI85)/AI85*100)</f>
        <v>0</v>
      </c>
      <c r="BE85" s="307">
        <f>IF(AT85=0,0,(AU85-AT85)/AT85*100)</f>
        <v>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30"/>
      <c r="BO85" s="1730"/>
      <c r="BP85" s="1730"/>
      <c r="BQ85" s="227"/>
      <c r="BR85" s="227"/>
      <c r="BS85" s="1181" t="s">
        <v>1380</v>
      </c>
    </row>
    <row s="1913" customFormat="1" customHeight="1" ht="14.25">
      <c r="A86" s="232"/>
      <c r="B86" s="232"/>
      <c r="C86" s="232"/>
      <c r="D86" s="232"/>
      <c r="E86" s="794">
        <v>15</v>
      </c>
      <c r="F86" s="919" cm="1" t="str">
        <f t="array" ref="F86:F86">OFFSET(G86,-1,-1)</f>
        <v>2</v>
      </c>
      <c r="G86" s="232"/>
      <c r="H86" s="232"/>
      <c r="I86" s="232"/>
      <c r="J86" s="232"/>
      <c r="K86" s="232"/>
      <c r="L86" s="232"/>
      <c r="M86" s="232"/>
      <c r="N86" s="232"/>
      <c r="O86" s="232"/>
      <c r="P86" s="232"/>
      <c r="Q86" s="232"/>
      <c r="R86" s="232"/>
      <c r="S86" s="232"/>
      <c r="T86" s="805" cm="1" t="str">
        <f t="array" ref="T86:T86">T84</f>
        <v>true</v>
      </c>
      <c r="U86" s="232"/>
      <c r="V86" s="232"/>
      <c r="W86" s="232"/>
      <c r="X86" s="232"/>
      <c r="Y86" s="232"/>
      <c r="Z86" s="232"/>
      <c r="AA86" s="232"/>
      <c r="AB86" s="158" t="s">
        <v>629</v>
      </c>
      <c r="AC86" s="159" t="s">
        <v>1351</v>
      </c>
      <c r="AD86" s="158" t="s">
        <v>805</v>
      </c>
      <c r="AE86" s="615">
        <f>AE82+AE83+AE84+AE85</f>
        <v>0</v>
      </c>
      <c r="AF86" s="615">
        <f>AF82+AF83+AF84+AF85</f>
        <v>0</v>
      </c>
      <c r="AG86" s="1908">
        <f>AG82+AG83+AG84+AG85</f>
        <v>0</v>
      </c>
      <c r="AH86" s="307">
        <f>AG86-AF86</f>
        <v>0</v>
      </c>
      <c r="AI86" s="615">
        <f>AI82+AI83+AI84+AI85</f>
        <v>0</v>
      </c>
      <c r="AJ86" s="615">
        <f>AJ82+AJ83+AJ84+AJ85</f>
        <v>1433</v>
      </c>
      <c r="AK86" s="615">
        <f>AK82+AK83+AK84+AK85</f>
        <v>885</v>
      </c>
      <c r="AL86" s="615">
        <f>AL82+AL83+AL84+AL85</f>
        <v>895</v>
      </c>
      <c r="AM86" s="615">
        <f>AM82+AM83+AM84+AM85</f>
        <v>863</v>
      </c>
      <c r="AN86" s="615">
        <f>AN82+AN83+AN84+AN85</f>
        <v>874</v>
      </c>
      <c r="AO86" s="615">
        <f>AO82+AO83+AO84+AO85</f>
        <v>0</v>
      </c>
      <c r="AP86" s="615">
        <f>AP82+AP83+AP84+AP85</f>
        <v>0</v>
      </c>
      <c r="AQ86" s="615">
        <f>AQ82+AQ83+AQ84+AQ85</f>
        <v>0</v>
      </c>
      <c r="AR86" s="615">
        <f>AR82+AR83+AR84+AR85</f>
        <v>0</v>
      </c>
      <c r="AS86" s="615">
        <f>AS82+AS83+AS84+AS85</f>
        <v>0</v>
      </c>
      <c r="AT86" s="615">
        <f>AT82+AT83+AT84+AT85</f>
        <v>469</v>
      </c>
      <c r="AU86" s="615">
        <f>AU82+AU83+AU84+AU85</f>
        <v>473</v>
      </c>
      <c r="AV86" s="615">
        <f>AV82+AV83+AV84+AV85</f>
        <v>161</v>
      </c>
      <c r="AW86" s="615">
        <f>AW82+AW83+AW84+AW85</f>
        <v>168</v>
      </c>
      <c r="AX86" s="615">
        <f>AX82+AX83+AX84+AX85</f>
        <v>172</v>
      </c>
      <c r="AY86" s="615">
        <f>AY82+AY83+AY84+AY85</f>
        <v>0</v>
      </c>
      <c r="AZ86" s="615">
        <f>AZ82+AZ83+AZ84+AZ85</f>
        <v>0</v>
      </c>
      <c r="BA86" s="615">
        <f>BA82+BA83+BA84+BA85</f>
        <v>0</v>
      </c>
      <c r="BB86" s="615">
        <f>BB82+BB83+BB84+BB85</f>
        <v>0</v>
      </c>
      <c r="BC86" s="615">
        <f>BC82+BC83+BC84+BC85</f>
        <v>0</v>
      </c>
      <c r="BD86" s="306">
        <f>IF(AI86=0,0,(AT86-AI86)/AI86*100)</f>
        <v>0</v>
      </c>
      <c r="BE86" s="306">
        <f>IF(AT86=0,0,(AU86-AT86)/AT86*100)</f>
        <v>0.852878464818763</v>
      </c>
      <c r="BF86" s="306">
        <f>IF(AU86=0,0,(AV86-AU86)/AU86*100)</f>
        <v>-65.9619450317125</v>
      </c>
      <c r="BG86" s="306">
        <f>IF(AV86=0,0,(AW86-AV86)/AV86*100)</f>
        <v>4.34782608695652</v>
      </c>
      <c r="BH86" s="306">
        <f>IF(AW86=0,0,(AX86-AW86)/AW86*100)</f>
        <v>2.38095238095238</v>
      </c>
      <c r="BI86" s="306">
        <f>IF(AX86=0,0,(AY86-AX86)/AX86*100)</f>
        <v>-100</v>
      </c>
      <c r="BJ86" s="306">
        <f>IF(AY86=0,0,(AZ86-AY86)/AY86*100)</f>
        <v>0</v>
      </c>
      <c r="BK86" s="306">
        <f>IF(AZ86=0,0,(BA86-AZ86)/AZ86*100)</f>
        <v>0</v>
      </c>
      <c r="BL86" s="306">
        <f>IF(BA86=0,0,(BB86-BA86)/BA86*100)</f>
        <v>0</v>
      </c>
      <c r="BM86" s="306">
        <f>IF(BB86=0,0,(BC86-BB86)/BB86*100)</f>
        <v>0</v>
      </c>
      <c r="BN86" s="1730"/>
      <c r="BO86" s="1730"/>
      <c r="BP86" s="1730"/>
      <c r="BQ86" s="232"/>
      <c r="BR86" s="232"/>
      <c r="BS86" s="1181" t="s">
        <v>1381</v>
      </c>
    </row>
    <row customHeight="1" ht="9.945">
      <c r="E87" s="794">
        <v>10.2</v>
      </c>
      <c r="U87" s="176" t="s">
        <v>235</v>
      </c>
      <c r="V87" s="168" t="s">
        <v>1382</v>
      </c>
      <c r="AJ87" s="227"/>
      <c r="AK87" s="227"/>
      <c r="AL87" s="227"/>
      <c r="AM87" s="227"/>
      <c r="AN87" s="227"/>
      <c r="AO87" s="227"/>
      <c r="AP87" s="227"/>
      <c r="AQ87" s="227"/>
      <c r="AR87" s="227"/>
      <c r="AS87" s="227"/>
      <c r="AT87" s="227"/>
      <c r="AU87" s="227"/>
      <c r="AV87" s="227"/>
      <c r="AW87" s="227"/>
      <c r="AX87" s="227"/>
      <c r="AY87" s="227"/>
      <c r="AZ87" s="227"/>
      <c r="BA87" s="227"/>
      <c r="BB87" s="227"/>
      <c r="BC87" s="227"/>
      <c r="BD87" s="227"/>
      <c r="BE87" s="227"/>
      <c r="BF87" s="227"/>
      <c r="BG87" s="227"/>
      <c r="BH87" s="227"/>
      <c r="BI87" s="227"/>
      <c r="BJ87" s="227"/>
      <c r="BK87" s="227"/>
      <c r="BL87" s="227"/>
      <c r="BM87" s="227"/>
    </row>
    <row customHeight="1" ht="11.25" hidden="1">
      <c r="E88" s="794">
        <v>0</v>
      </c>
      <c r="AJ88" s="227"/>
      <c r="AK88" s="227"/>
      <c r="AL88" s="227"/>
      <c r="AM88" s="227"/>
      <c r="AN88" s="227"/>
      <c r="AO88" s="227"/>
      <c r="AP88" s="227"/>
      <c r="AQ88" s="227"/>
      <c r="AR88" s="227"/>
      <c r="AS88" s="227"/>
      <c r="AT88" s="227"/>
      <c r="AU88" s="227"/>
      <c r="AV88" s="227"/>
      <c r="AW88" s="227"/>
      <c r="AX88" s="227"/>
      <c r="AY88" s="227"/>
      <c r="AZ88" s="227"/>
      <c r="BA88" s="227"/>
      <c r="BB88" s="227"/>
      <c r="BC88" s="227"/>
      <c r="BD88" s="227"/>
      <c r="BE88" s="227"/>
      <c r="BF88" s="227"/>
      <c r="BG88" s="227"/>
      <c r="BH88" s="227"/>
      <c r="BI88" s="227"/>
      <c r="BJ88" s="227"/>
      <c r="BK88" s="227"/>
      <c r="BL88" s="227"/>
      <c r="BM88" s="227"/>
    </row>
    <row customHeight="1" ht="14.625">
      <c r="E89" s="794">
        <v>15</v>
      </c>
      <c r="AB89" s="1527" t="s">
        <v>700</v>
      </c>
      <c r="AC89" s="1527"/>
      <c r="AD89" s="1527"/>
      <c r="AE89" s="1527"/>
      <c r="AF89" s="1527"/>
      <c r="AG89" s="1527"/>
      <c r="AH89" s="1527"/>
      <c r="AI89" s="1527"/>
      <c r="AJ89" s="1527"/>
      <c r="AK89" s="1527"/>
      <c r="AL89" s="1527"/>
      <c r="AM89" s="1527"/>
      <c r="AN89" s="1527"/>
      <c r="AO89" s="1527"/>
      <c r="AP89" s="1527"/>
      <c r="AQ89" s="1527"/>
      <c r="AR89" s="1527"/>
      <c r="AS89" s="1527"/>
      <c r="AT89" s="1527"/>
      <c r="AU89" s="1527"/>
      <c r="AV89" s="1527"/>
      <c r="AW89" s="1527"/>
      <c r="AX89" s="1527"/>
      <c r="AY89" s="1527"/>
      <c r="AZ89" s="1527"/>
      <c r="BA89" s="1527"/>
      <c r="BB89" s="1527"/>
      <c r="BC89" s="1527"/>
      <c r="BD89" s="1527"/>
      <c r="BE89" s="1527"/>
      <c r="BF89" s="1527"/>
      <c r="BG89" s="1527"/>
      <c r="BH89" s="1527"/>
      <c r="BI89" s="1527"/>
      <c r="BJ89" s="1527"/>
      <c r="BK89" s="1527"/>
      <c r="BL89" s="1527"/>
      <c r="BM89" s="1527"/>
      <c r="BN89" s="1527"/>
      <c r="BO89" s="1527"/>
      <c r="BP89" s="1527"/>
    </row>
    <row customHeight="1" ht="14.625">
      <c r="E90" s="794">
        <v>15</v>
      </c>
      <c r="AA90" s="918"/>
      <c r="AB90" s="1540"/>
      <c r="AC90" s="1541"/>
      <c r="AD90" s="1541"/>
      <c r="AE90" s="1541"/>
      <c r="AF90" s="1541"/>
      <c r="AG90" s="1541"/>
      <c r="AH90" s="1541"/>
      <c r="AI90" s="1541"/>
      <c r="AJ90" s="1541"/>
      <c r="AK90" s="1541"/>
      <c r="AL90" s="1541"/>
      <c r="AM90" s="1541"/>
      <c r="AN90" s="1541"/>
      <c r="AO90" s="1541"/>
      <c r="AP90" s="1541"/>
      <c r="AQ90" s="1541"/>
      <c r="AR90" s="1541"/>
      <c r="AS90" s="1541"/>
      <c r="AT90" s="1541"/>
      <c r="AU90" s="1541"/>
      <c r="AV90" s="1541"/>
      <c r="AW90" s="1541"/>
      <c r="AX90" s="1541"/>
      <c r="AY90" s="1541"/>
      <c r="AZ90" s="1541"/>
      <c r="BA90" s="1541"/>
      <c r="BB90" s="1541"/>
      <c r="BC90" s="1541"/>
      <c r="BD90" s="1541"/>
      <c r="BE90" s="1541"/>
      <c r="BF90" s="1541"/>
      <c r="BG90" s="1541"/>
      <c r="BH90" s="1541"/>
      <c r="BI90" s="1541"/>
      <c r="BJ90" s="1541"/>
      <c r="BK90" s="1541"/>
      <c r="BL90" s="1541"/>
      <c r="BM90" s="1541"/>
      <c r="BN90" s="1541"/>
      <c r="BO90" s="1541"/>
      <c r="BP90" s="1541"/>
    </row>
    <row customHeight="1" ht="14.625" hidden="1">
      <c r="A91" s="225"/>
      <c r="B91" s="924"/>
      <c r="C91" s="225"/>
      <c r="D91" s="225"/>
      <c r="E91" s="794">
        <v>15</v>
      </c>
      <c r="F91" s="225"/>
      <c r="G91" s="227"/>
      <c r="H91" s="227"/>
      <c r="I91" s="227"/>
      <c r="J91" s="227"/>
      <c r="K91" s="227"/>
      <c r="L91" s="227"/>
      <c r="M91" s="227"/>
      <c r="N91" s="227"/>
      <c r="O91" s="227"/>
      <c r="P91" s="227"/>
      <c r="Q91" s="190"/>
      <c r="R91" s="190"/>
      <c r="S91" s="227"/>
      <c r="T91" s="805">
        <f>ROW(W91)&gt;ROW(W$91)</f>
        <v>0</v>
      </c>
      <c r="U91" s="1461"/>
      <c r="V91" s="1461"/>
      <c r="W91" s="172" t="s">
        <v>233</v>
      </c>
      <c r="X91" s="1461"/>
      <c r="Y91" s="1461"/>
      <c r="Z91" s="1461"/>
      <c r="AA91" s="914" t="s">
        <v>217</v>
      </c>
      <c r="AB91" s="1865"/>
      <c r="AC91" s="1541"/>
      <c r="AD91" s="1541"/>
      <c r="AE91" s="1541"/>
      <c r="AF91" s="1541"/>
      <c r="AG91" s="1541"/>
      <c r="AH91" s="1541"/>
      <c r="AI91" s="1541"/>
      <c r="AJ91" s="1541"/>
      <c r="AK91" s="1541"/>
      <c r="AL91" s="1541"/>
      <c r="AM91" s="1541"/>
      <c r="AN91" s="1541"/>
      <c r="AO91" s="1541"/>
      <c r="AP91" s="1541"/>
      <c r="AQ91" s="1541"/>
      <c r="AR91" s="1541"/>
      <c r="AS91" s="1541"/>
      <c r="AT91" s="1541"/>
      <c r="AU91" s="1541"/>
      <c r="AV91" s="1541"/>
      <c r="AW91" s="1541"/>
      <c r="AX91" s="1541"/>
      <c r="AY91" s="1541"/>
      <c r="AZ91" s="1541"/>
      <c r="BA91" s="1541"/>
      <c r="BB91" s="1541"/>
      <c r="BC91" s="1541"/>
      <c r="BD91" s="1541"/>
      <c r="BE91" s="1541"/>
      <c r="BF91" s="1541"/>
      <c r="BG91" s="1541"/>
      <c r="BH91" s="1541"/>
      <c r="BI91" s="1541"/>
      <c r="BJ91" s="1541"/>
      <c r="BK91" s="1541"/>
      <c r="BL91" s="1541"/>
      <c r="BM91" s="1541"/>
      <c r="BN91" s="1541"/>
      <c r="BO91" s="1541"/>
      <c r="BP91" s="1541"/>
      <c r="BQ91" s="227"/>
      <c r="BR91" s="227"/>
      <c r="BS91" s="1232"/>
    </row>
    <row customHeight="1" ht="14.625">
      <c r="E92" s="794">
        <v>15</v>
      </c>
      <c r="W92" s="168" t="s">
        <v>234</v>
      </c>
      <c r="AA92" s="210"/>
      <c r="AB92" s="1475" t="s">
        <v>701</v>
      </c>
      <c r="AC92" s="1476"/>
      <c r="AD92" s="380"/>
      <c r="AE92" s="380"/>
      <c r="AF92" s="380"/>
      <c r="AG92" s="380"/>
      <c r="AH92" s="380"/>
      <c r="AI92" s="380"/>
      <c r="AJ92" s="380"/>
      <c r="AK92" s="380"/>
      <c r="AL92" s="380"/>
      <c r="AM92" s="380"/>
      <c r="AN92" s="380"/>
      <c r="AO92" s="380"/>
      <c r="AP92" s="380"/>
      <c r="AQ92" s="380"/>
      <c r="AR92" s="380"/>
      <c r="AS92" s="380"/>
      <c r="AT92" s="380"/>
      <c r="AU92" s="380"/>
      <c r="AV92" s="380"/>
      <c r="AW92" s="380"/>
      <c r="AX92" s="380"/>
      <c r="AY92" s="380"/>
      <c r="AZ92" s="380"/>
      <c r="BA92" s="380"/>
      <c r="BB92" s="380"/>
      <c r="BC92" s="380"/>
      <c r="BD92" s="380"/>
      <c r="BE92" s="380"/>
      <c r="BF92" s="380"/>
      <c r="BG92" s="380"/>
      <c r="BH92" s="380"/>
      <c r="BI92" s="380"/>
      <c r="BJ92" s="380"/>
      <c r="BK92" s="380"/>
      <c r="BL92" s="380"/>
      <c r="BM92" s="380"/>
      <c r="BN92" s="380"/>
      <c r="BO92" s="380"/>
      <c r="BP92" s="347"/>
    </row>
    <row customHeight="1" ht="11.25">
      <c r="AJ93" s="227"/>
      <c r="AK93" s="227"/>
      <c r="AL93" s="227"/>
      <c r="AM93" s="227"/>
      <c r="AN93" s="227"/>
      <c r="AO93" s="227"/>
      <c r="AP93" s="227"/>
      <c r="AQ93" s="227"/>
      <c r="AR93" s="227"/>
      <c r="AS93" s="227"/>
      <c r="AT93" s="227"/>
      <c r="AU93" s="227"/>
      <c r="AV93" s="227"/>
      <c r="AW93" s="227"/>
      <c r="AX93" s="227"/>
      <c r="AY93" s="227"/>
      <c r="AZ93" s="227"/>
      <c r="BA93" s="227"/>
      <c r="BB93" s="227"/>
      <c r="BC93" s="227"/>
      <c r="BD93" s="227"/>
      <c r="BE93" s="227"/>
      <c r="BF93" s="227"/>
      <c r="BG93" s="227"/>
      <c r="BH93" s="227"/>
      <c r="BI93" s="227"/>
      <c r="BJ93" s="227"/>
      <c r="BK93" s="227"/>
      <c r="BL93" s="227"/>
      <c r="BM93" s="227"/>
      <c r="BQ93" s="227"/>
    </row>
  </sheetData>
  <sheetProtection formatColumns="0" formatRows="0" insertRows="0" deleteColumns="0" deleteRows="0" sort="0" autoFilter="0" insertColumns="1"/>
  <mergeCells count="20">
    <mergeCell ref="Z27:Z46"/>
    <mergeCell ref="X27:X46"/>
    <mergeCell ref="AB91:BP91"/>
    <mergeCell ref="AB89:BP89"/>
    <mergeCell ref="AB90:BP90"/>
    <mergeCell ref="BO24:BO25"/>
    <mergeCell ref="BP24:BP25"/>
    <mergeCell ref="BD25:BM25"/>
    <mergeCell ref="AB28:AC28"/>
    <mergeCell ref="AB92:AC92"/>
    <mergeCell ref="AB24:AB25"/>
    <mergeCell ref="AC24:AC25"/>
    <mergeCell ref="AD24:AD25"/>
    <mergeCell ref="BN24:BN25"/>
    <mergeCell ref="Z47:Z66"/>
    <mergeCell ref="X47:X66"/>
    <mergeCell ref="AB48:AC48"/>
    <mergeCell ref="Z67:Z86"/>
    <mergeCell ref="X67:X86"/>
    <mergeCell ref="AB68:AC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A9228-9B68-3BE3-F3F5-AEC6239C2897}" mc:Ignorable="x14ac xr xr2 xr3">
  <sheetPr>
    <tabColor rgb="FF92D050"/>
    <outlinePr summaryRight="0" summaryBelow="0"/>
    <pageSetUpPr fitToPage="1"/>
  </sheetPr>
  <dimension ref="A1:BS63"/>
  <sheetViews>
    <sheetView showGridLines="0" workbookViewId="0">
      <pane xSplit="30" ySplit="25" topLeftCell="AF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376</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377</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430</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431</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432</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390</v>
      </c>
      <c r="AC24" s="1544" t="s">
        <v>433</v>
      </c>
      <c r="AD24" s="1544" t="s">
        <v>434</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1288</v>
      </c>
      <c r="BO24" s="1543" t="s">
        <v>587</v>
      </c>
      <c r="BP24" s="1543" t="s">
        <v>1289</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407</v>
      </c>
      <c r="AF25" s="1355" t="s">
        <v>588</v>
      </c>
      <c r="AG25" s="166" t="s">
        <v>589</v>
      </c>
      <c r="AH25" s="258" t="s">
        <v>1290</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1291</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J27" s="210" cm="1" t="str">
        <f t="array" ref="J27:J27">INDEX('Общие сведения'!$AK$169:$AK$218,MATCH($F27,'Общие сведения'!$Z$169:$Z$218,0))</f>
        <v>0</v>
      </c>
      <c r="K27" s="210" cm="1" t="str">
        <f t="array" ref="K27:K27">INDEX('Общие сведения'!$AH$169:$AH$218,MATCH($F27,'Общие сведения'!$Z$169:$Z$218,0))</f>
        <v>0</v>
      </c>
      <c r="L27" s="210" cm="1" t="str">
        <f t="array" ref="L27:L27">INDEX('Общие сведения'!$AI$169:$AI$218,MATCH($F27,'Общие сведения'!$Z$169:$Z$218,0))</f>
        <v>0</v>
      </c>
      <c r="M27" s="210" cm="1" t="str">
        <f t="array" ref="M27:M27">INDEX('Общие сведения'!$AJ$169:$AJ$218,MATCH($F27,'Общие сведения'!$Z$169:$Z$218,0))</f>
        <v>0</v>
      </c>
      <c r="T27" s="805">
        <f>X27&gt;0</f>
        <v>0</v>
      </c>
      <c r="V27" s="172" t="s">
        <v>309</v>
      </c>
      <c r="X27" s="172">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1383</v>
      </c>
      <c r="AC28" s="1546"/>
      <c r="AD28" s="302" t="s">
        <v>805</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3"/>
      <c r="BO28" s="73"/>
      <c r="BP28" s="73"/>
      <c r="BS28" s="1203" t="s">
        <v>1384</v>
      </c>
    </row>
    <row customHeight="1" ht="16.575" hidden="1">
      <c r="E29" s="794">
        <v>17</v>
      </c>
      <c r="F29" s="919" cm="1" t="str">
        <f t="array" ref="F29:F29">OFFSET(G29,-1,-1)</f>
        <v>0</v>
      </c>
      <c r="G29" s="190" t="s">
        <v>1385</v>
      </c>
      <c r="T29" s="805" cm="1" t="str">
        <f t="array" ref="T29:T29">T28</f>
        <v>false</v>
      </c>
      <c r="AB29" s="477" t="s">
        <v>335</v>
      </c>
      <c r="AC29" s="744" t="s">
        <v>1386</v>
      </c>
      <c r="AD29" s="485" t="s">
        <v>1019</v>
      </c>
      <c r="AE29" s="307">
        <f>_xlfn.SUMIFS('Топливо 4.4'!AH$27:AH$411,'Топливо 4.4'!$F$27:$F$411,$F29,'Топливо 4.4'!$G$27:$G$411,$G29)</f>
        <v>0</v>
      </c>
      <c r="AF29" s="307">
        <f>_xlfn.SUMIFS('Топливо 4.4'!AI$27:AI$411,'Топливо 4.4'!$F$27:$F$411,$F29,'Топливо 4.4'!$G$27:$G$411,$G29)</f>
        <v>0</v>
      </c>
      <c r="AG29" s="307">
        <f>_xlfn.SUMIFS('Топливо 4.4'!AJ$27:AJ$411,'Топливо 4.4'!$F$27:$F$411,$F29,'Топливо 4.4'!$G$27:$G$411,$G29)</f>
        <v>0</v>
      </c>
      <c r="AH29" s="307">
        <f>AG29-AF29</f>
        <v>0</v>
      </c>
      <c r="AI29" s="307">
        <f>_xlfn.SUMIFS('Топливо 4.4'!AK$27:AK$411,'Топливо 4.4'!$F$27:$F$411,$F29,'Топливо 4.4'!$G$27:$G$411,$G29)</f>
        <v>0</v>
      </c>
      <c r="AJ29" s="307">
        <f>_xlfn.SUMIFS('Топливо 4.4'!AL$27:AL$411,'Топливо 4.4'!$F$27:$F$411,$F29,'Топливо 4.4'!$G$27:$G$411,$G29)</f>
        <v>0</v>
      </c>
      <c r="AK29" s="307">
        <f>_xlfn.SUMIFS('Топливо 4.4'!AO$27:AO$411,'Топливо 4.4'!$F$27:$F$411,$F29,'Топливо 4.4'!$G$27:$G$411,$G29)</f>
        <v>0</v>
      </c>
      <c r="AL29" s="307">
        <f>_xlfn.SUMIFS('Топливо 4.4'!AR$27:AR$411,'Топливо 4.4'!$F$27:$F$411,$F29,'Топливо 4.4'!$G$27:$G$411,$G29)</f>
        <v>0</v>
      </c>
      <c r="AM29" s="307">
        <f>_xlfn.SUMIFS('Топливо 4.4'!AU$27:AU$411,'Топливо 4.4'!$F$27:$F$411,$F29,'Топливо 4.4'!$G$27:$G$411,$G29)</f>
        <v>0</v>
      </c>
      <c r="AN29" s="307">
        <f>_xlfn.SUMIFS('Топливо 4.4'!AX$27:AX$411,'Топливо 4.4'!$F$27:$F$411,$F29,'Топливо 4.4'!$G$27:$G$411,$G29)</f>
        <v>0</v>
      </c>
      <c r="AO29" s="307">
        <f>_xlfn.SUMIFS('Топливо 4.4'!BA$27:BA$411,'Топливо 4.4'!$F$27:$F$411,$F29,'Топливо 4.4'!$G$27:$G$411,$G29)</f>
        <v>0</v>
      </c>
      <c r="AP29" s="307">
        <f>_xlfn.SUMIFS('Топливо 4.4'!BD$27:BD$411,'Топливо 4.4'!$F$27:$F$411,$F29,'Топливо 4.4'!$G$27:$G$411,$G29)</f>
        <v>0</v>
      </c>
      <c r="AQ29" s="307">
        <f>_xlfn.SUMIFS('Топливо 4.4'!BG$27:BG$411,'Топливо 4.4'!$F$27:$F$411,$F29,'Топливо 4.4'!$G$27:$G$411,$G29)</f>
        <v>0</v>
      </c>
      <c r="AR29" s="307">
        <f>_xlfn.SUMIFS('Топливо 4.4'!BJ$27:BJ$411,'Топливо 4.4'!$F$27:$F$411,$F29,'Топливо 4.4'!$G$27:$G$411,$G29)</f>
        <v>0</v>
      </c>
      <c r="AS29" s="307">
        <f>_xlfn.SUMIFS('Топливо 4.4'!BM$27:BM$411,'Топливо 4.4'!$F$27:$F$411,$F29,'Топливо 4.4'!$G$27:$G$411,$G29)</f>
        <v>0</v>
      </c>
      <c r="AT29" s="307">
        <f>_xlfn.SUMIFS('Топливо 4.4'!BP$27:BP$411,'Топливо 4.4'!$F$27:$F$411,$F29,'Топливо 4.4'!$G$27:$G$411,$G29)</f>
        <v>0</v>
      </c>
      <c r="AU29" s="307">
        <f>_xlfn.SUMIFS('Топливо 4.4'!BS$27:BS$411,'Топливо 4.4'!$F$27:$F$411,$F29,'Топливо 4.4'!$G$27:$G$411,$G29)</f>
        <v>0</v>
      </c>
      <c r="AV29" s="307">
        <f>_xlfn.SUMIFS('Топливо 4.4'!BV$27:BV$411,'Топливо 4.4'!$F$27:$F$411,$F29,'Топливо 4.4'!$G$27:$G$411,$G29)</f>
        <v>0</v>
      </c>
      <c r="AW29" s="307">
        <f>_xlfn.SUMIFS('Топливо 4.4'!BY$27:BY$411,'Топливо 4.4'!$F$27:$F$411,$F29,'Топливо 4.4'!$G$27:$G$411,$G29)</f>
        <v>0</v>
      </c>
      <c r="AX29" s="307">
        <f>_xlfn.SUMIFS('Топливо 4.4'!CB$27:CB$411,'Топливо 4.4'!$F$27:$F$411,$F29,'Топливо 4.4'!$G$27:$G$411,$G29)</f>
        <v>0</v>
      </c>
      <c r="AY29" s="307">
        <f>_xlfn.SUMIFS('Топливо 4.4'!CE$27:CE$411,'Топливо 4.4'!$F$27:$F$411,$F29,'Топливо 4.4'!$G$27:$G$411,$G29)</f>
        <v>0</v>
      </c>
      <c r="AZ29" s="307">
        <f>_xlfn.SUMIFS('Топливо 4.4'!CH$27:CH$411,'Топливо 4.4'!$F$27:$F$411,$F29,'Топливо 4.4'!$G$27:$G$411,$G29)</f>
        <v>0</v>
      </c>
      <c r="BA29" s="307">
        <f>_xlfn.SUMIFS('Топливо 4.4'!CK$27:CK$411,'Топливо 4.4'!$F$27:$F$411,$F29,'Топливо 4.4'!$G$27:$G$411,$G29)</f>
        <v>0</v>
      </c>
      <c r="BB29" s="307">
        <f>_xlfn.SUMIFS('Топливо 4.4'!CN$27:CN$411,'Топливо 4.4'!$F$27:$F$411,$F29,'Топливо 4.4'!$G$27:$G$411,$G29)</f>
        <v>0</v>
      </c>
      <c r="BC29" s="307">
        <f>_xlfn.SUMIFS('Топливо 4.4'!CQ$27:CQ$411,'Топливо 4.4'!$F$27:$F$411,$F29,'Топливо 4.4'!$G$27:$G$411,$G29)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203" t="s">
        <v>1380</v>
      </c>
    </row>
    <row customHeight="1" ht="16.575" hidden="1">
      <c r="E30" s="794">
        <v>17</v>
      </c>
      <c r="F30" s="919" cm="1" t="str">
        <f t="array" ref="F30:F30">OFFSET(G30,-1,-1)</f>
        <v>0</v>
      </c>
      <c r="G30" s="190" t="s">
        <v>925</v>
      </c>
      <c r="T30" s="805" cm="1" t="str">
        <f t="array" ref="T30:T30">T29</f>
        <v>false</v>
      </c>
      <c r="AB30" s="511" t="s">
        <v>343</v>
      </c>
      <c r="AC30" s="742" t="s">
        <v>927</v>
      </c>
      <c r="AD30" s="496" t="s">
        <v>1019</v>
      </c>
      <c r="AE30" s="307">
        <f>_xlfn.SUMIFS(ЭнергоРесурсы!AE$26:AE$156,ЭнергоРесурсы!$F$26:$F$156,$F30,ЭнергоРесурсы!$G$26:$G$156,$G30)</f>
        <v>0</v>
      </c>
      <c r="AF30" s="307">
        <f>_xlfn.SUMIFS(ЭнергоРесурсы!AF$26:AF$156,ЭнергоРесурсы!$F$26:$F$156,$F30,ЭнергоРесурсы!$G$26:$G$156,$G30)</f>
        <v>0</v>
      </c>
      <c r="AG30" s="307">
        <f>_xlfn.SUMIFS(ЭнергоРесурсы!AG$26:AG$156,ЭнергоРесурсы!$F$26:$F$156,$F30,ЭнергоРесурсы!$G$26:$G$156,$G30)</f>
        <v>0</v>
      </c>
      <c r="AH30" s="307">
        <f>AG30-AF30</f>
        <v>0</v>
      </c>
      <c r="AI30" s="307">
        <f>_xlfn.SUMIFS(ЭнергоРесурсы!AH$26:AH$156,ЭнергоРесурсы!$F$26:$F$156,$F30,ЭнергоРесурсы!$G$26:$G$156,$G30)</f>
        <v>0</v>
      </c>
      <c r="AJ30" s="307">
        <f>_xlfn.SUMIFS(ЭнергоРесурсы!AI$26:AI$156,ЭнергоРесурсы!$F$26:$F$156,$F30,ЭнергоРесурсы!$G$26:$G$156,$G30)</f>
        <v>0</v>
      </c>
      <c r="AK30" s="307">
        <f>_xlfn.SUMIFS(ЭнергоРесурсы!AJ$26:AJ$156,ЭнергоРесурсы!$F$26:$F$156,$F30,ЭнергоРесурсы!$G$26:$G$156,$G30)</f>
        <v>0</v>
      </c>
      <c r="AL30" s="307">
        <f>_xlfn.SUMIFS(ЭнергоРесурсы!AK$26:AK$156,ЭнергоРесурсы!$F$26:$F$156,$F30,ЭнергоРесурсы!$G$26:$G$156,$G30)</f>
        <v>0</v>
      </c>
      <c r="AM30" s="307">
        <f>_xlfn.SUMIFS(ЭнергоРесурсы!AL$26:AL$156,ЭнергоРесурсы!$F$26:$F$156,$F30,ЭнергоРесурсы!$G$26:$G$156,$G30)</f>
        <v>0</v>
      </c>
      <c r="AN30" s="307">
        <f>_xlfn.SUMIFS(ЭнергоРесурсы!AM$26:AM$156,ЭнергоРесурсы!$F$26:$F$156,$F30,ЭнергоРесурсы!$G$26:$G$156,$G30)</f>
        <v>0</v>
      </c>
      <c r="AO30" s="307">
        <f>_xlfn.SUMIFS(ЭнергоРесурсы!AN$26:AN$156,ЭнергоРесурсы!$F$26:$F$156,$F30,ЭнергоРесурсы!$G$26:$G$156,$G30)</f>
        <v>0</v>
      </c>
      <c r="AP30" s="307">
        <f>_xlfn.SUMIFS(ЭнергоРесурсы!AO$26:AO$156,ЭнергоРесурсы!$F$26:$F$156,$F30,ЭнергоРесурсы!$G$26:$G$156,$G30)</f>
        <v>0</v>
      </c>
      <c r="AQ30" s="307">
        <f>_xlfn.SUMIFS(ЭнергоРесурсы!AP$26:AP$156,ЭнергоРесурсы!$F$26:$F$156,$F30,ЭнергоРесурсы!$G$26:$G$156,$G30)</f>
        <v>0</v>
      </c>
      <c r="AR30" s="307">
        <f>_xlfn.SUMIFS(ЭнергоРесурсы!AQ$26:AQ$156,ЭнергоРесурсы!$F$26:$F$156,$F30,ЭнергоРесурсы!$G$26:$G$156,$G30)</f>
        <v>0</v>
      </c>
      <c r="AS30" s="307">
        <f>_xlfn.SUMIFS(ЭнергоРесурсы!AR$26:AR$156,ЭнергоРесурсы!$F$26:$F$156,$F30,ЭнергоРесурсы!$G$26:$G$156,$G30)</f>
        <v>0</v>
      </c>
      <c r="AT30" s="307">
        <f>_xlfn.SUMIFS(ЭнергоРесурсы!AS$26:AS$156,ЭнергоРесурсы!$F$26:$F$156,$F30,ЭнергоРесурсы!$G$26:$G$156,$G30)</f>
        <v>0</v>
      </c>
      <c r="AU30" s="307">
        <f>_xlfn.SUMIFS(ЭнергоРесурсы!AT$26:AT$156,ЭнергоРесурсы!$F$26:$F$156,$F30,ЭнергоРесурсы!$G$26:$G$156,$G30)</f>
        <v>0</v>
      </c>
      <c r="AV30" s="307">
        <f>_xlfn.SUMIFS(ЭнергоРесурсы!AU$26:AU$156,ЭнергоРесурсы!$F$26:$F$156,$F30,ЭнергоРесурсы!$G$26:$G$156,$G30)</f>
        <v>0</v>
      </c>
      <c r="AW30" s="307">
        <f>_xlfn.SUMIFS(ЭнергоРесурсы!AV$26:AV$156,ЭнергоРесурсы!$F$26:$F$156,$F30,ЭнергоРесурсы!$G$26:$G$156,$G30)</f>
        <v>0</v>
      </c>
      <c r="AX30" s="307">
        <f>_xlfn.SUMIFS(ЭнергоРесурсы!AW$26:AW$156,ЭнергоРесурсы!$F$26:$F$156,$F30,ЭнергоРесурсы!$G$26:$G$156,$G30)</f>
        <v>0</v>
      </c>
      <c r="AY30" s="307">
        <f>_xlfn.SUMIFS(ЭнергоРесурсы!AX$26:AX$156,ЭнергоРесурсы!$F$26:$F$156,$F30,ЭнергоРесурсы!$G$26:$G$156,$G30)</f>
        <v>0</v>
      </c>
      <c r="AZ30" s="307">
        <f>_xlfn.SUMIFS(ЭнергоРесурсы!AY$26:AY$156,ЭнергоРесурсы!$F$26:$F$156,$F30,ЭнергоРесурсы!$G$26:$G$156,$G30)</f>
        <v>0</v>
      </c>
      <c r="BA30" s="307">
        <f>_xlfn.SUMIFS(ЭнергоРесурсы!AZ$26:AZ$156,ЭнергоРесурсы!$F$26:$F$156,$F30,ЭнергоРесурсы!$G$26:$G$156,$G30)</f>
        <v>0</v>
      </c>
      <c r="BB30" s="307">
        <f>_xlfn.SUMIFS(ЭнергоРесурсы!BA$26:BA$156,ЭнергоРесурсы!$F$26:$F$156,$F30,ЭнергоРесурсы!$G$26:$G$156,$G30)</f>
        <v>0</v>
      </c>
      <c r="BC30" s="307">
        <f>_xlfn.SUMIFS(ЭнергоРесурсы!BB$26:BB$156,ЭнергоРесурсы!$F$26:$F$156,$F30,ЭнергоРесурсы!$G$26:$G$156,$G30)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203" t="s">
        <v>1387</v>
      </c>
    </row>
    <row customHeight="1" ht="16.575" hidden="1">
      <c r="E31" s="794">
        <v>17</v>
      </c>
      <c r="F31" s="919" cm="1" t="str">
        <f t="array" ref="F31:F31">OFFSET(G31,-1,-1)</f>
        <v>0</v>
      </c>
      <c r="G31" s="190" t="s">
        <v>960</v>
      </c>
      <c r="T31" s="805" cm="1" t="str">
        <f t="array" ref="T31:T31">T30</f>
        <v>false</v>
      </c>
      <c r="AB31" s="285" t="s">
        <v>614</v>
      </c>
      <c r="AC31" s="743" t="s">
        <v>980</v>
      </c>
      <c r="AD31" s="496" t="s">
        <v>1019</v>
      </c>
      <c r="AE31" s="307">
        <f>_xlfn.SUMIFS(ЭнергоРесурсы!AE$26:AE$156,ЭнергоРесурсы!$F$26:$F$156,$F31,ЭнергоРесурсы!$G$26:$G$156,$G31)</f>
        <v>0</v>
      </c>
      <c r="AF31" s="307">
        <f>_xlfn.SUMIFS(ЭнергоРесурсы!AF$26:AF$156,ЭнергоРесурсы!$F$26:$F$156,$F31,ЭнергоРесурсы!$G$26:$G$156,$G31)</f>
        <v>0</v>
      </c>
      <c r="AG31" s="307">
        <f>_xlfn.SUMIFS(ЭнергоРесурсы!AG$26:AG$156,ЭнергоРесурсы!$F$26:$F$156,$F31,ЭнергоРесурсы!$G$26:$G$156,$G31)</f>
        <v>0</v>
      </c>
      <c r="AH31" s="307">
        <f>AG31-AF31</f>
        <v>0</v>
      </c>
      <c r="AI31" s="307">
        <f>_xlfn.SUMIFS(ЭнергоРесурсы!AH$26:AH$156,ЭнергоРесурсы!$F$26:$F$156,$F31,ЭнергоРесурсы!$G$26:$G$156,$G31)</f>
        <v>0</v>
      </c>
      <c r="AJ31" s="307">
        <f>_xlfn.SUMIFS(ЭнергоРесурсы!AI$26:AI$156,ЭнергоРесурсы!$F$26:$F$156,$F31,ЭнергоРесурсы!$G$26:$G$156,$G31)</f>
        <v>0</v>
      </c>
      <c r="AK31" s="307">
        <f>_xlfn.SUMIFS(ЭнергоРесурсы!AJ$26:AJ$156,ЭнергоРесурсы!$F$26:$F$156,$F31,ЭнергоРесурсы!$G$26:$G$156,$G31)</f>
        <v>0</v>
      </c>
      <c r="AL31" s="307">
        <f>_xlfn.SUMIFS(ЭнергоРесурсы!AK$26:AK$156,ЭнергоРесурсы!$F$26:$F$156,$F31,ЭнергоРесурсы!$G$26:$G$156,$G31)</f>
        <v>0</v>
      </c>
      <c r="AM31" s="307">
        <f>_xlfn.SUMIFS(ЭнергоРесурсы!AL$26:AL$156,ЭнергоРесурсы!$F$26:$F$156,$F31,ЭнергоРесурсы!$G$26:$G$156,$G31)</f>
        <v>0</v>
      </c>
      <c r="AN31" s="307">
        <f>_xlfn.SUMIFS(ЭнергоРесурсы!AM$26:AM$156,ЭнергоРесурсы!$F$26:$F$156,$F31,ЭнергоРесурсы!$G$26:$G$156,$G31)</f>
        <v>0</v>
      </c>
      <c r="AO31" s="307">
        <f>_xlfn.SUMIFS(ЭнергоРесурсы!AN$26:AN$156,ЭнергоРесурсы!$F$26:$F$156,$F31,ЭнергоРесурсы!$G$26:$G$156,$G31)</f>
        <v>0</v>
      </c>
      <c r="AP31" s="307">
        <f>_xlfn.SUMIFS(ЭнергоРесурсы!AO$26:AO$156,ЭнергоРесурсы!$F$26:$F$156,$F31,ЭнергоРесурсы!$G$26:$G$156,$G31)</f>
        <v>0</v>
      </c>
      <c r="AQ31" s="307">
        <f>_xlfn.SUMIFS(ЭнергоРесурсы!AP$26:AP$156,ЭнергоРесурсы!$F$26:$F$156,$F31,ЭнергоРесурсы!$G$26:$G$156,$G31)</f>
        <v>0</v>
      </c>
      <c r="AR31" s="307">
        <f>_xlfn.SUMIFS(ЭнергоРесурсы!AQ$26:AQ$156,ЭнергоРесурсы!$F$26:$F$156,$F31,ЭнергоРесурсы!$G$26:$G$156,$G31)</f>
        <v>0</v>
      </c>
      <c r="AS31" s="307">
        <f>_xlfn.SUMIFS(ЭнергоРесурсы!AR$26:AR$156,ЭнергоРесурсы!$F$26:$F$156,$F31,ЭнергоРесурсы!$G$26:$G$156,$G31)</f>
        <v>0</v>
      </c>
      <c r="AT31" s="307">
        <f>_xlfn.SUMIFS(ЭнергоРесурсы!AS$26:AS$156,ЭнергоРесурсы!$F$26:$F$156,$F31,ЭнергоРесурсы!$G$26:$G$156,$G31)</f>
        <v>0</v>
      </c>
      <c r="AU31" s="307">
        <f>_xlfn.SUMIFS(ЭнергоРесурсы!AT$26:AT$156,ЭнергоРесурсы!$F$26:$F$156,$F31,ЭнергоРесурсы!$G$26:$G$156,$G31)</f>
        <v>0</v>
      </c>
      <c r="AV31" s="307">
        <f>_xlfn.SUMIFS(ЭнергоРесурсы!AU$26:AU$156,ЭнергоРесурсы!$F$26:$F$156,$F31,ЭнергоРесурсы!$G$26:$G$156,$G31)</f>
        <v>0</v>
      </c>
      <c r="AW31" s="307">
        <f>_xlfn.SUMIFS(ЭнергоРесурсы!AV$26:AV$156,ЭнергоРесурсы!$F$26:$F$156,$F31,ЭнергоРесурсы!$G$26:$G$156,$G31)</f>
        <v>0</v>
      </c>
      <c r="AX31" s="307">
        <f>_xlfn.SUMIFS(ЭнергоРесурсы!AW$26:AW$156,ЭнергоРесурсы!$F$26:$F$156,$F31,ЭнергоРесурсы!$G$26:$G$156,$G31)</f>
        <v>0</v>
      </c>
      <c r="AY31" s="307">
        <f>_xlfn.SUMIFS(ЭнергоРесурсы!AX$26:AX$156,ЭнергоРесурсы!$F$26:$F$156,$F31,ЭнергоРесурсы!$G$26:$G$156,$G31)</f>
        <v>0</v>
      </c>
      <c r="AZ31" s="307">
        <f>_xlfn.SUMIFS(ЭнергоРесурсы!AY$26:AY$156,ЭнергоРесурсы!$F$26:$F$156,$F31,ЭнергоРесурсы!$G$26:$G$156,$G31)</f>
        <v>0</v>
      </c>
      <c r="BA31" s="307">
        <f>_xlfn.SUMIFS(ЭнергоРесурсы!AZ$26:AZ$156,ЭнергоРесурсы!$F$26:$F$156,$F31,ЭнергоРесурсы!$G$26:$G$156,$G31)</f>
        <v>0</v>
      </c>
      <c r="BB31" s="307">
        <f>_xlfn.SUMIFS(ЭнергоРесурсы!BA$26:BA$156,ЭнергоРесурсы!$F$26:$F$156,$F31,ЭнергоРесурсы!$G$26:$G$156,$G31)</f>
        <v>0</v>
      </c>
      <c r="BC31" s="307">
        <f>_xlfn.SUMIFS(ЭнергоРесурсы!BB$26:BB$156,ЭнергоРесурсы!$F$26:$F$156,$F31,ЭнергоРесурсы!$G$26:$G$156,$G31)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203" t="s">
        <v>1388</v>
      </c>
    </row>
    <row customHeight="1" ht="16.575" hidden="1">
      <c r="E32" s="794">
        <v>17</v>
      </c>
      <c r="F32" s="919" cm="1" t="str">
        <f t="array" ref="F32:F32">OFFSET(G32,-1,-1)</f>
        <v>0</v>
      </c>
      <c r="G32" s="190" t="s">
        <v>962</v>
      </c>
      <c r="R32" s="190" t="s">
        <v>963</v>
      </c>
      <c r="T32" s="805">
        <f>AND(T31,G27="двухставочный")</f>
        <v>0</v>
      </c>
      <c r="AB32" s="285" t="s">
        <v>710</v>
      </c>
      <c r="AC32" s="1080" t="s">
        <v>965</v>
      </c>
      <c r="AD32" s="1028" t="s">
        <v>805</v>
      </c>
      <c r="AE32" s="548">
        <f>_xlfn.SUMIFS(ЭнергоРесурсы!AE$26:AE$156,ЭнергоРесурсы!$F$26:$F$156,$F32,ЭнергоРесурсы!$G$26:$G$156,$G32)</f>
        <v>0</v>
      </c>
      <c r="AF32" s="548">
        <f>_xlfn.SUMIFS(ЭнергоРесурсы!AF$26:AF$156,ЭнергоРесурсы!$F$26:$F$156,$F32,ЭнергоРесурсы!$G$26:$G$156,$G32)</f>
        <v>0</v>
      </c>
      <c r="AG32" s="548">
        <f>_xlfn.SUMIFS(ЭнергоРесурсы!AG$26:AG$156,ЭнергоРесурсы!$F$26:$F$156,$F32,ЭнергоРесурсы!$G$26:$G$156,$G32)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203" t="s">
        <v>1389</v>
      </c>
    </row>
    <row customHeight="1" ht="16.575" hidden="1">
      <c r="E33" s="794">
        <v>17</v>
      </c>
      <c r="F33" s="919" cm="1" t="str">
        <f t="array" ref="F33:F33">OFFSET(G33,-1,-1)</f>
        <v>0</v>
      </c>
      <c r="G33" s="190" t="s">
        <v>992</v>
      </c>
      <c r="T33" s="805" cm="1" t="str">
        <f t="array" ref="T33:T33">T31</f>
        <v>false</v>
      </c>
      <c r="AB33" s="575" t="s">
        <v>624</v>
      </c>
      <c r="AC33" s="1001" t="s">
        <v>993</v>
      </c>
      <c r="AD33" s="170" t="s">
        <v>1019</v>
      </c>
      <c r="AE33" s="307">
        <f>_xlfn.SUMIFS('ХВС, ТН'!AE$26:AE$72,'ХВС, ТН'!$F$26:$F$72,$F33,'ХВС, ТН'!$G$26:$G$72,$G33)</f>
        <v>0</v>
      </c>
      <c r="AF33" s="307">
        <f>_xlfn.SUMIFS('ХВС, ТН'!AF$26:AF$72,'ХВС, ТН'!$F$26:$F$72,$F33,'ХВС, ТН'!$G$26:$G$72,$G33)</f>
        <v>0</v>
      </c>
      <c r="AG33" s="307">
        <f>_xlfn.SUMIFS('ХВС, ТН'!AG$26:AG$72,'ХВС, ТН'!$F$26:$F$72,$F33,'ХВС, ТН'!$G$26:$G$72,$G33)</f>
        <v>0</v>
      </c>
      <c r="AH33" s="307">
        <f>AG33-AF33</f>
        <v>0</v>
      </c>
      <c r="AI33" s="547">
        <f>_xlfn.SUMIFS('ХВС, ТН'!AH$26:AH$72,'ХВС, ТН'!$F$26:$F$72,$F33,'ХВС, ТН'!$G$26:$G$72,$G33)</f>
        <v>0</v>
      </c>
      <c r="AJ33" s="547">
        <f>_xlfn.SUMIFS('ХВС, ТН'!AI$26:AI$72,'ХВС, ТН'!$F$26:$F$72,$F33,'ХВС, ТН'!$G$26:$G$72,$G33)</f>
        <v>0</v>
      </c>
      <c r="AK33" s="547">
        <f>_xlfn.SUMIFS('ХВС, ТН'!AJ$26:AJ$72,'ХВС, ТН'!$F$26:$F$72,$F33,'ХВС, ТН'!$G$26:$G$72,$G33)</f>
        <v>0</v>
      </c>
      <c r="AL33" s="547">
        <f>_xlfn.SUMIFS('ХВС, ТН'!AK$26:AK$72,'ХВС, ТН'!$F$26:$F$72,$F33,'ХВС, ТН'!$G$26:$G$72,$G33)</f>
        <v>0</v>
      </c>
      <c r="AM33" s="547">
        <f>_xlfn.SUMIFS('ХВС, ТН'!AL$26:AL$72,'ХВС, ТН'!$F$26:$F$72,$F33,'ХВС, ТН'!$G$26:$G$72,$G33)</f>
        <v>0</v>
      </c>
      <c r="AN33" s="547">
        <f>_xlfn.SUMIFS('ХВС, ТН'!AM$26:AM$72,'ХВС, ТН'!$F$26:$F$72,$F33,'ХВС, ТН'!$G$26:$G$72,$G33)</f>
        <v>0</v>
      </c>
      <c r="AO33" s="547">
        <f>_xlfn.SUMIFS('ХВС, ТН'!AN$26:AN$72,'ХВС, ТН'!$F$26:$F$72,$F33,'ХВС, ТН'!$G$26:$G$72,$G33)</f>
        <v>0</v>
      </c>
      <c r="AP33" s="547">
        <f>_xlfn.SUMIFS('ХВС, ТН'!AO$26:AO$72,'ХВС, ТН'!$F$26:$F$72,$F33,'ХВС, ТН'!$G$26:$G$72,$G33)</f>
        <v>0</v>
      </c>
      <c r="AQ33" s="547">
        <f>_xlfn.SUMIFS('ХВС, ТН'!AP$26:AP$72,'ХВС, ТН'!$F$26:$F$72,$F33,'ХВС, ТН'!$G$26:$G$72,$G33)</f>
        <v>0</v>
      </c>
      <c r="AR33" s="547">
        <f>_xlfn.SUMIFS('ХВС, ТН'!AQ$26:AQ$72,'ХВС, ТН'!$F$26:$F$72,$F33,'ХВС, ТН'!$G$26:$G$72,$G33)</f>
        <v>0</v>
      </c>
      <c r="AS33" s="547">
        <f>_xlfn.SUMIFS('ХВС, ТН'!AR$26:AR$72,'ХВС, ТН'!$F$26:$F$72,$F33,'ХВС, ТН'!$G$26:$G$72,$G33)</f>
        <v>0</v>
      </c>
      <c r="AT33" s="547">
        <f>_xlfn.SUMIFS('ХВС, ТН'!AS$26:AS$72,'ХВС, ТН'!$F$26:$F$72,$F33,'ХВС, ТН'!$G$26:$G$72,$G33)</f>
        <v>0</v>
      </c>
      <c r="AU33" s="547">
        <f>_xlfn.SUMIFS('ХВС, ТН'!AT$26:AT$72,'ХВС, ТН'!$F$26:$F$72,$F33,'ХВС, ТН'!$G$26:$G$72,$G33)</f>
        <v>0</v>
      </c>
      <c r="AV33" s="547">
        <f>_xlfn.SUMIFS('ХВС, ТН'!AU$26:AU$72,'ХВС, ТН'!$F$26:$F$72,$F33,'ХВС, ТН'!$G$26:$G$72,$G33)</f>
        <v>0</v>
      </c>
      <c r="AW33" s="547">
        <f>_xlfn.SUMIFS('ХВС, ТН'!AV$26:AV$72,'ХВС, ТН'!$F$26:$F$72,$F33,'ХВС, ТН'!$G$26:$G$72,$G33)</f>
        <v>0</v>
      </c>
      <c r="AX33" s="547">
        <f>_xlfn.SUMIFS('ХВС, ТН'!AW$26:AW$72,'ХВС, ТН'!$F$26:$F$72,$F33,'ХВС, ТН'!$G$26:$G$72,$G33)</f>
        <v>0</v>
      </c>
      <c r="AY33" s="547">
        <f>_xlfn.SUMIFS('ХВС, ТН'!AX$26:AX$72,'ХВС, ТН'!$F$26:$F$72,$F33,'ХВС, ТН'!$G$26:$G$72,$G33)</f>
        <v>0</v>
      </c>
      <c r="AZ33" s="547">
        <f>_xlfn.SUMIFS('ХВС, ТН'!AY$26:AY$72,'ХВС, ТН'!$F$26:$F$72,$F33,'ХВС, ТН'!$G$26:$G$72,$G33)</f>
        <v>0</v>
      </c>
      <c r="BA33" s="547">
        <f>_xlfn.SUMIFS('ХВС, ТН'!AZ$26:AZ$72,'ХВС, ТН'!$F$26:$F$72,$F33,'ХВС, ТН'!$G$26:$G$72,$G33)</f>
        <v>0</v>
      </c>
      <c r="BB33" s="547">
        <f>_xlfn.SUMIFS('ХВС, ТН'!BA$26:BA$72,'ХВС, ТН'!$F$26:$F$72,$F33,'ХВС, ТН'!$G$26:$G$72,$G33)</f>
        <v>0</v>
      </c>
      <c r="BC33" s="547">
        <f>_xlfn.SUMIFS('ХВС, ТН'!BB$26:BB$72,'ХВС, ТН'!$F$26:$F$72,$F33,'ХВС, ТН'!$G$26:$G$72,$G33)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203" t="s">
        <v>1390</v>
      </c>
    </row>
    <row customHeight="1" ht="16.575" hidden="1">
      <c r="E34" s="794">
        <v>17</v>
      </c>
      <c r="F34" s="919" cm="1" t="str">
        <f t="array" ref="F34:F34">OFFSET(G34,-1,-1)</f>
        <v>0</v>
      </c>
      <c r="G34" s="190" t="s">
        <v>1003</v>
      </c>
      <c r="T34" s="805" cm="1" t="str">
        <f t="array" ref="T34:T34">T33</f>
        <v>false</v>
      </c>
      <c r="AB34" s="575" t="s">
        <v>629</v>
      </c>
      <c r="AC34" s="1001" t="s">
        <v>1004</v>
      </c>
      <c r="AD34" s="170" t="s">
        <v>1019</v>
      </c>
      <c r="AE34" s="307">
        <f>_xlfn.SUMIFS('ХВС, ТН'!AE$26:AE$72,'ХВС, ТН'!$F$26:$F$72,$F34,'ХВС, ТН'!$G$26:$G$72,$G34)</f>
        <v>0</v>
      </c>
      <c r="AF34" s="307">
        <f>_xlfn.SUMIFS('ХВС, ТН'!AF$26:AF$72,'ХВС, ТН'!$F$26:$F$72,$F34,'ХВС, ТН'!$G$26:$G$72,$G34)</f>
        <v>0</v>
      </c>
      <c r="AG34" s="307">
        <f>_xlfn.SUMIFS('ХВС, ТН'!AG$26:AG$72,'ХВС, ТН'!$F$26:$F$72,$F34,'ХВС, ТН'!$G$26:$G$72,$G34)</f>
        <v>0</v>
      </c>
      <c r="AH34" s="307">
        <f>AG34-AF34</f>
        <v>0</v>
      </c>
      <c r="AI34" s="547">
        <f>_xlfn.SUMIFS('ХВС, ТН'!AH$26:AH$72,'ХВС, ТН'!$F$26:$F$72,$F34,'ХВС, ТН'!$G$26:$G$72,$G34)</f>
        <v>0</v>
      </c>
      <c r="AJ34" s="547">
        <f>_xlfn.SUMIFS('ХВС, ТН'!AI$26:AI$72,'ХВС, ТН'!$F$26:$F$72,$F34,'ХВС, ТН'!$G$26:$G$72,$G34)</f>
        <v>0</v>
      </c>
      <c r="AK34" s="547">
        <f>_xlfn.SUMIFS('ХВС, ТН'!AJ$26:AJ$72,'ХВС, ТН'!$F$26:$F$72,$F34,'ХВС, ТН'!$G$26:$G$72,$G34)</f>
        <v>0</v>
      </c>
      <c r="AL34" s="547">
        <f>_xlfn.SUMIFS('ХВС, ТН'!AK$26:AK$72,'ХВС, ТН'!$F$26:$F$72,$F34,'ХВС, ТН'!$G$26:$G$72,$G34)</f>
        <v>0</v>
      </c>
      <c r="AM34" s="547">
        <f>_xlfn.SUMIFS('ХВС, ТН'!AL$26:AL$72,'ХВС, ТН'!$F$26:$F$72,$F34,'ХВС, ТН'!$G$26:$G$72,$G34)</f>
        <v>0</v>
      </c>
      <c r="AN34" s="547">
        <f>_xlfn.SUMIFS('ХВС, ТН'!AM$26:AM$72,'ХВС, ТН'!$F$26:$F$72,$F34,'ХВС, ТН'!$G$26:$G$72,$G34)</f>
        <v>0</v>
      </c>
      <c r="AO34" s="547">
        <f>_xlfn.SUMIFS('ХВС, ТН'!AN$26:AN$72,'ХВС, ТН'!$F$26:$F$72,$F34,'ХВС, ТН'!$G$26:$G$72,$G34)</f>
        <v>0</v>
      </c>
      <c r="AP34" s="547">
        <f>_xlfn.SUMIFS('ХВС, ТН'!AO$26:AO$72,'ХВС, ТН'!$F$26:$F$72,$F34,'ХВС, ТН'!$G$26:$G$72,$G34)</f>
        <v>0</v>
      </c>
      <c r="AQ34" s="547">
        <f>_xlfn.SUMIFS('ХВС, ТН'!AP$26:AP$72,'ХВС, ТН'!$F$26:$F$72,$F34,'ХВС, ТН'!$G$26:$G$72,$G34)</f>
        <v>0</v>
      </c>
      <c r="AR34" s="547">
        <f>_xlfn.SUMIFS('ХВС, ТН'!AQ$26:AQ$72,'ХВС, ТН'!$F$26:$F$72,$F34,'ХВС, ТН'!$G$26:$G$72,$G34)</f>
        <v>0</v>
      </c>
      <c r="AS34" s="547">
        <f>_xlfn.SUMIFS('ХВС, ТН'!AR$26:AR$72,'ХВС, ТН'!$F$26:$F$72,$F34,'ХВС, ТН'!$G$26:$G$72,$G34)</f>
        <v>0</v>
      </c>
      <c r="AT34" s="547">
        <f>_xlfn.SUMIFS('ХВС, ТН'!AS$26:AS$72,'ХВС, ТН'!$F$26:$F$72,$F34,'ХВС, ТН'!$G$26:$G$72,$G34)</f>
        <v>0</v>
      </c>
      <c r="AU34" s="547">
        <f>_xlfn.SUMIFS('ХВС, ТН'!AT$26:AT$72,'ХВС, ТН'!$F$26:$F$72,$F34,'ХВС, ТН'!$G$26:$G$72,$G34)</f>
        <v>0</v>
      </c>
      <c r="AV34" s="547">
        <f>_xlfn.SUMIFS('ХВС, ТН'!AU$26:AU$72,'ХВС, ТН'!$F$26:$F$72,$F34,'ХВС, ТН'!$G$26:$G$72,$G34)</f>
        <v>0</v>
      </c>
      <c r="AW34" s="547">
        <f>_xlfn.SUMIFS('ХВС, ТН'!AV$26:AV$72,'ХВС, ТН'!$F$26:$F$72,$F34,'ХВС, ТН'!$G$26:$G$72,$G34)</f>
        <v>0</v>
      </c>
      <c r="AX34" s="547">
        <f>_xlfn.SUMIFS('ХВС, ТН'!AW$26:AW$72,'ХВС, ТН'!$F$26:$F$72,$F34,'ХВС, ТН'!$G$26:$G$72,$G34)</f>
        <v>0</v>
      </c>
      <c r="AY34" s="547">
        <f>_xlfn.SUMIFS('ХВС, ТН'!AX$26:AX$72,'ХВС, ТН'!$F$26:$F$72,$F34,'ХВС, ТН'!$G$26:$G$72,$G34)</f>
        <v>0</v>
      </c>
      <c r="AZ34" s="547">
        <f>_xlfn.SUMIFS('ХВС, ТН'!AY$26:AY$72,'ХВС, ТН'!$F$26:$F$72,$F34,'ХВС, ТН'!$G$26:$G$72,$G34)</f>
        <v>0</v>
      </c>
      <c r="BA34" s="547">
        <f>_xlfn.SUMIFS('ХВС, ТН'!AZ$26:AZ$72,'ХВС, ТН'!$F$26:$F$72,$F34,'ХВС, ТН'!$G$26:$G$72,$G34)</f>
        <v>0</v>
      </c>
      <c r="BB34" s="547">
        <f>_xlfn.SUMIFS('ХВС, ТН'!BA$26:BA$72,'ХВС, ТН'!$F$26:$F$72,$F34,'ХВС, ТН'!$G$26:$G$72,$G34)</f>
        <v>0</v>
      </c>
      <c r="BC34" s="547">
        <f>_xlfn.SUMIFS('ХВС, ТН'!BB$26:BB$72,'ХВС, ТН'!$F$26:$F$72,$F34,'ХВС, ТН'!$G$26:$G$72,$G34)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203" t="s">
        <v>1391</v>
      </c>
    </row>
    <row customHeight="1" ht="16.575" hidden="1">
      <c r="E35" s="794">
        <v>17</v>
      </c>
      <c r="F35" s="919" cm="1" t="str">
        <f t="array" ref="F35:F35">OFFSET(G35,-1,-1)</f>
        <v>0</v>
      </c>
      <c r="G35" s="190" t="s">
        <v>1392</v>
      </c>
      <c r="T35" s="805" cm="1" t="str">
        <f t="array" ref="T35:T35">T34</f>
        <v>false</v>
      </c>
      <c r="AB35" s="1078" t="s">
        <v>632</v>
      </c>
      <c r="AC35" s="160" t="s">
        <v>1375</v>
      </c>
      <c r="AD35" s="322" t="s">
        <v>1019</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592</v>
      </c>
    </row>
    <row customHeight="1" ht="16.575" hidden="1">
      <c r="E36" s="794">
        <v>17</v>
      </c>
      <c r="F36" s="919" cm="1" t="str">
        <f t="array" ref="F36:F36">OFFSET(G36,-1,-1)</f>
        <v>0</v>
      </c>
      <c r="G36" s="190" t="s">
        <v>962</v>
      </c>
      <c r="R36" s="190" t="s">
        <v>963</v>
      </c>
      <c r="T36" s="805" cm="1" t="str">
        <f t="array" ref="T36:T36">T32</f>
        <v>false</v>
      </c>
      <c r="AB36" s="577" t="s">
        <v>1393</v>
      </c>
      <c r="AC36" s="291" t="s">
        <v>965</v>
      </c>
      <c r="AD36" s="151" t="s">
        <v>805</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9"/>
      <c r="BO36" s="79"/>
      <c r="BP36" s="79"/>
      <c r="BS36" s="1203" t="s">
        <v>1394</v>
      </c>
    </row>
    <row s="1914" customFormat="1" customHeight="1" ht="16.5">
      <c r="A37" s="217"/>
      <c r="B37" s="217"/>
      <c r="C37" s="217"/>
      <c r="D37" s="217"/>
      <c r="E37" s="794">
        <v>17</v>
      </c>
      <c r="F37" s="919" cm="1" t="str">
        <f t="array" ref="F37:F37">X37</f>
        <v>1</v>
      </c>
      <c r="G37" s="736" cm="1" t="str">
        <f t="array" ref="G37:G37">INDEX('Общие сведения'!$AK$169:$AK$218,MATCH($F37,'Общие сведения'!$Z$169:$Z$218,0))</f>
        <v>одноставочный</v>
      </c>
      <c r="H37" s="217"/>
      <c r="I37" s="210" cm="1" t="str">
        <f t="array" ref="I37:I37">INDEX('Общие сведения'!$AE$169:$AE$218,MATCH($F37,'Общие сведения'!$Z$169:$Z$218,0))</f>
        <v>Теплоснабжение</v>
      </c>
      <c r="J37" s="210" cm="1" t="str">
        <f t="array" ref="J37:J37">INDEX('Общие сведения'!$AK$169:$AK$218,MATCH($F37,'Общие сведения'!$Z$169:$Z$218,0))</f>
        <v>одноставочный</v>
      </c>
      <c r="K37" s="210" cm="1" t="str">
        <f t="array" ref="K37:K37">INDEX('Общие сведения'!$AH$169:$AH$218,MATCH($F37,'Общие сведения'!$Z$169:$Z$218,0))</f>
        <v>0</v>
      </c>
      <c r="L37" s="210" cm="1" t="str">
        <f t="array" ref="L37:L37">INDEX('Общие сведения'!$AI$169:$AI$218,MATCH($F37,'Общие сведения'!$Z$169:$Z$218,0))</f>
        <v>вода</v>
      </c>
      <c r="M37" s="210" cm="1" t="str">
        <f t="array" ref="M37:M37">INDEX('Общие сведения'!$AJ$169:$AJ$218,MATCH($F37,'Общие сведения'!$Z$169:$Z$218,0))</f>
        <v>Тариф: Носитель - горячая вода (Т); Носитель - горячая вода (Т)</v>
      </c>
      <c r="N37" s="217"/>
      <c r="O37" s="217"/>
      <c r="P37" s="217"/>
      <c r="Q37" s="217"/>
      <c r="R37" s="217"/>
      <c r="S37" s="217"/>
      <c r="T37" s="805">
        <f>X37&gt;0</f>
        <v>1</v>
      </c>
      <c r="U37" s="217"/>
      <c r="V37" s="172" cm="1" t="str">
        <f t="array" ref="V37:V3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W37" s="217"/>
      <c r="X37" s="172" t="s">
        <v>335</v>
      </c>
      <c r="Y37" s="217"/>
      <c r="Z37" s="217"/>
      <c r="AA37" s="217"/>
      <c r="AB37" s="327" cm="1" t="str">
        <f t="array" ref="AB37:AB37">IF(ISBLANK('Неподконтрольные (5.3)'!$AB$47),"",'Неподконтрольные (5.3)'!$AB$47)</f>
        <v>Тариф 1 (Теплоснабжение) - Тариф на тепловую энергию (мощность), поставляемую потребителям (Тариф: Носитель - горячая вода (Т); Носитель - горячая вода (Т))</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915"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1383</v>
      </c>
      <c r="AC38" s="1546"/>
      <c r="AD38" s="302" t="s">
        <v>805</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4941.9999935</v>
      </c>
      <c r="AK38" s="306" cm="1" t="str">
        <f t="array" ref="AK38:AK38">AK45</f>
        <v>5210.998484</v>
      </c>
      <c r="AL38" s="306" cm="1" t="str">
        <f t="array" ref="AL38:AL38">AL45</f>
        <v>5407.9996015</v>
      </c>
      <c r="AM38" s="306" cm="1" t="str">
        <f t="array" ref="AM38:AM38">AM45</f>
        <v>5613.9992955</v>
      </c>
      <c r="AN38" s="306" cm="1" t="str">
        <f t="array" ref="AN38:AN38">AN45</f>
        <v>5828.0043105</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4273.0440814893</v>
      </c>
      <c r="AU38" s="306" cm="1" t="str">
        <f t="array" ref="AU38:AU38">AU45</f>
        <v>4472.72384966631</v>
      </c>
      <c r="AV38" s="306" cm="1" t="str">
        <f t="array" ref="AV38:AV38">AV45</f>
        <v>4601.06399719003</v>
      </c>
      <c r="AW38" s="306" cm="1" t="str">
        <f t="array" ref="AW38:AW38">AW45</f>
        <v>4733.35876361082</v>
      </c>
      <c r="AX38" s="306" cm="1" t="str">
        <f t="array" ref="AX38:AX38">AX45</f>
        <v>4870.68514225501</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4.67300978808099</v>
      </c>
      <c r="BF38" s="306" cm="1" t="str">
        <f t="array" ref="BF38:BF38">BF45</f>
        <v>2.86939573819865</v>
      </c>
      <c r="BG38" s="306" cm="1" t="str">
        <f t="array" ref="BG38:BG38">BG45</f>
        <v>2.87530811354906</v>
      </c>
      <c r="BH38" s="306" cm="1" t="str">
        <f t="array" ref="BH38:BH38">BH45</f>
        <v>2.90124593343589</v>
      </c>
      <c r="BI38" s="306" cm="1" t="str">
        <f t="array" ref="BI38:BI38">BI45</f>
        <v>-100</v>
      </c>
      <c r="BJ38" s="306" cm="1" t="str">
        <f t="array" ref="BJ38:BJ38">BJ45</f>
        <v>0</v>
      </c>
      <c r="BK38" s="306" cm="1" t="str">
        <f t="array" ref="BK38:BK38">BK45</f>
        <v>0</v>
      </c>
      <c r="BL38" s="306" cm="1" t="str">
        <f t="array" ref="BL38:BL38">BL45</f>
        <v>0</v>
      </c>
      <c r="BM38" s="306" cm="1" t="str">
        <f t="array" ref="BM38:BM38">BM45</f>
        <v>0</v>
      </c>
      <c r="BN38" s="1730"/>
      <c r="BO38" s="1730"/>
      <c r="BP38" s="1730"/>
      <c r="BQ38" s="217"/>
      <c r="BR38" s="217"/>
      <c r="BS38" s="1203" t="s">
        <v>1384</v>
      </c>
    </row>
    <row s="1619" customFormat="1" customHeight="1" ht="16.5">
      <c r="A39" s="225"/>
      <c r="B39" s="924"/>
      <c r="C39" s="225"/>
      <c r="D39" s="225"/>
      <c r="E39" s="794">
        <v>17</v>
      </c>
      <c r="F39" s="919" cm="1" t="str">
        <f t="array" ref="F39:F39">OFFSET(G39,-1,-1)</f>
        <v>1</v>
      </c>
      <c r="G39" s="190" t="s">
        <v>1385</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335</v>
      </c>
      <c r="AC39" s="744" t="s">
        <v>1386</v>
      </c>
      <c r="AD39" s="485" t="s">
        <v>1019</v>
      </c>
      <c r="AE39" s="307">
        <f>_xlfn.SUMIFS('Топливо 4.4'!AH$27:AH$411,'Топливо 4.4'!$F$27:$F$411,$F39,'Топливо 4.4'!$G$27:$G$411,$G39)</f>
        <v>0</v>
      </c>
      <c r="AF39" s="307">
        <f>_xlfn.SUMIFS('Топливо 4.4'!AI$27:AI$411,'Топливо 4.4'!$F$27:$F$411,$F39,'Топливо 4.4'!$G$27:$G$411,$G39)</f>
        <v>0</v>
      </c>
      <c r="AG39" s="307">
        <f>_xlfn.SUMIFS('Топливо 4.4'!AJ$27:AJ$411,'Топливо 4.4'!$F$27:$F$411,$F39,'Топливо 4.4'!$G$27:$G$411,$G39)</f>
        <v>0</v>
      </c>
      <c r="AH39" s="307">
        <f>AG39-AF39</f>
        <v>0</v>
      </c>
      <c r="AI39" s="307">
        <f>_xlfn.SUMIFS('Топливо 4.4'!AK$27:AK$411,'Топливо 4.4'!$F$27:$F$411,$F39,'Топливо 4.4'!$G$27:$G$411,$G39)</f>
        <v>0</v>
      </c>
      <c r="AJ39" s="307">
        <f>_xlfn.SUMIFS('Топливо 4.4'!AL$27:AL$411,'Топливо 4.4'!$F$27:$F$411,$F39,'Топливо 4.4'!$G$27:$G$411,$G39)</f>
        <v>4485.9999935</v>
      </c>
      <c r="AK39" s="307">
        <f>_xlfn.SUMIFS('Топливо 4.4'!AO$27:AO$411,'Топливо 4.4'!$F$27:$F$411,$F39,'Топливо 4.4'!$G$27:$G$411,$G39)</f>
        <v>4735.998484</v>
      </c>
      <c r="AL39" s="307">
        <f>_xlfn.SUMIFS('Топливо 4.4'!AR$27:AR$411,'Топливо 4.4'!$F$27:$F$411,$F39,'Топливо 4.4'!$G$27:$G$411,$G39)</f>
        <v>4914.9996015</v>
      </c>
      <c r="AM39" s="307">
        <f>_xlfn.SUMIFS('Топливо 4.4'!AU$27:AU$411,'Топливо 4.4'!$F$27:$F$411,$F39,'Топливо 4.4'!$G$27:$G$411,$G39)</f>
        <v>5100.9992955</v>
      </c>
      <c r="AN39" s="307">
        <f>_xlfn.SUMIFS('Топливо 4.4'!AX$27:AX$411,'Топливо 4.4'!$F$27:$F$411,$F39,'Топливо 4.4'!$G$27:$G$411,$G39)</f>
        <v>5295.0043105</v>
      </c>
      <c r="AO39" s="307">
        <f>_xlfn.SUMIFS('Топливо 4.4'!BA$27:BA$411,'Топливо 4.4'!$F$27:$F$411,$F39,'Топливо 4.4'!$G$27:$G$411,$G39)</f>
        <v>0</v>
      </c>
      <c r="AP39" s="307">
        <f>_xlfn.SUMIFS('Топливо 4.4'!BD$27:BD$411,'Топливо 4.4'!$F$27:$F$411,$F39,'Топливо 4.4'!$G$27:$G$411,$G39)</f>
        <v>0</v>
      </c>
      <c r="AQ39" s="307">
        <f>_xlfn.SUMIFS('Топливо 4.4'!BG$27:BG$411,'Топливо 4.4'!$F$27:$F$411,$F39,'Топливо 4.4'!$G$27:$G$411,$G39)</f>
        <v>0</v>
      </c>
      <c r="AR39" s="307">
        <f>_xlfn.SUMIFS('Топливо 4.4'!BJ$27:BJ$411,'Топливо 4.4'!$F$27:$F$411,$F39,'Топливо 4.4'!$G$27:$G$411,$G39)</f>
        <v>0</v>
      </c>
      <c r="AS39" s="307">
        <f>_xlfn.SUMIFS('Топливо 4.4'!BM$27:BM$411,'Топливо 4.4'!$F$27:$F$411,$F39,'Топливо 4.4'!$G$27:$G$411,$G39)</f>
        <v>0</v>
      </c>
      <c r="AT39" s="307">
        <f>_xlfn.SUMIFS('Топливо 4.4'!BP$27:BP$411,'Топливо 4.4'!$F$27:$F$411,$F39,'Топливо 4.4'!$G$27:$G$411,$G39)</f>
        <v>3879.0440814893</v>
      </c>
      <c r="AU39" s="307">
        <f>_xlfn.SUMIFS('Топливо 4.4'!BS$27:BS$411,'Топливо 4.4'!$F$27:$F$411,$F39,'Топливо 4.4'!$G$27:$G$411,$G39)</f>
        <v>4049.72384966631</v>
      </c>
      <c r="AV39" s="307">
        <f>_xlfn.SUMIFS('Топливо 4.4'!BV$27:BV$411,'Топливо 4.4'!$F$27:$F$411,$F39,'Топливо 4.4'!$G$27:$G$411,$G39)</f>
        <v>4159.06399719003</v>
      </c>
      <c r="AW39" s="307">
        <f>_xlfn.SUMIFS('Топливо 4.4'!BY$27:BY$411,'Топливо 4.4'!$F$27:$F$411,$F39,'Топливо 4.4'!$G$27:$G$411,$G39)</f>
        <v>4271.35876361082</v>
      </c>
      <c r="AX39" s="307">
        <f>_xlfn.SUMIFS('Топливо 4.4'!CB$27:CB$411,'Топливо 4.4'!$F$27:$F$411,$F39,'Топливо 4.4'!$G$27:$G$411,$G39)</f>
        <v>4386.68514225501</v>
      </c>
      <c r="AY39" s="307">
        <f>_xlfn.SUMIFS('Топливо 4.4'!CE$27:CE$411,'Топливо 4.4'!$F$27:$F$411,$F39,'Топливо 4.4'!$G$27:$G$411,$G39)</f>
        <v>0</v>
      </c>
      <c r="AZ39" s="307">
        <f>_xlfn.SUMIFS('Топливо 4.4'!CH$27:CH$411,'Топливо 4.4'!$F$27:$F$411,$F39,'Топливо 4.4'!$G$27:$G$411,$G39)</f>
        <v>0</v>
      </c>
      <c r="BA39" s="307">
        <f>_xlfn.SUMIFS('Топливо 4.4'!CK$27:CK$411,'Топливо 4.4'!$F$27:$F$411,$F39,'Топливо 4.4'!$G$27:$G$411,$G39)</f>
        <v>0</v>
      </c>
      <c r="BB39" s="307">
        <f>_xlfn.SUMIFS('Топливо 4.4'!CN$27:CN$411,'Топливо 4.4'!$F$27:$F$411,$F39,'Топливо 4.4'!$G$27:$G$411,$G39)</f>
        <v>0</v>
      </c>
      <c r="BC39" s="307">
        <f>_xlfn.SUMIFS('Топливо 4.4'!CQ$27:CQ$411,'Топливо 4.4'!$F$27:$F$411,$F39,'Топливо 4.4'!$G$27:$G$411,$G39)</f>
        <v>0</v>
      </c>
      <c r="BD39" s="307">
        <f>IF(AI39=0,0,(AT39-AI39)/AI39*100)</f>
        <v>0</v>
      </c>
      <c r="BE39" s="307">
        <f>IF(AT39=0,0,(AU39-AT39)/AT39*100)</f>
        <v>4.40004714026039</v>
      </c>
      <c r="BF39" s="307">
        <f>IF(AU39=0,0,(AV39-AU39)/AU39*100)</f>
        <v>2.69994082516835</v>
      </c>
      <c r="BG39" s="307">
        <f>IF(AV39=0,0,(AW39-AV39)/AV39*100)</f>
        <v>2.70000092560871</v>
      </c>
      <c r="BH39" s="307">
        <f>IF(AW39=0,0,(AX39-AW39)/AW39*100)</f>
        <v>2.69999278980486</v>
      </c>
      <c r="BI39" s="307">
        <f>IF(AX39=0,0,(AY39-AX39)/AX39*100)</f>
        <v>-100</v>
      </c>
      <c r="BJ39" s="307">
        <f>IF(AY39=0,0,(AZ39-AY39)/AY39*100)</f>
        <v>0</v>
      </c>
      <c r="BK39" s="307">
        <f>IF(AZ39=0,0,(BA39-AZ39)/AZ39*100)</f>
        <v>0</v>
      </c>
      <c r="BL39" s="307">
        <f>IF(BA39=0,0,(BB39-BA39)/BA39*100)</f>
        <v>0</v>
      </c>
      <c r="BM39" s="307">
        <f>IF(BB39=0,0,(BC39-BB39)/BB39*100)</f>
        <v>0</v>
      </c>
      <c r="BN39" s="1730"/>
      <c r="BO39" s="1730"/>
      <c r="BP39" s="1730"/>
      <c r="BQ39" s="227"/>
      <c r="BR39" s="227"/>
      <c r="BS39" s="1203" t="s">
        <v>1380</v>
      </c>
    </row>
    <row s="1619" customFormat="1" customHeight="1" ht="16.5">
      <c r="A40" s="225"/>
      <c r="B40" s="924"/>
      <c r="C40" s="225"/>
      <c r="D40" s="225"/>
      <c r="E40" s="794">
        <v>17</v>
      </c>
      <c r="F40" s="919" cm="1" t="str">
        <f t="array" ref="F40:F40">OFFSET(G40,-1,-1)</f>
        <v>1</v>
      </c>
      <c r="G40" s="190" t="s">
        <v>925</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343</v>
      </c>
      <c r="AC40" s="742" t="s">
        <v>927</v>
      </c>
      <c r="AD40" s="496" t="s">
        <v>1019</v>
      </c>
      <c r="AE40" s="307">
        <f>_xlfn.SUMIFS(ЭнергоРесурсы!AE$26:AE$156,ЭнергоРесурсы!$F$26:$F$156,$F40,ЭнергоРесурсы!$G$26:$G$156,$G40)</f>
        <v>0</v>
      </c>
      <c r="AF40" s="307">
        <f>_xlfn.SUMIFS(ЭнергоРесурсы!AF$26:AF$156,ЭнергоРесурсы!$F$26:$F$156,$F40,ЭнергоРесурсы!$G$26:$G$156,$G40)</f>
        <v>0</v>
      </c>
      <c r="AG40" s="307">
        <f>_xlfn.SUMIFS(ЭнергоРесурсы!AG$26:AG$156,ЭнергоРесурсы!$F$26:$F$156,$F40,ЭнергоРесурсы!$G$26:$G$156,$G40)</f>
        <v>0</v>
      </c>
      <c r="AH40" s="307">
        <f>AG40-AF40</f>
        <v>0</v>
      </c>
      <c r="AI40" s="307">
        <f>_xlfn.SUMIFS(ЭнергоРесурсы!AH$26:AH$156,ЭнергоРесурсы!$F$26:$F$156,$F40,ЭнергоРесурсы!$G$26:$G$156,$G40)</f>
        <v>0</v>
      </c>
      <c r="AJ40" s="307">
        <f>_xlfn.SUMIFS(ЭнергоРесурсы!AI$26:AI$156,ЭнергоРесурсы!$F$26:$F$156,$F40,ЭнергоРесурсы!$G$26:$G$156,$G40)</f>
        <v>297</v>
      </c>
      <c r="AK40" s="307">
        <f>_xlfn.SUMIFS(ЭнергоРесурсы!AJ$26:AJ$156,ЭнергоРесурсы!$F$26:$F$156,$F40,ЭнергоРесурсы!$G$26:$G$156,$G40)</f>
        <v>309</v>
      </c>
      <c r="AL40" s="307">
        <f>_xlfn.SUMIFS(ЭнергоРесурсы!AK$26:AK$156,ЭнергоРесурсы!$F$26:$F$156,$F40,ЭнергоРесурсы!$G$26:$G$156,$G40)</f>
        <v>321</v>
      </c>
      <c r="AM40" s="307">
        <f>_xlfn.SUMIFS(ЭнергоРесурсы!AL$26:AL$156,ЭнергоРесурсы!$F$26:$F$156,$F40,ЭнергоРесурсы!$G$26:$G$156,$G40)</f>
        <v>334</v>
      </c>
      <c r="AN40" s="307">
        <f>_xlfn.SUMIFS(ЭнергоРесурсы!AM$26:AM$156,ЭнергоРесурсы!$F$26:$F$156,$F40,ЭнергоРесурсы!$G$26:$G$156,$G40)</f>
        <v>347</v>
      </c>
      <c r="AO40" s="307">
        <f>_xlfn.SUMIFS(ЭнергоРесурсы!AN$26:AN$156,ЭнергоРесурсы!$F$26:$F$156,$F40,ЭнергоРесурсы!$G$26:$G$156,$G40)</f>
        <v>0</v>
      </c>
      <c r="AP40" s="307">
        <f>_xlfn.SUMIFS(ЭнергоРесурсы!AO$26:AO$156,ЭнергоРесурсы!$F$26:$F$156,$F40,ЭнергоРесурсы!$G$26:$G$156,$G40)</f>
        <v>0</v>
      </c>
      <c r="AQ40" s="307">
        <f>_xlfn.SUMIFS(ЭнергоРесурсы!AP$26:AP$156,ЭнергоРесурсы!$F$26:$F$156,$F40,ЭнергоРесурсы!$G$26:$G$156,$G40)</f>
        <v>0</v>
      </c>
      <c r="AR40" s="307">
        <f>_xlfn.SUMIFS(ЭнергоРесурсы!AQ$26:AQ$156,ЭнергоРесурсы!$F$26:$F$156,$F40,ЭнергоРесурсы!$G$26:$G$156,$G40)</f>
        <v>0</v>
      </c>
      <c r="AS40" s="307">
        <f>_xlfn.SUMIFS(ЭнергоРесурсы!AR$26:AR$156,ЭнергоРесурсы!$F$26:$F$156,$F40,ЭнергоРесурсы!$G$26:$G$156,$G40)</f>
        <v>0</v>
      </c>
      <c r="AT40" s="307">
        <f>_xlfn.SUMIFS(ЭнергоРесурсы!AS$26:AS$156,ЭнергоРесурсы!$F$26:$F$156,$F40,ЭнергоРесурсы!$G$26:$G$156,$G40)</f>
        <v>267</v>
      </c>
      <c r="AU40" s="307">
        <f>_xlfn.SUMIFS(ЭнергоРесурсы!AT$26:AT$156,ЭнергоРесурсы!$F$26:$F$156,$F40,ЭнергоРесурсы!$G$26:$G$156,$G40)</f>
        <v>291</v>
      </c>
      <c r="AV40" s="307">
        <f>_xlfn.SUMIFS(ЭнергоРесурсы!AU$26:AU$156,ЭнергоРесурсы!$F$26:$F$156,$F40,ЭнергоРесурсы!$G$26:$G$156,$G40)</f>
        <v>305</v>
      </c>
      <c r="AW40" s="307">
        <f>_xlfn.SUMIFS(ЭнергоРесурсы!AV$26:AV$156,ЭнергоРесурсы!$F$26:$F$156,$F40,ЭнергоРесурсы!$G$26:$G$156,$G40)</f>
        <v>320</v>
      </c>
      <c r="AX40" s="307">
        <f>_xlfn.SUMIFS(ЭнергоРесурсы!AW$26:AW$156,ЭнергоРесурсы!$F$26:$F$156,$F40,ЭнергоРесурсы!$G$26:$G$156,$G40)</f>
        <v>336</v>
      </c>
      <c r="AY40" s="307">
        <f>_xlfn.SUMIFS(ЭнергоРесурсы!AX$26:AX$156,ЭнергоРесурсы!$F$26:$F$156,$F40,ЭнергоРесурсы!$G$26:$G$156,$G40)</f>
        <v>0</v>
      </c>
      <c r="AZ40" s="307">
        <f>_xlfn.SUMIFS(ЭнергоРесурсы!AY$26:AY$156,ЭнергоРесурсы!$F$26:$F$156,$F40,ЭнергоРесурсы!$G$26:$G$156,$G40)</f>
        <v>0</v>
      </c>
      <c r="BA40" s="307">
        <f>_xlfn.SUMIFS(ЭнергоРесурсы!AZ$26:AZ$156,ЭнергоРесурсы!$F$26:$F$156,$F40,ЭнергоРесурсы!$G$26:$G$156,$G40)</f>
        <v>0</v>
      </c>
      <c r="BB40" s="307">
        <f>_xlfn.SUMIFS(ЭнергоРесурсы!BA$26:BA$156,ЭнергоРесурсы!$F$26:$F$156,$F40,ЭнергоРесурсы!$G$26:$G$156,$G40)</f>
        <v>0</v>
      </c>
      <c r="BC40" s="307">
        <f>_xlfn.SUMIFS(ЭнергоРесурсы!BB$26:BB$156,ЭнергоРесурсы!$F$26:$F$156,$F40,ЭнергоРесурсы!$G$26:$G$156,$G40)</f>
        <v>0</v>
      </c>
      <c r="BD40" s="307">
        <f>IF(AI40=0,0,(AT40-AI40)/AI40*100)</f>
        <v>0</v>
      </c>
      <c r="BE40" s="307">
        <f>IF(AT40=0,0,(AU40-AT40)/AT40*100)</f>
        <v>8.98876404494382</v>
      </c>
      <c r="BF40" s="307">
        <f>IF(AU40=0,0,(AV40-AU40)/AU40*100)</f>
        <v>4.81099656357388</v>
      </c>
      <c r="BG40" s="307">
        <f>IF(AV40=0,0,(AW40-AV40)/AV40*100)</f>
        <v>4.91803278688525</v>
      </c>
      <c r="BH40" s="307">
        <f>IF(AW40=0,0,(AX40-AW40)/AW40*100)</f>
        <v>5</v>
      </c>
      <c r="BI40" s="307">
        <f>IF(AX40=0,0,(AY40-AX40)/AX40*100)</f>
        <v>-100</v>
      </c>
      <c r="BJ40" s="307">
        <f>IF(AY40=0,0,(AZ40-AY40)/AY40*100)</f>
        <v>0</v>
      </c>
      <c r="BK40" s="307">
        <f>IF(AZ40=0,0,(BA40-AZ40)/AZ40*100)</f>
        <v>0</v>
      </c>
      <c r="BL40" s="307">
        <f>IF(BA40=0,0,(BB40-BA40)/BA40*100)</f>
        <v>0</v>
      </c>
      <c r="BM40" s="307">
        <f>IF(BB40=0,0,(BC40-BB40)/BB40*100)</f>
        <v>0</v>
      </c>
      <c r="BN40" s="1730"/>
      <c r="BO40" s="1730"/>
      <c r="BP40" s="1730"/>
      <c r="BQ40" s="227"/>
      <c r="BR40" s="227"/>
      <c r="BS40" s="1203" t="s">
        <v>1387</v>
      </c>
    </row>
    <row s="1619" customFormat="1" customHeight="1" ht="16.5">
      <c r="A41" s="225"/>
      <c r="B41" s="924"/>
      <c r="C41" s="225"/>
      <c r="D41" s="225"/>
      <c r="E41" s="794">
        <v>17</v>
      </c>
      <c r="F41" s="919" cm="1" t="str">
        <f t="array" ref="F41:F41">OFFSET(G41,-1,-1)</f>
        <v>1</v>
      </c>
      <c r="G41" s="190" t="s">
        <v>960</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614</v>
      </c>
      <c r="AC41" s="743" t="s">
        <v>980</v>
      </c>
      <c r="AD41" s="496" t="s">
        <v>1019</v>
      </c>
      <c r="AE41" s="307">
        <f>_xlfn.SUMIFS(ЭнергоРесурсы!AE$26:AE$156,ЭнергоРесурсы!$F$26:$F$156,$F41,ЭнергоРесурсы!$G$26:$G$156,$G41)</f>
        <v>0</v>
      </c>
      <c r="AF41" s="307">
        <f>_xlfn.SUMIFS(ЭнергоРесурсы!AF$26:AF$156,ЭнергоРесурсы!$F$26:$F$156,$F41,ЭнергоРесурсы!$G$26:$G$156,$G41)</f>
        <v>0</v>
      </c>
      <c r="AG41" s="307">
        <f>_xlfn.SUMIFS(ЭнергоРесурсы!AG$26:AG$156,ЭнергоРесурсы!$F$26:$F$156,$F41,ЭнергоРесурсы!$G$26:$G$156,$G41)</f>
        <v>0</v>
      </c>
      <c r="AH41" s="307">
        <f>AG41-AF41</f>
        <v>0</v>
      </c>
      <c r="AI41" s="307">
        <f>_xlfn.SUMIFS(ЭнергоРесурсы!AH$26:AH$156,ЭнергоРесурсы!$F$26:$F$156,$F41,ЭнергоРесурсы!$G$26:$G$156,$G41)</f>
        <v>0</v>
      </c>
      <c r="AJ41" s="307">
        <f>_xlfn.SUMIFS(ЭнергоРесурсы!AI$26:AI$156,ЭнергоРесурсы!$F$26:$F$156,$F41,ЭнергоРесурсы!$G$26:$G$156,$G41)</f>
        <v>0</v>
      </c>
      <c r="AK41" s="307">
        <f>_xlfn.SUMIFS(ЭнергоРесурсы!AJ$26:AJ$156,ЭнергоРесурсы!$F$26:$F$156,$F41,ЭнергоРесурсы!$G$26:$G$156,$G41)</f>
        <v>0</v>
      </c>
      <c r="AL41" s="307">
        <f>_xlfn.SUMIFS(ЭнергоРесурсы!AK$26:AK$156,ЭнергоРесурсы!$F$26:$F$156,$F41,ЭнергоРесурсы!$G$26:$G$156,$G41)</f>
        <v>0</v>
      </c>
      <c r="AM41" s="307">
        <f>_xlfn.SUMIFS(ЭнергоРесурсы!AL$26:AL$156,ЭнергоРесурсы!$F$26:$F$156,$F41,ЭнергоРесурсы!$G$26:$G$156,$G41)</f>
        <v>0</v>
      </c>
      <c r="AN41" s="307">
        <f>_xlfn.SUMIFS(ЭнергоРесурсы!AM$26:AM$156,ЭнергоРесурсы!$F$26:$F$156,$F41,ЭнергоРесурсы!$G$26:$G$156,$G41)</f>
        <v>0</v>
      </c>
      <c r="AO41" s="307">
        <f>_xlfn.SUMIFS(ЭнергоРесурсы!AN$26:AN$156,ЭнергоРесурсы!$F$26:$F$156,$F41,ЭнергоРесурсы!$G$26:$G$156,$G41)</f>
        <v>0</v>
      </c>
      <c r="AP41" s="307">
        <f>_xlfn.SUMIFS(ЭнергоРесурсы!AO$26:AO$156,ЭнергоРесурсы!$F$26:$F$156,$F41,ЭнергоРесурсы!$G$26:$G$156,$G41)</f>
        <v>0</v>
      </c>
      <c r="AQ41" s="307">
        <f>_xlfn.SUMIFS(ЭнергоРесурсы!AP$26:AP$156,ЭнергоРесурсы!$F$26:$F$156,$F41,ЭнергоРесурсы!$G$26:$G$156,$G41)</f>
        <v>0</v>
      </c>
      <c r="AR41" s="307">
        <f>_xlfn.SUMIFS(ЭнергоРесурсы!AQ$26:AQ$156,ЭнергоРесурсы!$F$26:$F$156,$F41,ЭнергоРесурсы!$G$26:$G$156,$G41)</f>
        <v>0</v>
      </c>
      <c r="AS41" s="307">
        <f>_xlfn.SUMIFS(ЭнергоРесурсы!AR$26:AR$156,ЭнергоРесурсы!$F$26:$F$156,$F41,ЭнергоРесурсы!$G$26:$G$156,$G41)</f>
        <v>0</v>
      </c>
      <c r="AT41" s="307">
        <f>_xlfn.SUMIFS(ЭнергоРесурсы!AS$26:AS$156,ЭнергоРесурсы!$F$26:$F$156,$F41,ЭнергоРесурсы!$G$26:$G$156,$G41)</f>
        <v>0</v>
      </c>
      <c r="AU41" s="307">
        <f>_xlfn.SUMIFS(ЭнергоРесурсы!AT$26:AT$156,ЭнергоРесурсы!$F$26:$F$156,$F41,ЭнергоРесурсы!$G$26:$G$156,$G41)</f>
        <v>0</v>
      </c>
      <c r="AV41" s="307">
        <f>_xlfn.SUMIFS(ЭнергоРесурсы!AU$26:AU$156,ЭнергоРесурсы!$F$26:$F$156,$F41,ЭнергоРесурсы!$G$26:$G$156,$G41)</f>
        <v>0</v>
      </c>
      <c r="AW41" s="307">
        <f>_xlfn.SUMIFS(ЭнергоРесурсы!AV$26:AV$156,ЭнергоРесурсы!$F$26:$F$156,$F41,ЭнергоРесурсы!$G$26:$G$156,$G41)</f>
        <v>0</v>
      </c>
      <c r="AX41" s="307">
        <f>_xlfn.SUMIFS(ЭнергоРесурсы!AW$26:AW$156,ЭнергоРесурсы!$F$26:$F$156,$F41,ЭнергоРесурсы!$G$26:$G$156,$G41)</f>
        <v>0</v>
      </c>
      <c r="AY41" s="307">
        <f>_xlfn.SUMIFS(ЭнергоРесурсы!AX$26:AX$156,ЭнергоРесурсы!$F$26:$F$156,$F41,ЭнергоРесурсы!$G$26:$G$156,$G41)</f>
        <v>0</v>
      </c>
      <c r="AZ41" s="307">
        <f>_xlfn.SUMIFS(ЭнергоРесурсы!AY$26:AY$156,ЭнергоРесурсы!$F$26:$F$156,$F41,ЭнергоРесурсы!$G$26:$G$156,$G41)</f>
        <v>0</v>
      </c>
      <c r="BA41" s="307">
        <f>_xlfn.SUMIFS(ЭнергоРесурсы!AZ$26:AZ$156,ЭнергоРесурсы!$F$26:$F$156,$F41,ЭнергоРесурсы!$G$26:$G$156,$G41)</f>
        <v>0</v>
      </c>
      <c r="BB41" s="307">
        <f>_xlfn.SUMIFS(ЭнергоРесурсы!BA$26:BA$156,ЭнергоРесурсы!$F$26:$F$156,$F41,ЭнергоРесурсы!$G$26:$G$156,$G41)</f>
        <v>0</v>
      </c>
      <c r="BC41" s="307">
        <f>_xlfn.SUMIFS(ЭнергоРесурсы!BB$26:BB$156,ЭнергоРесурсы!$F$26:$F$156,$F41,ЭнергоРесурсы!$G$26:$G$156,$G41)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30"/>
      <c r="BO41" s="1730"/>
      <c r="BP41" s="1730"/>
      <c r="BQ41" s="227"/>
      <c r="BR41" s="227"/>
      <c r="BS41" s="1203" t="s">
        <v>1388</v>
      </c>
    </row>
    <row s="1619" customFormat="1" customHeight="1" ht="16.5" hidden="1">
      <c r="A42" s="225"/>
      <c r="B42" s="924"/>
      <c r="C42" s="225"/>
      <c r="D42" s="225"/>
      <c r="E42" s="794">
        <v>17</v>
      </c>
      <c r="F42" s="919" cm="1" t="str">
        <f t="array" ref="F42:F42">OFFSET(G42,-1,-1)</f>
        <v>1</v>
      </c>
      <c r="G42" s="190" t="s">
        <v>962</v>
      </c>
      <c r="H42" s="227"/>
      <c r="I42" s="227"/>
      <c r="J42" s="227"/>
      <c r="K42" s="227"/>
      <c r="L42" s="227"/>
      <c r="M42" s="227"/>
      <c r="N42" s="227"/>
      <c r="O42" s="227"/>
      <c r="P42" s="227"/>
      <c r="Q42" s="190"/>
      <c r="R42" s="190" t="s">
        <v>963</v>
      </c>
      <c r="S42" s="227"/>
      <c r="T42" s="805">
        <f>AND(T41,G37="двухставочный")</f>
        <v>0</v>
      </c>
      <c r="U42" s="225"/>
      <c r="V42" s="225"/>
      <c r="W42" s="225"/>
      <c r="X42" s="225"/>
      <c r="Y42" s="225"/>
      <c r="Z42" s="225"/>
      <c r="AA42" s="227"/>
      <c r="AB42" s="285" t="s">
        <v>710</v>
      </c>
      <c r="AC42" s="1080" t="s">
        <v>965</v>
      </c>
      <c r="AD42" s="1028" t="s">
        <v>805</v>
      </c>
      <c r="AE42" s="548">
        <f>_xlfn.SUMIFS(ЭнергоРесурсы!AE$26:AE$156,ЭнергоРесурсы!$F$26:$F$156,$F42,ЭнергоРесурсы!$G$26:$G$156,$G42)</f>
        <v>0</v>
      </c>
      <c r="AF42" s="548">
        <f>_xlfn.SUMIFS(ЭнергоРесурсы!AF$26:AF$156,ЭнергоРесурсы!$F$26:$F$156,$F42,ЭнергоРесурсы!$G$26:$G$156,$G42)</f>
        <v>0</v>
      </c>
      <c r="AG42" s="548">
        <f>_xlfn.SUMIFS(ЭнергоРесурсы!AG$26:AG$156,ЭнергоРесурсы!$F$26:$F$156,$F42,ЭнергоРесурсы!$G$26:$G$156,$G42)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Q42" s="227"/>
      <c r="BR42" s="227"/>
      <c r="BS42" s="1203" t="s">
        <v>1389</v>
      </c>
    </row>
    <row s="1619" customFormat="1" customHeight="1" ht="16.5">
      <c r="A43" s="225"/>
      <c r="B43" s="924"/>
      <c r="C43" s="225"/>
      <c r="D43" s="225"/>
      <c r="E43" s="794">
        <v>17</v>
      </c>
      <c r="F43" s="919" cm="1" t="str">
        <f t="array" ref="F43:F43">OFFSET(G43,-1,-1)</f>
        <v>1</v>
      </c>
      <c r="G43" s="190" t="s">
        <v>992</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624</v>
      </c>
      <c r="AC43" s="1001" t="s">
        <v>993</v>
      </c>
      <c r="AD43" s="170" t="s">
        <v>1019</v>
      </c>
      <c r="AE43" s="307">
        <f>_xlfn.SUMIFS('ХВС, ТН'!AE$26:AE$72,'ХВС, ТН'!$F$26:$F$72,$F43,'ХВС, ТН'!$G$26:$G$72,$G43)</f>
        <v>0</v>
      </c>
      <c r="AF43" s="307">
        <f>_xlfn.SUMIFS('ХВС, ТН'!AF$26:AF$72,'ХВС, ТН'!$F$26:$F$72,$F43,'ХВС, ТН'!$G$26:$G$72,$G43)</f>
        <v>0</v>
      </c>
      <c r="AG43" s="307">
        <f>_xlfn.SUMIFS('ХВС, ТН'!AG$26:AG$72,'ХВС, ТН'!$F$26:$F$72,$F43,'ХВС, ТН'!$G$26:$G$72,$G43)</f>
        <v>0</v>
      </c>
      <c r="AH43" s="307">
        <f>AG43-AF43</f>
        <v>0</v>
      </c>
      <c r="AI43" s="547">
        <f>_xlfn.SUMIFS('ХВС, ТН'!AH$26:AH$72,'ХВС, ТН'!$F$26:$F$72,$F43,'ХВС, ТН'!$G$26:$G$72,$G43)</f>
        <v>0</v>
      </c>
      <c r="AJ43" s="547">
        <f>_xlfn.SUMIFS('ХВС, ТН'!AI$26:AI$72,'ХВС, ТН'!$F$26:$F$72,$F43,'ХВС, ТН'!$G$26:$G$72,$G43)</f>
        <v>159</v>
      </c>
      <c r="AK43" s="547">
        <f>_xlfn.SUMIFS('ХВС, ТН'!AJ$26:AJ$72,'ХВС, ТН'!$F$26:$F$72,$F43,'ХВС, ТН'!$G$26:$G$72,$G43)</f>
        <v>166</v>
      </c>
      <c r="AL43" s="547">
        <f>_xlfn.SUMIFS('ХВС, ТН'!AK$26:AK$72,'ХВС, ТН'!$F$26:$F$72,$F43,'ХВС, ТН'!$G$26:$G$72,$G43)</f>
        <v>172</v>
      </c>
      <c r="AM43" s="547">
        <f>_xlfn.SUMIFS('ХВС, ТН'!AL$26:AL$72,'ХВС, ТН'!$F$26:$F$72,$F43,'ХВС, ТН'!$G$26:$G$72,$G43)</f>
        <v>179</v>
      </c>
      <c r="AN43" s="547">
        <f>_xlfn.SUMIFS('ХВС, ТН'!AM$26:AM$72,'ХВС, ТН'!$F$26:$F$72,$F43,'ХВС, ТН'!$G$26:$G$72,$G43)</f>
        <v>186</v>
      </c>
      <c r="AO43" s="547">
        <f>_xlfn.SUMIFS('ХВС, ТН'!AN$26:AN$72,'ХВС, ТН'!$F$26:$F$72,$F43,'ХВС, ТН'!$G$26:$G$72,$G43)</f>
        <v>0</v>
      </c>
      <c r="AP43" s="547">
        <f>_xlfn.SUMIFS('ХВС, ТН'!AO$26:AO$72,'ХВС, ТН'!$F$26:$F$72,$F43,'ХВС, ТН'!$G$26:$G$72,$G43)</f>
        <v>0</v>
      </c>
      <c r="AQ43" s="547">
        <f>_xlfn.SUMIFS('ХВС, ТН'!AP$26:AP$72,'ХВС, ТН'!$F$26:$F$72,$F43,'ХВС, ТН'!$G$26:$G$72,$G43)</f>
        <v>0</v>
      </c>
      <c r="AR43" s="547">
        <f>_xlfn.SUMIFS('ХВС, ТН'!AQ$26:AQ$72,'ХВС, ТН'!$F$26:$F$72,$F43,'ХВС, ТН'!$G$26:$G$72,$G43)</f>
        <v>0</v>
      </c>
      <c r="AS43" s="547">
        <f>_xlfn.SUMIFS('ХВС, ТН'!AR$26:AR$72,'ХВС, ТН'!$F$26:$F$72,$F43,'ХВС, ТН'!$G$26:$G$72,$G43)</f>
        <v>0</v>
      </c>
      <c r="AT43" s="547">
        <f>_xlfn.SUMIFS('ХВС, ТН'!AS$26:AS$72,'ХВС, ТН'!$F$26:$F$72,$F43,'ХВС, ТН'!$G$26:$G$72,$G43)</f>
        <v>127</v>
      </c>
      <c r="AU43" s="547">
        <f>_xlfn.SUMIFS('ХВС, ТН'!AT$26:AT$72,'ХВС, ТН'!$F$26:$F$72,$F43,'ХВС, ТН'!$G$26:$G$72,$G43)</f>
        <v>132</v>
      </c>
      <c r="AV43" s="547">
        <f>_xlfn.SUMIFS('ХВС, ТН'!AU$26:AU$72,'ХВС, ТН'!$F$26:$F$72,$F43,'ХВС, ТН'!$G$26:$G$72,$G43)</f>
        <v>137</v>
      </c>
      <c r="AW43" s="547">
        <f>_xlfn.SUMIFS('ХВС, ТН'!AV$26:AV$72,'ХВС, ТН'!$F$26:$F$72,$F43,'ХВС, ТН'!$G$26:$G$72,$G43)</f>
        <v>142</v>
      </c>
      <c r="AX43" s="547">
        <f>_xlfn.SUMIFS('ХВС, ТН'!AW$26:AW$72,'ХВС, ТН'!$F$26:$F$72,$F43,'ХВС, ТН'!$G$26:$G$72,$G43)</f>
        <v>148</v>
      </c>
      <c r="AY43" s="547">
        <f>_xlfn.SUMIFS('ХВС, ТН'!AX$26:AX$72,'ХВС, ТН'!$F$26:$F$72,$F43,'ХВС, ТН'!$G$26:$G$72,$G43)</f>
        <v>0</v>
      </c>
      <c r="AZ43" s="547">
        <f>_xlfn.SUMIFS('ХВС, ТН'!AY$26:AY$72,'ХВС, ТН'!$F$26:$F$72,$F43,'ХВС, ТН'!$G$26:$G$72,$G43)</f>
        <v>0</v>
      </c>
      <c r="BA43" s="547">
        <f>_xlfn.SUMIFS('ХВС, ТН'!AZ$26:AZ$72,'ХВС, ТН'!$F$26:$F$72,$F43,'ХВС, ТН'!$G$26:$G$72,$G43)</f>
        <v>0</v>
      </c>
      <c r="BB43" s="547">
        <f>_xlfn.SUMIFS('ХВС, ТН'!BA$26:BA$72,'ХВС, ТН'!$F$26:$F$72,$F43,'ХВС, ТН'!$G$26:$G$72,$G43)</f>
        <v>0</v>
      </c>
      <c r="BC43" s="547">
        <f>_xlfn.SUMIFS('ХВС, ТН'!BB$26:BB$72,'ХВС, ТН'!$F$26:$F$72,$F43,'ХВС, ТН'!$G$26:$G$72,$G43)</f>
        <v>0</v>
      </c>
      <c r="BD43" s="307">
        <f>IF(AI43=0,0,(AT43-AI43)/AI43*100)</f>
        <v>0</v>
      </c>
      <c r="BE43" s="307">
        <f>IF(AT43=0,0,(AU43-AT43)/AT43*100)</f>
        <v>3.93700787401575</v>
      </c>
      <c r="BF43" s="307">
        <f>IF(AU43=0,0,(AV43-AU43)/AU43*100)</f>
        <v>3.78787878787879</v>
      </c>
      <c r="BG43" s="307">
        <f>IF(AV43=0,0,(AW43-AV43)/AV43*100)</f>
        <v>3.64963503649635</v>
      </c>
      <c r="BH43" s="307">
        <f>IF(AW43=0,0,(AX43-AW43)/AW43*100)</f>
        <v>4.22535211267606</v>
      </c>
      <c r="BI43" s="307">
        <f>IF(AX43=0,0,(AY43-AX43)/AX43*100)</f>
        <v>-100</v>
      </c>
      <c r="BJ43" s="307">
        <f>IF(AY43=0,0,(AZ43-AY43)/AY43*100)</f>
        <v>0</v>
      </c>
      <c r="BK43" s="307">
        <f>IF(AZ43=0,0,(BA43-AZ43)/AZ43*100)</f>
        <v>0</v>
      </c>
      <c r="BL43" s="307">
        <f>IF(BA43=0,0,(BB43-BA43)/BA43*100)</f>
        <v>0</v>
      </c>
      <c r="BM43" s="307">
        <f>IF(BB43=0,0,(BC43-BB43)/BB43*100)</f>
        <v>0</v>
      </c>
      <c r="BN43" s="1730"/>
      <c r="BO43" s="1730"/>
      <c r="BP43" s="1730"/>
      <c r="BQ43" s="227"/>
      <c r="BR43" s="227"/>
      <c r="BS43" s="1203" t="s">
        <v>1390</v>
      </c>
    </row>
    <row s="1619" customFormat="1" customHeight="1" ht="16.5">
      <c r="A44" s="225"/>
      <c r="B44" s="924"/>
      <c r="C44" s="225"/>
      <c r="D44" s="225"/>
      <c r="E44" s="794">
        <v>17</v>
      </c>
      <c r="F44" s="919" cm="1" t="str">
        <f t="array" ref="F44:F44">OFFSET(G44,-1,-1)</f>
        <v>1</v>
      </c>
      <c r="G44" s="190" t="s">
        <v>1003</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629</v>
      </c>
      <c r="AC44" s="1001" t="s">
        <v>1004</v>
      </c>
      <c r="AD44" s="170" t="s">
        <v>1019</v>
      </c>
      <c r="AE44" s="307">
        <f>_xlfn.SUMIFS('ХВС, ТН'!AE$26:AE$72,'ХВС, ТН'!$F$26:$F$72,$F44,'ХВС, ТН'!$G$26:$G$72,$G44)</f>
        <v>0</v>
      </c>
      <c r="AF44" s="307">
        <f>_xlfn.SUMIFS('ХВС, ТН'!AF$26:AF$72,'ХВС, ТН'!$F$26:$F$72,$F44,'ХВС, ТН'!$G$26:$G$72,$G44)</f>
        <v>0</v>
      </c>
      <c r="AG44" s="307">
        <f>_xlfn.SUMIFS('ХВС, ТН'!AG$26:AG$72,'ХВС, ТН'!$F$26:$F$72,$F44,'ХВС, ТН'!$G$26:$G$72,$G44)</f>
        <v>0</v>
      </c>
      <c r="AH44" s="307">
        <f>AG44-AF44</f>
        <v>0</v>
      </c>
      <c r="AI44" s="547">
        <f>_xlfn.SUMIFS('ХВС, ТН'!AH$26:AH$72,'ХВС, ТН'!$F$26:$F$72,$F44,'ХВС, ТН'!$G$26:$G$72,$G44)</f>
        <v>0</v>
      </c>
      <c r="AJ44" s="547">
        <f>_xlfn.SUMIFS('ХВС, ТН'!AI$26:AI$72,'ХВС, ТН'!$F$26:$F$72,$F44,'ХВС, ТН'!$G$26:$G$72,$G44)</f>
        <v>0</v>
      </c>
      <c r="AK44" s="547">
        <f>_xlfn.SUMIFS('ХВС, ТН'!AJ$26:AJ$72,'ХВС, ТН'!$F$26:$F$72,$F44,'ХВС, ТН'!$G$26:$G$72,$G44)</f>
        <v>0</v>
      </c>
      <c r="AL44" s="547">
        <f>_xlfn.SUMIFS('ХВС, ТН'!AK$26:AK$72,'ХВС, ТН'!$F$26:$F$72,$F44,'ХВС, ТН'!$G$26:$G$72,$G44)</f>
        <v>0</v>
      </c>
      <c r="AM44" s="547">
        <f>_xlfn.SUMIFS('ХВС, ТН'!AL$26:AL$72,'ХВС, ТН'!$F$26:$F$72,$F44,'ХВС, ТН'!$G$26:$G$72,$G44)</f>
        <v>0</v>
      </c>
      <c r="AN44" s="547">
        <f>_xlfn.SUMIFS('ХВС, ТН'!AM$26:AM$72,'ХВС, ТН'!$F$26:$F$72,$F44,'ХВС, ТН'!$G$26:$G$72,$G44)</f>
        <v>0</v>
      </c>
      <c r="AO44" s="547">
        <f>_xlfn.SUMIFS('ХВС, ТН'!AN$26:AN$72,'ХВС, ТН'!$F$26:$F$72,$F44,'ХВС, ТН'!$G$26:$G$72,$G44)</f>
        <v>0</v>
      </c>
      <c r="AP44" s="547">
        <f>_xlfn.SUMIFS('ХВС, ТН'!AO$26:AO$72,'ХВС, ТН'!$F$26:$F$72,$F44,'ХВС, ТН'!$G$26:$G$72,$G44)</f>
        <v>0</v>
      </c>
      <c r="AQ44" s="547">
        <f>_xlfn.SUMIFS('ХВС, ТН'!AP$26:AP$72,'ХВС, ТН'!$F$26:$F$72,$F44,'ХВС, ТН'!$G$26:$G$72,$G44)</f>
        <v>0</v>
      </c>
      <c r="AR44" s="547">
        <f>_xlfn.SUMIFS('ХВС, ТН'!AQ$26:AQ$72,'ХВС, ТН'!$F$26:$F$72,$F44,'ХВС, ТН'!$G$26:$G$72,$G44)</f>
        <v>0</v>
      </c>
      <c r="AS44" s="547">
        <f>_xlfn.SUMIFS('ХВС, ТН'!AR$26:AR$72,'ХВС, ТН'!$F$26:$F$72,$F44,'ХВС, ТН'!$G$26:$G$72,$G44)</f>
        <v>0</v>
      </c>
      <c r="AT44" s="547">
        <f>_xlfn.SUMIFS('ХВС, ТН'!AS$26:AS$72,'ХВС, ТН'!$F$26:$F$72,$F44,'ХВС, ТН'!$G$26:$G$72,$G44)</f>
        <v>0</v>
      </c>
      <c r="AU44" s="547">
        <f>_xlfn.SUMIFS('ХВС, ТН'!AT$26:AT$72,'ХВС, ТН'!$F$26:$F$72,$F44,'ХВС, ТН'!$G$26:$G$72,$G44)</f>
        <v>0</v>
      </c>
      <c r="AV44" s="547">
        <f>_xlfn.SUMIFS('ХВС, ТН'!AU$26:AU$72,'ХВС, ТН'!$F$26:$F$72,$F44,'ХВС, ТН'!$G$26:$G$72,$G44)</f>
        <v>0</v>
      </c>
      <c r="AW44" s="547">
        <f>_xlfn.SUMIFS('ХВС, ТН'!AV$26:AV$72,'ХВС, ТН'!$F$26:$F$72,$F44,'ХВС, ТН'!$G$26:$G$72,$G44)</f>
        <v>0</v>
      </c>
      <c r="AX44" s="547">
        <f>_xlfn.SUMIFS('ХВС, ТН'!AW$26:AW$72,'ХВС, ТН'!$F$26:$F$72,$F44,'ХВС, ТН'!$G$26:$G$72,$G44)</f>
        <v>0</v>
      </c>
      <c r="AY44" s="547">
        <f>_xlfn.SUMIFS('ХВС, ТН'!AX$26:AX$72,'ХВС, ТН'!$F$26:$F$72,$F44,'ХВС, ТН'!$G$26:$G$72,$G44)</f>
        <v>0</v>
      </c>
      <c r="AZ44" s="547">
        <f>_xlfn.SUMIFS('ХВС, ТН'!AY$26:AY$72,'ХВС, ТН'!$F$26:$F$72,$F44,'ХВС, ТН'!$G$26:$G$72,$G44)</f>
        <v>0</v>
      </c>
      <c r="BA44" s="547">
        <f>_xlfn.SUMIFS('ХВС, ТН'!AZ$26:AZ$72,'ХВС, ТН'!$F$26:$F$72,$F44,'ХВС, ТН'!$G$26:$G$72,$G44)</f>
        <v>0</v>
      </c>
      <c r="BB44" s="547">
        <f>_xlfn.SUMIFS('ХВС, ТН'!BA$26:BA$72,'ХВС, ТН'!$F$26:$F$72,$F44,'ХВС, ТН'!$G$26:$G$72,$G44)</f>
        <v>0</v>
      </c>
      <c r="BC44" s="547">
        <f>_xlfn.SUMIFS('ХВС, ТН'!BB$26:BB$72,'ХВС, ТН'!$F$26:$F$72,$F44,'ХВС, ТН'!$G$26:$G$72,$G44)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30"/>
      <c r="BO44" s="1730"/>
      <c r="BP44" s="1730"/>
      <c r="BQ44" s="227"/>
      <c r="BR44" s="227"/>
      <c r="BS44" s="1203" t="s">
        <v>1391</v>
      </c>
    </row>
    <row s="1619" customFormat="1" customHeight="1" ht="16.5">
      <c r="A45" s="225"/>
      <c r="B45" s="924"/>
      <c r="C45" s="225"/>
      <c r="D45" s="225"/>
      <c r="E45" s="794">
        <v>17</v>
      </c>
      <c r="F45" s="919" cm="1" t="str">
        <f t="array" ref="F45:F45">OFFSET(G45,-1,-1)</f>
        <v>1</v>
      </c>
      <c r="G45" s="190" t="s">
        <v>1392</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632</v>
      </c>
      <c r="AC45" s="160" t="s">
        <v>1375</v>
      </c>
      <c r="AD45" s="322" t="s">
        <v>1019</v>
      </c>
      <c r="AE45" s="306">
        <f>AE39+AE40+AE41+AE43+AE44</f>
        <v>0</v>
      </c>
      <c r="AF45" s="306">
        <f>AF39+AF40+AF41+AF43+AF44</f>
        <v>0</v>
      </c>
      <c r="AG45" s="306">
        <f>AG39+AG40+AG41+AG43+AG44</f>
        <v>0</v>
      </c>
      <c r="AH45" s="306">
        <f>AG45-AF45</f>
        <v>0</v>
      </c>
      <c r="AI45" s="1079">
        <f>AI39+AI40+AI41+AI43+AI44</f>
        <v>0</v>
      </c>
      <c r="AJ45" s="667">
        <f>AJ39+AJ40+AJ41+AJ43+AJ44</f>
        <v>4941.9999935</v>
      </c>
      <c r="AK45" s="667">
        <f>AK39+AK40+AK41+AK43+AK44</f>
        <v>5210.998484</v>
      </c>
      <c r="AL45" s="667">
        <f>AL39+AL40+AL41+AL43+AL44</f>
        <v>5407.9996015</v>
      </c>
      <c r="AM45" s="667">
        <f>AM39+AM40+AM41+AM43+AM44</f>
        <v>5613.9992955</v>
      </c>
      <c r="AN45" s="667">
        <f>AN39+AN40+AN41+AN43+AN44</f>
        <v>5828.0043105</v>
      </c>
      <c r="AO45" s="667">
        <f>AO39+AO40+AO41+AO43+AO44</f>
        <v>0</v>
      </c>
      <c r="AP45" s="667">
        <f>AP39+AP40+AP41+AP43+AP44</f>
        <v>0</v>
      </c>
      <c r="AQ45" s="667">
        <f>AQ39+AQ40+AQ41+AQ43+AQ44</f>
        <v>0</v>
      </c>
      <c r="AR45" s="667">
        <f>AR39+AR40+AR41+AR43+AR44</f>
        <v>0</v>
      </c>
      <c r="AS45" s="667">
        <f>AS39+AS40+AS41+AS43+AS44</f>
        <v>0</v>
      </c>
      <c r="AT45" s="667">
        <f>AT39+AT40+AT41+AT43+AT44</f>
        <v>4273.0440814893</v>
      </c>
      <c r="AU45" s="667">
        <f>AU39+AU40+AU41+AU43+AU44</f>
        <v>4472.72384966631</v>
      </c>
      <c r="AV45" s="667">
        <f>AV39+AV40+AV41+AV43+AV44</f>
        <v>4601.06399719003</v>
      </c>
      <c r="AW45" s="667">
        <f>AW39+AW40+AW41+AW43+AW44</f>
        <v>4733.35876361082</v>
      </c>
      <c r="AX45" s="667">
        <f>AX39+AX40+AX41+AX43+AX44</f>
        <v>4870.68514225501</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4.67300978808099</v>
      </c>
      <c r="BF45" s="667">
        <f>IF(AU45=0,0,(AV45-AU45)/AU45*100)</f>
        <v>2.86939573819865</v>
      </c>
      <c r="BG45" s="667">
        <f>IF(AV45=0,0,(AW45-AV45)/AV45*100)</f>
        <v>2.87530811354906</v>
      </c>
      <c r="BH45" s="667">
        <f>IF(AW45=0,0,(AX45-AW45)/AW45*100)</f>
        <v>2.90124593343589</v>
      </c>
      <c r="BI45" s="667">
        <f>IF(AX45=0,0,(AY45-AX45)/AX45*100)</f>
        <v>-100</v>
      </c>
      <c r="BJ45" s="667">
        <f>IF(AY45=0,0,(AZ45-AY45)/AY45*100)</f>
        <v>0</v>
      </c>
      <c r="BK45" s="667">
        <f>IF(AZ45=0,0,(BA45-AZ45)/AZ45*100)</f>
        <v>0</v>
      </c>
      <c r="BL45" s="667">
        <f>IF(BA45=0,0,(BB45-BA45)/BA45*100)</f>
        <v>0</v>
      </c>
      <c r="BM45" s="667">
        <f>IF(BB45=0,0,(BC45-BB45)/BB45*100)</f>
        <v>0</v>
      </c>
      <c r="BN45" s="1741"/>
      <c r="BO45" s="1741"/>
      <c r="BP45" s="1741"/>
      <c r="BQ45" s="227"/>
      <c r="BR45" s="227"/>
      <c r="BS45" s="1203" t="s">
        <v>592</v>
      </c>
    </row>
    <row s="1619" customFormat="1" customHeight="1" ht="16.5" hidden="1">
      <c r="A46" s="225"/>
      <c r="B46" s="924"/>
      <c r="C46" s="225"/>
      <c r="D46" s="225"/>
      <c r="E46" s="794">
        <v>17</v>
      </c>
      <c r="F46" s="919" cm="1" t="str">
        <f t="array" ref="F46:F46">OFFSET(G46,-1,-1)</f>
        <v>1</v>
      </c>
      <c r="G46" s="190" t="s">
        <v>962</v>
      </c>
      <c r="H46" s="227"/>
      <c r="I46" s="227"/>
      <c r="J46" s="227"/>
      <c r="K46" s="227"/>
      <c r="L46" s="227"/>
      <c r="M46" s="227"/>
      <c r="N46" s="227"/>
      <c r="O46" s="227"/>
      <c r="P46" s="227"/>
      <c r="Q46" s="190"/>
      <c r="R46" s="190" t="s">
        <v>963</v>
      </c>
      <c r="S46" s="227"/>
      <c r="T46" s="805" cm="1" t="str">
        <f t="array" ref="T46:T46">T42</f>
        <v>false</v>
      </c>
      <c r="U46" s="225"/>
      <c r="V46" s="225"/>
      <c r="W46" s="225"/>
      <c r="X46" s="225"/>
      <c r="Y46" s="225"/>
      <c r="Z46" s="225"/>
      <c r="AA46" s="227"/>
      <c r="AB46" s="577" t="s">
        <v>1393</v>
      </c>
      <c r="AC46" s="291" t="s">
        <v>965</v>
      </c>
      <c r="AD46" s="151" t="s">
        <v>805</v>
      </c>
      <c r="AE46" s="307">
        <f>SUM(AE39,AE42)</f>
        <v>0</v>
      </c>
      <c r="AF46" s="307">
        <f>SUM(AF39,AF42)</f>
        <v>0</v>
      </c>
      <c r="AG46" s="307">
        <f>SUM(AG39,AG42)</f>
        <v>0</v>
      </c>
      <c r="AH46" s="307">
        <f>AG46-AF46</f>
        <v>0</v>
      </c>
      <c r="AI46" s="514">
        <f>SUM(AI39,AI42)</f>
        <v>0</v>
      </c>
      <c r="AJ46" s="307">
        <f>SUM(AJ39,AJ42)</f>
        <v>4485.9999935</v>
      </c>
      <c r="AK46" s="307">
        <f>SUM(AK39,AK42)</f>
        <v>4735.998484</v>
      </c>
      <c r="AL46" s="307">
        <f>SUM(AL39,AL42)</f>
        <v>4914.9996015</v>
      </c>
      <c r="AM46" s="307">
        <f>SUM(AM39,AM42)</f>
        <v>5100.9992955</v>
      </c>
      <c r="AN46" s="307">
        <f>SUM(AN39,AN42)</f>
        <v>5295.0043105</v>
      </c>
      <c r="AO46" s="307">
        <f>SUM(AO39,AO42)</f>
        <v>0</v>
      </c>
      <c r="AP46" s="307">
        <f>SUM(AP39,AP42)</f>
        <v>0</v>
      </c>
      <c r="AQ46" s="307">
        <f>SUM(AQ39,AQ42)</f>
        <v>0</v>
      </c>
      <c r="AR46" s="307">
        <f>SUM(AR39,AR42)</f>
        <v>0</v>
      </c>
      <c r="AS46" s="307">
        <f>SUM(AS39,AS42)</f>
        <v>0</v>
      </c>
      <c r="AT46" s="307">
        <f>SUM(AT39,AT42)</f>
        <v>3879.0440814893</v>
      </c>
      <c r="AU46" s="307">
        <f>SUM(AU39,AU42)</f>
        <v>4049.72384966631</v>
      </c>
      <c r="AV46" s="307">
        <f>SUM(AV39,AV42)</f>
        <v>4159.06399719003</v>
      </c>
      <c r="AW46" s="307">
        <f>SUM(AW39,AW42)</f>
        <v>4271.35876361082</v>
      </c>
      <c r="AX46" s="307">
        <f>SUM(AX39,AX42)</f>
        <v>4386.68514225501</v>
      </c>
      <c r="AY46" s="307">
        <f>SUM(AY39,AY42)</f>
        <v>0</v>
      </c>
      <c r="AZ46" s="307">
        <f>SUM(AZ39,AZ42)</f>
        <v>0</v>
      </c>
      <c r="BA46" s="307">
        <f>SUM(BA39,BA42)</f>
        <v>0</v>
      </c>
      <c r="BB46" s="307">
        <f>SUM(BB39,BB42)</f>
        <v>0</v>
      </c>
      <c r="BC46" s="307">
        <f>SUM(BC39,BC42)</f>
        <v>0</v>
      </c>
      <c r="BD46" s="307">
        <f>IF(AI46=0,0,(AT46-AI46)/AI46*100)</f>
        <v>0</v>
      </c>
      <c r="BE46" s="307">
        <f>IF(AT46=0,0,(AU46-AT46)/AT46*100)</f>
        <v>4.40004714026039</v>
      </c>
      <c r="BF46" s="307">
        <f>IF(AU46=0,0,(AV46-AU46)/AU46*100)</f>
        <v>2.69994082516835</v>
      </c>
      <c r="BG46" s="307">
        <f>IF(AV46=0,0,(AW46-AV46)/AV46*100)</f>
        <v>2.70000092560871</v>
      </c>
      <c r="BH46" s="307">
        <f>IF(AW46=0,0,(AX46-AW46)/AW46*100)</f>
        <v>2.69999278980486</v>
      </c>
      <c r="BI46" s="307">
        <f>IF(AX46=0,0,(AY46-AX46)/AX46*100)</f>
        <v>-100</v>
      </c>
      <c r="BJ46" s="307">
        <f>IF(AY46=0,0,(AZ46-AY46)/AY46*100)</f>
        <v>0</v>
      </c>
      <c r="BK46" s="307">
        <f>IF(AZ46=0,0,(BA46-AZ46)/AZ46*100)</f>
        <v>0</v>
      </c>
      <c r="BL46" s="307">
        <f>IF(BA46=0,0,(BB46-BA46)/BA46*100)</f>
        <v>0</v>
      </c>
      <c r="BM46" s="307">
        <f>IF(BB46=0,0,(BC46-BB46)/BB46*100)</f>
        <v>0</v>
      </c>
      <c r="BN46" s="79"/>
      <c r="BO46" s="79"/>
      <c r="BP46" s="79"/>
      <c r="BQ46" s="227"/>
      <c r="BR46" s="227"/>
      <c r="BS46" s="1203" t="s">
        <v>1394</v>
      </c>
    </row>
    <row s="1916" customFormat="1" customHeight="1" ht="16.5">
      <c r="A47" s="217"/>
      <c r="B47" s="217"/>
      <c r="C47" s="217"/>
      <c r="D47" s="217"/>
      <c r="E47" s="794">
        <v>17</v>
      </c>
      <c r="F47" s="919" cm="1" t="str">
        <f t="array" ref="F47:F47">X47</f>
        <v>2</v>
      </c>
      <c r="G47" s="736" cm="1" t="str">
        <f t="array" ref="G47:G47">INDEX('Общие сведения'!$AK$169:$AK$218,MATCH($F47,'Общие сведения'!$Z$169:$Z$218,0))</f>
        <v>одноставочный</v>
      </c>
      <c r="H47" s="217"/>
      <c r="I47" s="210" cm="1" t="str">
        <f t="array" ref="I47:I47">INDEX('Общие сведения'!$AE$169:$AE$218,MATCH($F47,'Общие сведения'!$Z$169:$Z$218,0))</f>
        <v>Теплоснабжение</v>
      </c>
      <c r="J47" s="210" cm="1" t="str">
        <f t="array" ref="J47:J47">INDEX('Общие сведения'!$AK$169:$AK$218,MATCH($F47,'Общие сведения'!$Z$169:$Z$218,0))</f>
        <v>одноставочный</v>
      </c>
      <c r="K47" s="210" cm="1" t="str">
        <f t="array" ref="K47:K47">INDEX('Общие сведения'!$AH$169:$AH$218,MATCH($F47,'Общие сведения'!$Z$169:$Z$218,0))</f>
        <v>0</v>
      </c>
      <c r="L47" s="210" cm="1" t="str">
        <f t="array" ref="L47:L47">INDEX('Общие сведения'!$AI$169:$AI$218,MATCH($F47,'Общие сведения'!$Z$169:$Z$218,0))</f>
        <v>вода</v>
      </c>
      <c r="M47" s="210" cm="1" t="str">
        <f t="array" ref="M47:M47">INDEX('Общие сведения'!$AJ$169:$AJ$218,MATCH($F47,'Общие сведения'!$Z$169:$Z$218,0))</f>
        <v>Тариф: Носитель - горячая вода (Т); Носитель - горячая вода (Т)</v>
      </c>
      <c r="N47" s="217"/>
      <c r="O47" s="217"/>
      <c r="P47" s="217"/>
      <c r="Q47" s="217"/>
      <c r="R47" s="217"/>
      <c r="S47" s="217"/>
      <c r="T47" s="805">
        <f>X47&gt;0</f>
        <v>1</v>
      </c>
      <c r="U47" s="217"/>
      <c r="V47" s="172" cm="1" t="str">
        <f t="array" ref="V47:V47">'Неподконтрольные (5.3)'!$AB$67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47" s="217"/>
      <c r="X47" s="172" t="s">
        <v>343</v>
      </c>
      <c r="Y47" s="217"/>
      <c r="Z47" s="217"/>
      <c r="AA47" s="217"/>
      <c r="AB47" s="327" cm="1" t="str">
        <f t="array" ref="AB47:AB47">IF(ISBLANK('Неподконтрольные (5.3)'!$AB$67),"",'Неподконтрольные (5.3)'!$AB$67)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203" t="str">
        <f>IF(AND(ISNUMBER(VALUE(TRIM(SUBSTITUTE(AB48,".","")))),TRIM(SUBSTITUTE(AB48,".",""))&lt;&gt;""),"P"&amp;SUBSTITUTE(AB48,".",""),"")</f>
        <v/>
      </c>
    </row>
    <row s="1917" customFormat="1" customHeight="1" ht="16.5">
      <c r="A48" s="217"/>
      <c r="B48" s="217"/>
      <c r="C48" s="217"/>
      <c r="D48" s="217"/>
      <c r="E48" s="794">
        <v>17</v>
      </c>
      <c r="F48" s="919" cm="1" t="str">
        <f t="array" ref="F48:F48">OFFSET(G48,-1,-1)</f>
        <v>2</v>
      </c>
      <c r="G48" s="217"/>
      <c r="H48" s="217"/>
      <c r="I48" s="217"/>
      <c r="J48" s="217"/>
      <c r="K48" s="227" t="str">
        <f>F48&amp;"komm"</f>
        <v>2komm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1383</v>
      </c>
      <c r="AC48" s="1546"/>
      <c r="AD48" s="302" t="s">
        <v>805</v>
      </c>
      <c r="AE48" s="306" cm="1" t="str">
        <f t="array" ref="AE48:AE48">AE55</f>
        <v>0</v>
      </c>
      <c r="AF48" s="306" cm="1" t="str">
        <f t="array" ref="AF48:AF48">AF55</f>
        <v>0</v>
      </c>
      <c r="AG48" s="306" cm="1" t="str">
        <f t="array" ref="AG48:AG48">AG55</f>
        <v>0</v>
      </c>
      <c r="AH48" s="306" cm="1" t="str">
        <f t="array" ref="AH48:AH48">AH55</f>
        <v>0</v>
      </c>
      <c r="AI48" s="306" cm="1" t="str">
        <f t="array" ref="AI48:AI48">AI55</f>
        <v>0</v>
      </c>
      <c r="AJ48" s="306" cm="1" t="str">
        <f t="array" ref="AJ48:AJ48">AJ55</f>
        <v>4941.9999935</v>
      </c>
      <c r="AK48" s="306" cm="1" t="str">
        <f t="array" ref="AK48:AK48">AK55</f>
        <v>5210.998484</v>
      </c>
      <c r="AL48" s="306" cm="1" t="str">
        <f t="array" ref="AL48:AL48">AL55</f>
        <v>5407.9996015</v>
      </c>
      <c r="AM48" s="306" cm="1" t="str">
        <f t="array" ref="AM48:AM48">AM55</f>
        <v>5613.9992955</v>
      </c>
      <c r="AN48" s="306" cm="1" t="str">
        <f t="array" ref="AN48:AN48">AN55</f>
        <v>5828.0043105</v>
      </c>
      <c r="AO48" s="306" cm="1" t="str">
        <f t="array" ref="AO48:AO48">AO55</f>
        <v>0</v>
      </c>
      <c r="AP48" s="306" cm="1" t="str">
        <f t="array" ref="AP48:AP48">AP55</f>
        <v>0</v>
      </c>
      <c r="AQ48" s="306" cm="1" t="str">
        <f t="array" ref="AQ48:AQ48">AQ55</f>
        <v>0</v>
      </c>
      <c r="AR48" s="306" cm="1" t="str">
        <f t="array" ref="AR48:AR48">AR55</f>
        <v>0</v>
      </c>
      <c r="AS48" s="306" cm="1" t="str">
        <f t="array" ref="AS48:AS48">AS55</f>
        <v>0</v>
      </c>
      <c r="AT48" s="306" cm="1" t="str">
        <f t="array" ref="AT48:AT48">AT55</f>
        <v>4273.0440814893</v>
      </c>
      <c r="AU48" s="306" cm="1" t="str">
        <f t="array" ref="AU48:AU48">AU55</f>
        <v>4472.72384966631</v>
      </c>
      <c r="AV48" s="306" cm="1" t="str">
        <f t="array" ref="AV48:AV48">AV55</f>
        <v>4601.06399719003</v>
      </c>
      <c r="AW48" s="306" cm="1" t="str">
        <f t="array" ref="AW48:AW48">AW55</f>
        <v>4733.35876361082</v>
      </c>
      <c r="AX48" s="306" cm="1" t="str">
        <f t="array" ref="AX48:AX48">AX55</f>
        <v>4870.68514225501</v>
      </c>
      <c r="AY48" s="306" cm="1" t="str">
        <f t="array" ref="AY48:AY48">AY55</f>
        <v>0</v>
      </c>
      <c r="AZ48" s="306" cm="1" t="str">
        <f t="array" ref="AZ48:AZ48">AZ55</f>
        <v>0</v>
      </c>
      <c r="BA48" s="306" cm="1" t="str">
        <f t="array" ref="BA48:BA48">BA55</f>
        <v>0</v>
      </c>
      <c r="BB48" s="306" cm="1" t="str">
        <f t="array" ref="BB48:BB48">BB55</f>
        <v>0</v>
      </c>
      <c r="BC48" s="306" cm="1" t="str">
        <f t="array" ref="BC48:BC48">BC55</f>
        <v>0</v>
      </c>
      <c r="BD48" s="306" cm="1" t="str">
        <f t="array" ref="BD48:BD48">BD55</f>
        <v>0</v>
      </c>
      <c r="BE48" s="306" cm="1" t="str">
        <f t="array" ref="BE48:BE48">BE55</f>
        <v>4.67300978808099</v>
      </c>
      <c r="BF48" s="306" cm="1" t="str">
        <f t="array" ref="BF48:BF48">BF55</f>
        <v>2.86939573819865</v>
      </c>
      <c r="BG48" s="306" cm="1" t="str">
        <f t="array" ref="BG48:BG48">BG55</f>
        <v>2.87530811354906</v>
      </c>
      <c r="BH48" s="306" cm="1" t="str">
        <f t="array" ref="BH48:BH48">BH55</f>
        <v>2.90124593343589</v>
      </c>
      <c r="BI48" s="306" cm="1" t="str">
        <f t="array" ref="BI48:BI48">BI55</f>
        <v>-100</v>
      </c>
      <c r="BJ48" s="306" cm="1" t="str">
        <f t="array" ref="BJ48:BJ48">BJ55</f>
        <v>0</v>
      </c>
      <c r="BK48" s="306" cm="1" t="str">
        <f t="array" ref="BK48:BK48">BK55</f>
        <v>0</v>
      </c>
      <c r="BL48" s="306" cm="1" t="str">
        <f t="array" ref="BL48:BL48">BL55</f>
        <v>0</v>
      </c>
      <c r="BM48" s="306" cm="1" t="str">
        <f t="array" ref="BM48:BM48">BM55</f>
        <v>0</v>
      </c>
      <c r="BN48" s="1730"/>
      <c r="BO48" s="1730"/>
      <c r="BP48" s="1730"/>
      <c r="BQ48" s="217"/>
      <c r="BR48" s="217"/>
      <c r="BS48" s="1203" t="s">
        <v>1384</v>
      </c>
    </row>
    <row s="1619" customFormat="1" customHeight="1" ht="16.5">
      <c r="A49" s="225"/>
      <c r="B49" s="924"/>
      <c r="C49" s="225"/>
      <c r="D49" s="225"/>
      <c r="E49" s="794">
        <v>17</v>
      </c>
      <c r="F49" s="919" cm="1" t="str">
        <f t="array" ref="F49:F49">OFFSET(G49,-1,-1)</f>
        <v>2</v>
      </c>
      <c r="G49" s="190" t="s">
        <v>1385</v>
      </c>
      <c r="H49" s="227"/>
      <c r="I49" s="227"/>
      <c r="J49" s="227"/>
      <c r="K49" s="227"/>
      <c r="L49" s="227"/>
      <c r="M49" s="227"/>
      <c r="N49" s="227"/>
      <c r="O49" s="227"/>
      <c r="P49" s="227"/>
      <c r="Q49" s="190"/>
      <c r="R49" s="190"/>
      <c r="S49" s="227"/>
      <c r="T49" s="805" cm="1" t="str">
        <f t="array" ref="T49:T49">T48</f>
        <v>true</v>
      </c>
      <c r="U49" s="225"/>
      <c r="V49" s="225"/>
      <c r="W49" s="225"/>
      <c r="X49" s="225"/>
      <c r="Y49" s="225"/>
      <c r="Z49" s="225"/>
      <c r="AA49" s="227"/>
      <c r="AB49" s="477" t="s">
        <v>335</v>
      </c>
      <c r="AC49" s="744" t="s">
        <v>1386</v>
      </c>
      <c r="AD49" s="485" t="s">
        <v>1019</v>
      </c>
      <c r="AE49" s="307">
        <f>_xlfn.SUMIFS('Топливо 4.4'!AH$27:AH$411,'Топливо 4.4'!$F$27:$F$411,$F49,'Топливо 4.4'!$G$27:$G$411,$G49)</f>
        <v>0</v>
      </c>
      <c r="AF49" s="307">
        <f>_xlfn.SUMIFS('Топливо 4.4'!AI$27:AI$411,'Топливо 4.4'!$F$27:$F$411,$F49,'Топливо 4.4'!$G$27:$G$411,$G49)</f>
        <v>0</v>
      </c>
      <c r="AG49" s="307">
        <f>_xlfn.SUMIFS('Топливо 4.4'!AJ$27:AJ$411,'Топливо 4.4'!$F$27:$F$411,$F49,'Топливо 4.4'!$G$27:$G$411,$G49)</f>
        <v>0</v>
      </c>
      <c r="AH49" s="307">
        <f>AG49-AF49</f>
        <v>0</v>
      </c>
      <c r="AI49" s="307">
        <f>_xlfn.SUMIFS('Топливо 4.4'!AK$27:AK$411,'Топливо 4.4'!$F$27:$F$411,$F49,'Топливо 4.4'!$G$27:$G$411,$G49)</f>
        <v>0</v>
      </c>
      <c r="AJ49" s="307">
        <f>_xlfn.SUMIFS('Топливо 4.4'!AL$27:AL$411,'Топливо 4.4'!$F$27:$F$411,$F49,'Топливо 4.4'!$G$27:$G$411,$G49)</f>
        <v>4485.9999935</v>
      </c>
      <c r="AK49" s="307">
        <f>_xlfn.SUMIFS('Топливо 4.4'!AO$27:AO$411,'Топливо 4.4'!$F$27:$F$411,$F49,'Топливо 4.4'!$G$27:$G$411,$G49)</f>
        <v>4735.998484</v>
      </c>
      <c r="AL49" s="307">
        <f>_xlfn.SUMIFS('Топливо 4.4'!AR$27:AR$411,'Топливо 4.4'!$F$27:$F$411,$F49,'Топливо 4.4'!$G$27:$G$411,$G49)</f>
        <v>4914.9996015</v>
      </c>
      <c r="AM49" s="307">
        <f>_xlfn.SUMIFS('Топливо 4.4'!AU$27:AU$411,'Топливо 4.4'!$F$27:$F$411,$F49,'Топливо 4.4'!$G$27:$G$411,$G49)</f>
        <v>5100.9992955</v>
      </c>
      <c r="AN49" s="307">
        <f>_xlfn.SUMIFS('Топливо 4.4'!AX$27:AX$411,'Топливо 4.4'!$F$27:$F$411,$F49,'Топливо 4.4'!$G$27:$G$411,$G49)</f>
        <v>5295.0043105</v>
      </c>
      <c r="AO49" s="307">
        <f>_xlfn.SUMIFS('Топливо 4.4'!BA$27:BA$411,'Топливо 4.4'!$F$27:$F$411,$F49,'Топливо 4.4'!$G$27:$G$411,$G49)</f>
        <v>0</v>
      </c>
      <c r="AP49" s="307">
        <f>_xlfn.SUMIFS('Топливо 4.4'!BD$27:BD$411,'Топливо 4.4'!$F$27:$F$411,$F49,'Топливо 4.4'!$G$27:$G$411,$G49)</f>
        <v>0</v>
      </c>
      <c r="AQ49" s="307">
        <f>_xlfn.SUMIFS('Топливо 4.4'!BG$27:BG$411,'Топливо 4.4'!$F$27:$F$411,$F49,'Топливо 4.4'!$G$27:$G$411,$G49)</f>
        <v>0</v>
      </c>
      <c r="AR49" s="307">
        <f>_xlfn.SUMIFS('Топливо 4.4'!BJ$27:BJ$411,'Топливо 4.4'!$F$27:$F$411,$F49,'Топливо 4.4'!$G$27:$G$411,$G49)</f>
        <v>0</v>
      </c>
      <c r="AS49" s="307">
        <f>_xlfn.SUMIFS('Топливо 4.4'!BM$27:BM$411,'Топливо 4.4'!$F$27:$F$411,$F49,'Топливо 4.4'!$G$27:$G$411,$G49)</f>
        <v>0</v>
      </c>
      <c r="AT49" s="307">
        <f>_xlfn.SUMIFS('Топливо 4.4'!BP$27:BP$411,'Топливо 4.4'!$F$27:$F$411,$F49,'Топливо 4.4'!$G$27:$G$411,$G49)</f>
        <v>3879.0440814893</v>
      </c>
      <c r="AU49" s="307">
        <f>_xlfn.SUMIFS('Топливо 4.4'!BS$27:BS$411,'Топливо 4.4'!$F$27:$F$411,$F49,'Топливо 4.4'!$G$27:$G$411,$G49)</f>
        <v>4049.72384966631</v>
      </c>
      <c r="AV49" s="307">
        <f>_xlfn.SUMIFS('Топливо 4.4'!BV$27:BV$411,'Топливо 4.4'!$F$27:$F$411,$F49,'Топливо 4.4'!$G$27:$G$411,$G49)</f>
        <v>4159.06399719003</v>
      </c>
      <c r="AW49" s="307">
        <f>_xlfn.SUMIFS('Топливо 4.4'!BY$27:BY$411,'Топливо 4.4'!$F$27:$F$411,$F49,'Топливо 4.4'!$G$27:$G$411,$G49)</f>
        <v>4271.35876361082</v>
      </c>
      <c r="AX49" s="307">
        <f>_xlfn.SUMIFS('Топливо 4.4'!CB$27:CB$411,'Топливо 4.4'!$F$27:$F$411,$F49,'Топливо 4.4'!$G$27:$G$411,$G49)</f>
        <v>4386.68514225501</v>
      </c>
      <c r="AY49" s="307">
        <f>_xlfn.SUMIFS('Топливо 4.4'!CE$27:CE$411,'Топливо 4.4'!$F$27:$F$411,$F49,'Топливо 4.4'!$G$27:$G$411,$G49)</f>
        <v>0</v>
      </c>
      <c r="AZ49" s="307">
        <f>_xlfn.SUMIFS('Топливо 4.4'!CH$27:CH$411,'Топливо 4.4'!$F$27:$F$411,$F49,'Топливо 4.4'!$G$27:$G$411,$G49)</f>
        <v>0</v>
      </c>
      <c r="BA49" s="307">
        <f>_xlfn.SUMIFS('Топливо 4.4'!CK$27:CK$411,'Топливо 4.4'!$F$27:$F$411,$F49,'Топливо 4.4'!$G$27:$G$411,$G49)</f>
        <v>0</v>
      </c>
      <c r="BB49" s="307">
        <f>_xlfn.SUMIFS('Топливо 4.4'!CN$27:CN$411,'Топливо 4.4'!$F$27:$F$411,$F49,'Топливо 4.4'!$G$27:$G$411,$G49)</f>
        <v>0</v>
      </c>
      <c r="BC49" s="307">
        <f>_xlfn.SUMIFS('Топливо 4.4'!CQ$27:CQ$411,'Топливо 4.4'!$F$27:$F$411,$F49,'Топливо 4.4'!$G$27:$G$411,$G49)</f>
        <v>0</v>
      </c>
      <c r="BD49" s="307">
        <f>IF(AI49=0,0,(AT49-AI49)/AI49*100)</f>
        <v>0</v>
      </c>
      <c r="BE49" s="307">
        <f>IF(AT49=0,0,(AU49-AT49)/AT49*100)</f>
        <v>4.40004714026039</v>
      </c>
      <c r="BF49" s="307">
        <f>IF(AU49=0,0,(AV49-AU49)/AU49*100)</f>
        <v>2.69994082516835</v>
      </c>
      <c r="BG49" s="307">
        <f>IF(AV49=0,0,(AW49-AV49)/AV49*100)</f>
        <v>2.70000092560871</v>
      </c>
      <c r="BH49" s="307">
        <f>IF(AW49=0,0,(AX49-AW49)/AW49*100)</f>
        <v>2.69999278980486</v>
      </c>
      <c r="BI49" s="307">
        <f>IF(AX49=0,0,(AY49-AX49)/AX49*100)</f>
        <v>-100</v>
      </c>
      <c r="BJ49" s="307">
        <f>IF(AY49=0,0,(AZ49-AY49)/AY49*100)</f>
        <v>0</v>
      </c>
      <c r="BK49" s="307">
        <f>IF(AZ49=0,0,(BA49-AZ49)/AZ49*100)</f>
        <v>0</v>
      </c>
      <c r="BL49" s="307">
        <f>IF(BA49=0,0,(BB49-BA49)/BA49*100)</f>
        <v>0</v>
      </c>
      <c r="BM49" s="307">
        <f>IF(BB49=0,0,(BC49-BB49)/BB49*100)</f>
        <v>0</v>
      </c>
      <c r="BN49" s="1730"/>
      <c r="BO49" s="1730"/>
      <c r="BP49" s="1730"/>
      <c r="BQ49" s="227"/>
      <c r="BR49" s="227"/>
      <c r="BS49" s="1203" t="s">
        <v>1380</v>
      </c>
    </row>
    <row s="1619" customFormat="1" customHeight="1" ht="16.5">
      <c r="A50" s="225"/>
      <c r="B50" s="924"/>
      <c r="C50" s="225"/>
      <c r="D50" s="225"/>
      <c r="E50" s="794">
        <v>17</v>
      </c>
      <c r="F50" s="919" cm="1" t="str">
        <f t="array" ref="F50:F50">OFFSET(G50,-1,-1)</f>
        <v>2</v>
      </c>
      <c r="G50" s="190" t="s">
        <v>925</v>
      </c>
      <c r="H50" s="227"/>
      <c r="I50" s="227"/>
      <c r="J50" s="227"/>
      <c r="K50" s="227"/>
      <c r="L50" s="227"/>
      <c r="M50" s="227"/>
      <c r="N50" s="227"/>
      <c r="O50" s="227"/>
      <c r="P50" s="227"/>
      <c r="Q50" s="190"/>
      <c r="R50" s="190"/>
      <c r="S50" s="227"/>
      <c r="T50" s="805" cm="1" t="str">
        <f t="array" ref="T50:T50">T49</f>
        <v>true</v>
      </c>
      <c r="U50" s="225"/>
      <c r="V50" s="225"/>
      <c r="W50" s="225"/>
      <c r="X50" s="225"/>
      <c r="Y50" s="225"/>
      <c r="Z50" s="225"/>
      <c r="AA50" s="227"/>
      <c r="AB50" s="511" t="s">
        <v>343</v>
      </c>
      <c r="AC50" s="742" t="s">
        <v>927</v>
      </c>
      <c r="AD50" s="496" t="s">
        <v>1019</v>
      </c>
      <c r="AE50" s="307">
        <f>_xlfn.SUMIFS(ЭнергоРесурсы!AE$26:AE$156,ЭнергоРесурсы!$F$26:$F$156,$F50,ЭнергоРесурсы!$G$26:$G$156,$G50)</f>
        <v>0</v>
      </c>
      <c r="AF50" s="307">
        <f>_xlfn.SUMIFS(ЭнергоРесурсы!AF$26:AF$156,ЭнергоРесурсы!$F$26:$F$156,$F50,ЭнергоРесурсы!$G$26:$G$156,$G50)</f>
        <v>0</v>
      </c>
      <c r="AG50" s="307">
        <f>_xlfn.SUMIFS(ЭнергоРесурсы!AG$26:AG$156,ЭнергоРесурсы!$F$26:$F$156,$F50,ЭнергоРесурсы!$G$26:$G$156,$G50)</f>
        <v>0</v>
      </c>
      <c r="AH50" s="307">
        <f>AG50-AF50</f>
        <v>0</v>
      </c>
      <c r="AI50" s="307">
        <f>_xlfn.SUMIFS(ЭнергоРесурсы!AH$26:AH$156,ЭнергоРесурсы!$F$26:$F$156,$F50,ЭнергоРесурсы!$G$26:$G$156,$G50)</f>
        <v>0</v>
      </c>
      <c r="AJ50" s="307">
        <f>_xlfn.SUMIFS(ЭнергоРесурсы!AI$26:AI$156,ЭнергоРесурсы!$F$26:$F$156,$F50,ЭнергоРесурсы!$G$26:$G$156,$G50)</f>
        <v>297</v>
      </c>
      <c r="AK50" s="307">
        <f>_xlfn.SUMIFS(ЭнергоРесурсы!AJ$26:AJ$156,ЭнергоРесурсы!$F$26:$F$156,$F50,ЭнергоРесурсы!$G$26:$G$156,$G50)</f>
        <v>309</v>
      </c>
      <c r="AL50" s="307">
        <f>_xlfn.SUMIFS(ЭнергоРесурсы!AK$26:AK$156,ЭнергоРесурсы!$F$26:$F$156,$F50,ЭнергоРесурсы!$G$26:$G$156,$G50)</f>
        <v>321</v>
      </c>
      <c r="AM50" s="307">
        <f>_xlfn.SUMIFS(ЭнергоРесурсы!AL$26:AL$156,ЭнергоРесурсы!$F$26:$F$156,$F50,ЭнергоРесурсы!$G$26:$G$156,$G50)</f>
        <v>334</v>
      </c>
      <c r="AN50" s="307">
        <f>_xlfn.SUMIFS(ЭнергоРесурсы!AM$26:AM$156,ЭнергоРесурсы!$F$26:$F$156,$F50,ЭнергоРесурсы!$G$26:$G$156,$G50)</f>
        <v>347</v>
      </c>
      <c r="AO50" s="307">
        <f>_xlfn.SUMIFS(ЭнергоРесурсы!AN$26:AN$156,ЭнергоРесурсы!$F$26:$F$156,$F50,ЭнергоРесурсы!$G$26:$G$156,$G50)</f>
        <v>0</v>
      </c>
      <c r="AP50" s="307">
        <f>_xlfn.SUMIFS(ЭнергоРесурсы!AO$26:AO$156,ЭнергоРесурсы!$F$26:$F$156,$F50,ЭнергоРесурсы!$G$26:$G$156,$G50)</f>
        <v>0</v>
      </c>
      <c r="AQ50" s="307">
        <f>_xlfn.SUMIFS(ЭнергоРесурсы!AP$26:AP$156,ЭнергоРесурсы!$F$26:$F$156,$F50,ЭнергоРесурсы!$G$26:$G$156,$G50)</f>
        <v>0</v>
      </c>
      <c r="AR50" s="307">
        <f>_xlfn.SUMIFS(ЭнергоРесурсы!AQ$26:AQ$156,ЭнергоРесурсы!$F$26:$F$156,$F50,ЭнергоРесурсы!$G$26:$G$156,$G50)</f>
        <v>0</v>
      </c>
      <c r="AS50" s="307">
        <f>_xlfn.SUMIFS(ЭнергоРесурсы!AR$26:AR$156,ЭнергоРесурсы!$F$26:$F$156,$F50,ЭнергоРесурсы!$G$26:$G$156,$G50)</f>
        <v>0</v>
      </c>
      <c r="AT50" s="307">
        <f>_xlfn.SUMIFS(ЭнергоРесурсы!AS$26:AS$156,ЭнергоРесурсы!$F$26:$F$156,$F50,ЭнергоРесурсы!$G$26:$G$156,$G50)</f>
        <v>267</v>
      </c>
      <c r="AU50" s="307">
        <f>_xlfn.SUMIFS(ЭнергоРесурсы!AT$26:AT$156,ЭнергоРесурсы!$F$26:$F$156,$F50,ЭнергоРесурсы!$G$26:$G$156,$G50)</f>
        <v>291</v>
      </c>
      <c r="AV50" s="307">
        <f>_xlfn.SUMIFS(ЭнергоРесурсы!AU$26:AU$156,ЭнергоРесурсы!$F$26:$F$156,$F50,ЭнергоРесурсы!$G$26:$G$156,$G50)</f>
        <v>305</v>
      </c>
      <c r="AW50" s="307">
        <f>_xlfn.SUMIFS(ЭнергоРесурсы!AV$26:AV$156,ЭнергоРесурсы!$F$26:$F$156,$F50,ЭнергоРесурсы!$G$26:$G$156,$G50)</f>
        <v>320</v>
      </c>
      <c r="AX50" s="307">
        <f>_xlfn.SUMIFS(ЭнергоРесурсы!AW$26:AW$156,ЭнергоРесурсы!$F$26:$F$156,$F50,ЭнергоРесурсы!$G$26:$G$156,$G50)</f>
        <v>336</v>
      </c>
      <c r="AY50" s="307">
        <f>_xlfn.SUMIFS(ЭнергоРесурсы!AX$26:AX$156,ЭнергоРесурсы!$F$26:$F$156,$F50,ЭнергоРесурсы!$G$26:$G$156,$G50)</f>
        <v>0</v>
      </c>
      <c r="AZ50" s="307">
        <f>_xlfn.SUMIFS(ЭнергоРесурсы!AY$26:AY$156,ЭнергоРесурсы!$F$26:$F$156,$F50,ЭнергоРесурсы!$G$26:$G$156,$G50)</f>
        <v>0</v>
      </c>
      <c r="BA50" s="307">
        <f>_xlfn.SUMIFS(ЭнергоРесурсы!AZ$26:AZ$156,ЭнергоРесурсы!$F$26:$F$156,$F50,ЭнергоРесурсы!$G$26:$G$156,$G50)</f>
        <v>0</v>
      </c>
      <c r="BB50" s="307">
        <f>_xlfn.SUMIFS(ЭнергоРесурсы!BA$26:BA$156,ЭнергоРесурсы!$F$26:$F$156,$F50,ЭнергоРесурсы!$G$26:$G$156,$G50)</f>
        <v>0</v>
      </c>
      <c r="BC50" s="307">
        <f>_xlfn.SUMIFS(ЭнергоРесурсы!BB$26:BB$156,ЭнергоРесурсы!$F$26:$F$156,$F50,ЭнергоРесурсы!$G$26:$G$156,$G50)</f>
        <v>0</v>
      </c>
      <c r="BD50" s="307">
        <f>IF(AI50=0,0,(AT50-AI50)/AI50*100)</f>
        <v>0</v>
      </c>
      <c r="BE50" s="307">
        <f>IF(AT50=0,0,(AU50-AT50)/AT50*100)</f>
        <v>8.98876404494382</v>
      </c>
      <c r="BF50" s="307">
        <f>IF(AU50=0,0,(AV50-AU50)/AU50*100)</f>
        <v>4.81099656357388</v>
      </c>
      <c r="BG50" s="307">
        <f>IF(AV50=0,0,(AW50-AV50)/AV50*100)</f>
        <v>4.91803278688525</v>
      </c>
      <c r="BH50" s="307">
        <f>IF(AW50=0,0,(AX50-AW50)/AW50*100)</f>
        <v>5</v>
      </c>
      <c r="BI50" s="307">
        <f>IF(AX50=0,0,(AY50-AX50)/AX50*100)</f>
        <v>-100</v>
      </c>
      <c r="BJ50" s="307">
        <f>IF(AY50=0,0,(AZ50-AY50)/AY50*100)</f>
        <v>0</v>
      </c>
      <c r="BK50" s="307">
        <f>IF(AZ50=0,0,(BA50-AZ50)/AZ50*100)</f>
        <v>0</v>
      </c>
      <c r="BL50" s="307">
        <f>IF(BA50=0,0,(BB50-BA50)/BA50*100)</f>
        <v>0</v>
      </c>
      <c r="BM50" s="307">
        <f>IF(BB50=0,0,(BC50-BB50)/BB50*100)</f>
        <v>0</v>
      </c>
      <c r="BN50" s="1730"/>
      <c r="BO50" s="1730"/>
      <c r="BP50" s="1730"/>
      <c r="BQ50" s="227"/>
      <c r="BR50" s="227"/>
      <c r="BS50" s="1203" t="s">
        <v>1387</v>
      </c>
    </row>
    <row s="1619" customFormat="1" customHeight="1" ht="16.5">
      <c r="A51" s="225"/>
      <c r="B51" s="924"/>
      <c r="C51" s="225"/>
      <c r="D51" s="225"/>
      <c r="E51" s="794">
        <v>17</v>
      </c>
      <c r="F51" s="919" cm="1" t="str">
        <f t="array" ref="F51:F51">OFFSET(G51,-1,-1)</f>
        <v>2</v>
      </c>
      <c r="G51" s="190" t="s">
        <v>960</v>
      </c>
      <c r="H51" s="227"/>
      <c r="I51" s="227"/>
      <c r="J51" s="227"/>
      <c r="K51" s="227"/>
      <c r="L51" s="227"/>
      <c r="M51" s="227"/>
      <c r="N51" s="227"/>
      <c r="O51" s="227"/>
      <c r="P51" s="227"/>
      <c r="Q51" s="190"/>
      <c r="R51" s="190"/>
      <c r="S51" s="227"/>
      <c r="T51" s="805" cm="1" t="str">
        <f t="array" ref="T51:T51">T50</f>
        <v>true</v>
      </c>
      <c r="U51" s="225"/>
      <c r="V51" s="225"/>
      <c r="W51" s="225"/>
      <c r="X51" s="225"/>
      <c r="Y51" s="225"/>
      <c r="Z51" s="225"/>
      <c r="AA51" s="227"/>
      <c r="AB51" s="285" t="s">
        <v>614</v>
      </c>
      <c r="AC51" s="743" t="s">
        <v>980</v>
      </c>
      <c r="AD51" s="496" t="s">
        <v>1019</v>
      </c>
      <c r="AE51" s="307">
        <f>_xlfn.SUMIFS(ЭнергоРесурсы!AE$26:AE$156,ЭнергоРесурсы!$F$26:$F$156,$F51,ЭнергоРесурсы!$G$26:$G$156,$G51)</f>
        <v>0</v>
      </c>
      <c r="AF51" s="307">
        <f>_xlfn.SUMIFS(ЭнергоРесурсы!AF$26:AF$156,ЭнергоРесурсы!$F$26:$F$156,$F51,ЭнергоРесурсы!$G$26:$G$156,$G51)</f>
        <v>0</v>
      </c>
      <c r="AG51" s="307">
        <f>_xlfn.SUMIFS(ЭнергоРесурсы!AG$26:AG$156,ЭнергоРесурсы!$F$26:$F$156,$F51,ЭнергоРесурсы!$G$26:$G$156,$G51)</f>
        <v>0</v>
      </c>
      <c r="AH51" s="307">
        <f>AG51-AF51</f>
        <v>0</v>
      </c>
      <c r="AI51" s="307">
        <f>_xlfn.SUMIFS(ЭнергоРесурсы!AH$26:AH$156,ЭнергоРесурсы!$F$26:$F$156,$F51,ЭнергоРесурсы!$G$26:$G$156,$G51)</f>
        <v>0</v>
      </c>
      <c r="AJ51" s="307">
        <f>_xlfn.SUMIFS(ЭнергоРесурсы!AI$26:AI$156,ЭнергоРесурсы!$F$26:$F$156,$F51,ЭнергоРесурсы!$G$26:$G$156,$G51)</f>
        <v>0</v>
      </c>
      <c r="AK51" s="307">
        <f>_xlfn.SUMIFS(ЭнергоРесурсы!AJ$26:AJ$156,ЭнергоРесурсы!$F$26:$F$156,$F51,ЭнергоРесурсы!$G$26:$G$156,$G51)</f>
        <v>0</v>
      </c>
      <c r="AL51" s="307">
        <f>_xlfn.SUMIFS(ЭнергоРесурсы!AK$26:AK$156,ЭнергоРесурсы!$F$26:$F$156,$F51,ЭнергоРесурсы!$G$26:$G$156,$G51)</f>
        <v>0</v>
      </c>
      <c r="AM51" s="307">
        <f>_xlfn.SUMIFS(ЭнергоРесурсы!AL$26:AL$156,ЭнергоРесурсы!$F$26:$F$156,$F51,ЭнергоРесурсы!$G$26:$G$156,$G51)</f>
        <v>0</v>
      </c>
      <c r="AN51" s="307">
        <f>_xlfn.SUMIFS(ЭнергоРесурсы!AM$26:AM$156,ЭнергоРесурсы!$F$26:$F$156,$F51,ЭнергоРесурсы!$G$26:$G$156,$G51)</f>
        <v>0</v>
      </c>
      <c r="AO51" s="307">
        <f>_xlfn.SUMIFS(ЭнергоРесурсы!AN$26:AN$156,ЭнергоРесурсы!$F$26:$F$156,$F51,ЭнергоРесурсы!$G$26:$G$156,$G51)</f>
        <v>0</v>
      </c>
      <c r="AP51" s="307">
        <f>_xlfn.SUMIFS(ЭнергоРесурсы!AO$26:AO$156,ЭнергоРесурсы!$F$26:$F$156,$F51,ЭнергоРесурсы!$G$26:$G$156,$G51)</f>
        <v>0</v>
      </c>
      <c r="AQ51" s="307">
        <f>_xlfn.SUMIFS(ЭнергоРесурсы!AP$26:AP$156,ЭнергоРесурсы!$F$26:$F$156,$F51,ЭнергоРесурсы!$G$26:$G$156,$G51)</f>
        <v>0</v>
      </c>
      <c r="AR51" s="307">
        <f>_xlfn.SUMIFS(ЭнергоРесурсы!AQ$26:AQ$156,ЭнергоРесурсы!$F$26:$F$156,$F51,ЭнергоРесурсы!$G$26:$G$156,$G51)</f>
        <v>0</v>
      </c>
      <c r="AS51" s="307">
        <f>_xlfn.SUMIFS(ЭнергоРесурсы!AR$26:AR$156,ЭнергоРесурсы!$F$26:$F$156,$F51,ЭнергоРесурсы!$G$26:$G$156,$G51)</f>
        <v>0</v>
      </c>
      <c r="AT51" s="307">
        <f>_xlfn.SUMIFS(ЭнергоРесурсы!AS$26:AS$156,ЭнергоРесурсы!$F$26:$F$156,$F51,ЭнергоРесурсы!$G$26:$G$156,$G51)</f>
        <v>0</v>
      </c>
      <c r="AU51" s="307">
        <f>_xlfn.SUMIFS(ЭнергоРесурсы!AT$26:AT$156,ЭнергоРесурсы!$F$26:$F$156,$F51,ЭнергоРесурсы!$G$26:$G$156,$G51)</f>
        <v>0</v>
      </c>
      <c r="AV51" s="307">
        <f>_xlfn.SUMIFS(ЭнергоРесурсы!AU$26:AU$156,ЭнергоРесурсы!$F$26:$F$156,$F51,ЭнергоРесурсы!$G$26:$G$156,$G51)</f>
        <v>0</v>
      </c>
      <c r="AW51" s="307">
        <f>_xlfn.SUMIFS(ЭнергоРесурсы!AV$26:AV$156,ЭнергоРесурсы!$F$26:$F$156,$F51,ЭнергоРесурсы!$G$26:$G$156,$G51)</f>
        <v>0</v>
      </c>
      <c r="AX51" s="307">
        <f>_xlfn.SUMIFS(ЭнергоРесурсы!AW$26:AW$156,ЭнергоРесурсы!$F$26:$F$156,$F51,ЭнергоРесурсы!$G$26:$G$156,$G51)</f>
        <v>0</v>
      </c>
      <c r="AY51" s="307">
        <f>_xlfn.SUMIFS(ЭнергоРесурсы!AX$26:AX$156,ЭнергоРесурсы!$F$26:$F$156,$F51,ЭнергоРесурсы!$G$26:$G$156,$G51)</f>
        <v>0</v>
      </c>
      <c r="AZ51" s="307">
        <f>_xlfn.SUMIFS(ЭнергоРесурсы!AY$26:AY$156,ЭнергоРесурсы!$F$26:$F$156,$F51,ЭнергоРесурсы!$G$26:$G$156,$G51)</f>
        <v>0</v>
      </c>
      <c r="BA51" s="307">
        <f>_xlfn.SUMIFS(ЭнергоРесурсы!AZ$26:AZ$156,ЭнергоРесурсы!$F$26:$F$156,$F51,ЭнергоРесурсы!$G$26:$G$156,$G51)</f>
        <v>0</v>
      </c>
      <c r="BB51" s="307">
        <f>_xlfn.SUMIFS(ЭнергоРесурсы!BA$26:BA$156,ЭнергоРесурсы!$F$26:$F$156,$F51,ЭнергоРесурсы!$G$26:$G$156,$G51)</f>
        <v>0</v>
      </c>
      <c r="BC51" s="307">
        <f>_xlfn.SUMIFS(ЭнергоРесурсы!BB$26:BB$156,ЭнергоРесурсы!$F$26:$F$156,$F51,ЭнергоРесурсы!$G$26:$G$156,$G51)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30"/>
      <c r="BO51" s="1730"/>
      <c r="BP51" s="1730"/>
      <c r="BQ51" s="227"/>
      <c r="BR51" s="227"/>
      <c r="BS51" s="1203" t="s">
        <v>1388</v>
      </c>
    </row>
    <row s="1619" customFormat="1" customHeight="1" ht="16.5" hidden="1">
      <c r="A52" s="225"/>
      <c r="B52" s="924"/>
      <c r="C52" s="225"/>
      <c r="D52" s="225"/>
      <c r="E52" s="794">
        <v>17</v>
      </c>
      <c r="F52" s="919" cm="1" t="str">
        <f t="array" ref="F52:F52">OFFSET(G52,-1,-1)</f>
        <v>2</v>
      </c>
      <c r="G52" s="190" t="s">
        <v>962</v>
      </c>
      <c r="H52" s="227"/>
      <c r="I52" s="227"/>
      <c r="J52" s="227"/>
      <c r="K52" s="227"/>
      <c r="L52" s="227"/>
      <c r="M52" s="227"/>
      <c r="N52" s="227"/>
      <c r="O52" s="227"/>
      <c r="P52" s="227"/>
      <c r="Q52" s="190"/>
      <c r="R52" s="190" t="s">
        <v>963</v>
      </c>
      <c r="S52" s="227"/>
      <c r="T52" s="805">
        <f>AND(T51,G47="двухставочный")</f>
        <v>0</v>
      </c>
      <c r="U52" s="225"/>
      <c r="V52" s="225"/>
      <c r="W52" s="225"/>
      <c r="X52" s="225"/>
      <c r="Y52" s="225"/>
      <c r="Z52" s="225"/>
      <c r="AA52" s="227"/>
      <c r="AB52" s="285" t="s">
        <v>710</v>
      </c>
      <c r="AC52" s="1080" t="s">
        <v>965</v>
      </c>
      <c r="AD52" s="1028" t="s">
        <v>805</v>
      </c>
      <c r="AE52" s="548">
        <f>_xlfn.SUMIFS(ЭнергоРесурсы!AE$26:AE$156,ЭнергоРесурсы!$F$26:$F$156,$F52,ЭнергоРесурсы!$G$26:$G$156,$G52)</f>
        <v>0</v>
      </c>
      <c r="AF52" s="548">
        <f>_xlfn.SUMIFS(ЭнергоРесурсы!AF$26:AF$156,ЭнергоРесурсы!$F$26:$F$156,$F52,ЭнергоРесурсы!$G$26:$G$156,$G52)</f>
        <v>0</v>
      </c>
      <c r="AG52" s="548">
        <f>_xlfn.SUMIFS(ЭнергоРесурсы!AG$26:AG$156,ЭнергоРесурсы!$F$26:$F$156,$F52,ЭнергоРесурсы!$G$26:$G$156,$G52)</f>
        <v>0</v>
      </c>
      <c r="AH52" s="548">
        <f>AG52-AF52</f>
        <v>0</v>
      </c>
      <c r="AI52" s="514" cm="1" t="str">
        <f t="array" ref="AI52:AI52">ЭнергоРесурсы!AH68</f>
        <v>0</v>
      </c>
      <c r="AJ52" s="514" cm="1" t="str">
        <f t="array" ref="AJ52:AJ52">ЭнергоРесурсы!AI68</f>
        <v>297</v>
      </c>
      <c r="AK52" s="514" cm="1" t="str">
        <f t="array" ref="AK52:AK52">ЭнергоРесурсы!AJ68</f>
        <v>309</v>
      </c>
      <c r="AL52" s="514" cm="1" t="str">
        <f t="array" ref="AL52:AL52">ЭнергоРесурсы!AK68</f>
        <v>321</v>
      </c>
      <c r="AM52" s="514" cm="1" t="str">
        <f t="array" ref="AM52:AM52">ЭнергоРесурсы!AL68</f>
        <v>334</v>
      </c>
      <c r="AN52" s="514" cm="1" t="str">
        <f t="array" ref="AN52:AN52">ЭнергоРесурсы!AM68</f>
        <v>347</v>
      </c>
      <c r="AO52" s="514" cm="1" t="str">
        <f t="array" ref="AO52:AO52">ЭнергоРесурсы!AN68</f>
        <v>0</v>
      </c>
      <c r="AP52" s="514" cm="1" t="str">
        <f t="array" ref="AP52:AP52">ЭнергоРесурсы!AO68</f>
        <v>0</v>
      </c>
      <c r="AQ52" s="514" cm="1" t="str">
        <f t="array" ref="AQ52:AQ52">ЭнергоРесурсы!AP68</f>
        <v>0</v>
      </c>
      <c r="AR52" s="514" cm="1" t="str">
        <f t="array" ref="AR52:AR52">ЭнергоРесурсы!AQ68</f>
        <v>0</v>
      </c>
      <c r="AS52" s="514" cm="1" t="str">
        <f t="array" ref="AS52:AS52">ЭнергоРесурсы!AR68</f>
        <v>0</v>
      </c>
      <c r="AT52" s="514" cm="1" t="str">
        <f t="array" ref="AT52:AT52">ЭнергоРесурсы!AS68</f>
        <v>267</v>
      </c>
      <c r="AU52" s="514" cm="1" t="str">
        <f t="array" ref="AU52:AU52">ЭнергоРесурсы!AT68</f>
        <v>291</v>
      </c>
      <c r="AV52" s="514" cm="1" t="str">
        <f t="array" ref="AV52:AV52">ЭнергоРесурсы!AU68</f>
        <v>305</v>
      </c>
      <c r="AW52" s="514" cm="1" t="str">
        <f t="array" ref="AW52:AW52">ЭнергоРесурсы!AV68</f>
        <v>320</v>
      </c>
      <c r="AX52" s="514" cm="1" t="str">
        <f t="array" ref="AX52:AX52">ЭнергоРесурсы!AW68</f>
        <v>336</v>
      </c>
      <c r="AY52" s="514" cm="1" t="str">
        <f t="array" ref="AY52:AY52">ЭнергоРесурсы!AX68</f>
        <v>0</v>
      </c>
      <c r="AZ52" s="514" cm="1" t="str">
        <f t="array" ref="AZ52:AZ52">ЭнергоРесурсы!AY68</f>
        <v>0</v>
      </c>
      <c r="BA52" s="514" cm="1" t="str">
        <f t="array" ref="BA52:BA52">ЭнергоРесурсы!AZ68</f>
        <v>0</v>
      </c>
      <c r="BB52" s="514" cm="1" t="str">
        <f t="array" ref="BB52:BB52">ЭнергоРесурсы!BA68</f>
        <v>0</v>
      </c>
      <c r="BC52" s="514" cm="1" t="str">
        <f t="array" ref="BC52:BC52">ЭнергоРесурсы!BB68</f>
        <v>0</v>
      </c>
      <c r="BD52" s="307">
        <f>IF(AI52=0,0,(AT52-AI52)/AI52*100)</f>
        <v>0</v>
      </c>
      <c r="BE52" s="307">
        <f>IF(AT52=0,0,(AU52-AT52)/AT52*100)</f>
        <v>8.98876404494382</v>
      </c>
      <c r="BF52" s="307">
        <f>IF(AU52=0,0,(AV52-AU52)/AU52*100)</f>
        <v>4.81099656357388</v>
      </c>
      <c r="BG52" s="307">
        <f>IF(AV52=0,0,(AW52-AV52)/AV52*100)</f>
        <v>4.91803278688525</v>
      </c>
      <c r="BH52" s="307">
        <f>IF(AW52=0,0,(AX52-AW52)/AW52*100)</f>
        <v>5</v>
      </c>
      <c r="BI52" s="307">
        <f>IF(AX52=0,0,(AY52-AX52)/AX52*100)</f>
        <v>-100</v>
      </c>
      <c r="BJ52" s="307">
        <f>IF(AY52=0,0,(AZ52-AY52)/AY52*100)</f>
        <v>0</v>
      </c>
      <c r="BK52" s="307">
        <f>IF(AZ52=0,0,(BA52-AZ52)/AZ52*100)</f>
        <v>0</v>
      </c>
      <c r="BL52" s="307">
        <f>IF(BA52=0,0,(BB52-BA52)/BA52*100)</f>
        <v>0</v>
      </c>
      <c r="BM52" s="307">
        <f>IF(BB52=0,0,(BC52-BB52)/BB52*100)</f>
        <v>0</v>
      </c>
      <c r="BN52" s="73"/>
      <c r="BO52" s="73"/>
      <c r="BP52" s="73"/>
      <c r="BQ52" s="227"/>
      <c r="BR52" s="227"/>
      <c r="BS52" s="1203" t="s">
        <v>1389</v>
      </c>
    </row>
    <row s="1619" customFormat="1" customHeight="1" ht="16.5">
      <c r="A53" s="225"/>
      <c r="B53" s="924"/>
      <c r="C53" s="225"/>
      <c r="D53" s="225"/>
      <c r="E53" s="794">
        <v>17</v>
      </c>
      <c r="F53" s="919" cm="1" t="str">
        <f t="array" ref="F53:F53">OFFSET(G53,-1,-1)</f>
        <v>2</v>
      </c>
      <c r="G53" s="190" t="s">
        <v>992</v>
      </c>
      <c r="H53" s="227"/>
      <c r="I53" s="227"/>
      <c r="J53" s="227"/>
      <c r="K53" s="227"/>
      <c r="L53" s="227"/>
      <c r="M53" s="227"/>
      <c r="N53" s="227"/>
      <c r="O53" s="227"/>
      <c r="P53" s="227"/>
      <c r="Q53" s="190"/>
      <c r="R53" s="190"/>
      <c r="S53" s="227"/>
      <c r="T53" s="805" cm="1" t="str">
        <f t="array" ref="T53:T53">T51</f>
        <v>true</v>
      </c>
      <c r="U53" s="225"/>
      <c r="V53" s="225"/>
      <c r="W53" s="225"/>
      <c r="X53" s="225"/>
      <c r="Y53" s="225"/>
      <c r="Z53" s="225"/>
      <c r="AA53" s="227"/>
      <c r="AB53" s="575" t="s">
        <v>624</v>
      </c>
      <c r="AC53" s="1001" t="s">
        <v>993</v>
      </c>
      <c r="AD53" s="170" t="s">
        <v>1019</v>
      </c>
      <c r="AE53" s="307">
        <f>_xlfn.SUMIFS('ХВС, ТН'!AE$26:AE$72,'ХВС, ТН'!$F$26:$F$72,$F53,'ХВС, ТН'!$G$26:$G$72,$G53)</f>
        <v>0</v>
      </c>
      <c r="AF53" s="307">
        <f>_xlfn.SUMIFS('ХВС, ТН'!AF$26:AF$72,'ХВС, ТН'!$F$26:$F$72,$F53,'ХВС, ТН'!$G$26:$G$72,$G53)</f>
        <v>0</v>
      </c>
      <c r="AG53" s="307">
        <f>_xlfn.SUMIFS('ХВС, ТН'!AG$26:AG$72,'ХВС, ТН'!$F$26:$F$72,$F53,'ХВС, ТН'!$G$26:$G$72,$G53)</f>
        <v>0</v>
      </c>
      <c r="AH53" s="307">
        <f>AG53-AF53</f>
        <v>0</v>
      </c>
      <c r="AI53" s="547">
        <f>_xlfn.SUMIFS('ХВС, ТН'!AH$26:AH$72,'ХВС, ТН'!$F$26:$F$72,$F53,'ХВС, ТН'!$G$26:$G$72,$G53)</f>
        <v>0</v>
      </c>
      <c r="AJ53" s="547">
        <f>_xlfn.SUMIFS('ХВС, ТН'!AI$26:AI$72,'ХВС, ТН'!$F$26:$F$72,$F53,'ХВС, ТН'!$G$26:$G$72,$G53)</f>
        <v>159</v>
      </c>
      <c r="AK53" s="547">
        <f>_xlfn.SUMIFS('ХВС, ТН'!AJ$26:AJ$72,'ХВС, ТН'!$F$26:$F$72,$F53,'ХВС, ТН'!$G$26:$G$72,$G53)</f>
        <v>166</v>
      </c>
      <c r="AL53" s="547">
        <f>_xlfn.SUMIFS('ХВС, ТН'!AK$26:AK$72,'ХВС, ТН'!$F$26:$F$72,$F53,'ХВС, ТН'!$G$26:$G$72,$G53)</f>
        <v>172</v>
      </c>
      <c r="AM53" s="547">
        <f>_xlfn.SUMIFS('ХВС, ТН'!AL$26:AL$72,'ХВС, ТН'!$F$26:$F$72,$F53,'ХВС, ТН'!$G$26:$G$72,$G53)</f>
        <v>179</v>
      </c>
      <c r="AN53" s="547">
        <f>_xlfn.SUMIFS('ХВС, ТН'!AM$26:AM$72,'ХВС, ТН'!$F$26:$F$72,$F53,'ХВС, ТН'!$G$26:$G$72,$G53)</f>
        <v>186</v>
      </c>
      <c r="AO53" s="547">
        <f>_xlfn.SUMIFS('ХВС, ТН'!AN$26:AN$72,'ХВС, ТН'!$F$26:$F$72,$F53,'ХВС, ТН'!$G$26:$G$72,$G53)</f>
        <v>0</v>
      </c>
      <c r="AP53" s="547">
        <f>_xlfn.SUMIFS('ХВС, ТН'!AO$26:AO$72,'ХВС, ТН'!$F$26:$F$72,$F53,'ХВС, ТН'!$G$26:$G$72,$G53)</f>
        <v>0</v>
      </c>
      <c r="AQ53" s="547">
        <f>_xlfn.SUMIFS('ХВС, ТН'!AP$26:AP$72,'ХВС, ТН'!$F$26:$F$72,$F53,'ХВС, ТН'!$G$26:$G$72,$G53)</f>
        <v>0</v>
      </c>
      <c r="AR53" s="547">
        <f>_xlfn.SUMIFS('ХВС, ТН'!AQ$26:AQ$72,'ХВС, ТН'!$F$26:$F$72,$F53,'ХВС, ТН'!$G$26:$G$72,$G53)</f>
        <v>0</v>
      </c>
      <c r="AS53" s="547">
        <f>_xlfn.SUMIFS('ХВС, ТН'!AR$26:AR$72,'ХВС, ТН'!$F$26:$F$72,$F53,'ХВС, ТН'!$G$26:$G$72,$G53)</f>
        <v>0</v>
      </c>
      <c r="AT53" s="547">
        <f>_xlfn.SUMIFS('ХВС, ТН'!AS$26:AS$72,'ХВС, ТН'!$F$26:$F$72,$F53,'ХВС, ТН'!$G$26:$G$72,$G53)</f>
        <v>127</v>
      </c>
      <c r="AU53" s="547">
        <f>_xlfn.SUMIFS('ХВС, ТН'!AT$26:AT$72,'ХВС, ТН'!$F$26:$F$72,$F53,'ХВС, ТН'!$G$26:$G$72,$G53)</f>
        <v>132</v>
      </c>
      <c r="AV53" s="547">
        <f>_xlfn.SUMIFS('ХВС, ТН'!AU$26:AU$72,'ХВС, ТН'!$F$26:$F$72,$F53,'ХВС, ТН'!$G$26:$G$72,$G53)</f>
        <v>137</v>
      </c>
      <c r="AW53" s="547">
        <f>_xlfn.SUMIFS('ХВС, ТН'!AV$26:AV$72,'ХВС, ТН'!$F$26:$F$72,$F53,'ХВС, ТН'!$G$26:$G$72,$G53)</f>
        <v>142</v>
      </c>
      <c r="AX53" s="547">
        <f>_xlfn.SUMIFS('ХВС, ТН'!AW$26:AW$72,'ХВС, ТН'!$F$26:$F$72,$F53,'ХВС, ТН'!$G$26:$G$72,$G53)</f>
        <v>148</v>
      </c>
      <c r="AY53" s="547">
        <f>_xlfn.SUMIFS('ХВС, ТН'!AX$26:AX$72,'ХВС, ТН'!$F$26:$F$72,$F53,'ХВС, ТН'!$G$26:$G$72,$G53)</f>
        <v>0</v>
      </c>
      <c r="AZ53" s="547">
        <f>_xlfn.SUMIFS('ХВС, ТН'!AY$26:AY$72,'ХВС, ТН'!$F$26:$F$72,$F53,'ХВС, ТН'!$G$26:$G$72,$G53)</f>
        <v>0</v>
      </c>
      <c r="BA53" s="547">
        <f>_xlfn.SUMIFS('ХВС, ТН'!AZ$26:AZ$72,'ХВС, ТН'!$F$26:$F$72,$F53,'ХВС, ТН'!$G$26:$G$72,$G53)</f>
        <v>0</v>
      </c>
      <c r="BB53" s="547">
        <f>_xlfn.SUMIFS('ХВС, ТН'!BA$26:BA$72,'ХВС, ТН'!$F$26:$F$72,$F53,'ХВС, ТН'!$G$26:$G$72,$G53)</f>
        <v>0</v>
      </c>
      <c r="BC53" s="547">
        <f>_xlfn.SUMIFS('ХВС, ТН'!BB$26:BB$72,'ХВС, ТН'!$F$26:$F$72,$F53,'ХВС, ТН'!$G$26:$G$72,$G53)</f>
        <v>0</v>
      </c>
      <c r="BD53" s="307">
        <f>IF(AI53=0,0,(AT53-AI53)/AI53*100)</f>
        <v>0</v>
      </c>
      <c r="BE53" s="307">
        <f>IF(AT53=0,0,(AU53-AT53)/AT53*100)</f>
        <v>3.93700787401575</v>
      </c>
      <c r="BF53" s="307">
        <f>IF(AU53=0,0,(AV53-AU53)/AU53*100)</f>
        <v>3.78787878787879</v>
      </c>
      <c r="BG53" s="307">
        <f>IF(AV53=0,0,(AW53-AV53)/AV53*100)</f>
        <v>3.64963503649635</v>
      </c>
      <c r="BH53" s="307">
        <f>IF(AW53=0,0,(AX53-AW53)/AW53*100)</f>
        <v>4.22535211267606</v>
      </c>
      <c r="BI53" s="307">
        <f>IF(AX53=0,0,(AY53-AX53)/AX53*100)</f>
        <v>-100</v>
      </c>
      <c r="BJ53" s="307">
        <f>IF(AY53=0,0,(AZ53-AY53)/AY53*100)</f>
        <v>0</v>
      </c>
      <c r="BK53" s="307">
        <f>IF(AZ53=0,0,(BA53-AZ53)/AZ53*100)</f>
        <v>0</v>
      </c>
      <c r="BL53" s="307">
        <f>IF(BA53=0,0,(BB53-BA53)/BA53*100)</f>
        <v>0</v>
      </c>
      <c r="BM53" s="307">
        <f>IF(BB53=0,0,(BC53-BB53)/BB53*100)</f>
        <v>0</v>
      </c>
      <c r="BN53" s="1730"/>
      <c r="BO53" s="1730"/>
      <c r="BP53" s="1730"/>
      <c r="BQ53" s="227"/>
      <c r="BR53" s="227"/>
      <c r="BS53" s="1203" t="s">
        <v>1390</v>
      </c>
    </row>
    <row s="1619" customFormat="1" customHeight="1" ht="16.5">
      <c r="A54" s="225"/>
      <c r="B54" s="924"/>
      <c r="C54" s="225"/>
      <c r="D54" s="225"/>
      <c r="E54" s="794">
        <v>17</v>
      </c>
      <c r="F54" s="919" cm="1" t="str">
        <f t="array" ref="F54:F54">OFFSET(G54,-1,-1)</f>
        <v>2</v>
      </c>
      <c r="G54" s="190" t="s">
        <v>1003</v>
      </c>
      <c r="H54" s="227"/>
      <c r="I54" s="227"/>
      <c r="J54" s="227"/>
      <c r="K54" s="227"/>
      <c r="L54" s="227"/>
      <c r="M54" s="227"/>
      <c r="N54" s="227"/>
      <c r="O54" s="227"/>
      <c r="P54" s="227"/>
      <c r="Q54" s="190"/>
      <c r="R54" s="190"/>
      <c r="S54" s="227"/>
      <c r="T54" s="805" cm="1" t="str">
        <f t="array" ref="T54:T54">T53</f>
        <v>true</v>
      </c>
      <c r="U54" s="225"/>
      <c r="V54" s="225"/>
      <c r="W54" s="225"/>
      <c r="X54" s="225"/>
      <c r="Y54" s="225"/>
      <c r="Z54" s="225"/>
      <c r="AA54" s="227"/>
      <c r="AB54" s="575" t="s">
        <v>629</v>
      </c>
      <c r="AC54" s="1001" t="s">
        <v>1004</v>
      </c>
      <c r="AD54" s="170" t="s">
        <v>1019</v>
      </c>
      <c r="AE54" s="307">
        <f>_xlfn.SUMIFS('ХВС, ТН'!AE$26:AE$72,'ХВС, ТН'!$F$26:$F$72,$F54,'ХВС, ТН'!$G$26:$G$72,$G54)</f>
        <v>0</v>
      </c>
      <c r="AF54" s="307">
        <f>_xlfn.SUMIFS('ХВС, ТН'!AF$26:AF$72,'ХВС, ТН'!$F$26:$F$72,$F54,'ХВС, ТН'!$G$26:$G$72,$G54)</f>
        <v>0</v>
      </c>
      <c r="AG54" s="307">
        <f>_xlfn.SUMIFS('ХВС, ТН'!AG$26:AG$72,'ХВС, ТН'!$F$26:$F$72,$F54,'ХВС, ТН'!$G$26:$G$72,$G54)</f>
        <v>0</v>
      </c>
      <c r="AH54" s="307">
        <f>AG54-AF54</f>
        <v>0</v>
      </c>
      <c r="AI54" s="547">
        <f>_xlfn.SUMIFS('ХВС, ТН'!AH$26:AH$72,'ХВС, ТН'!$F$26:$F$72,$F54,'ХВС, ТН'!$G$26:$G$72,$G54)</f>
        <v>0</v>
      </c>
      <c r="AJ54" s="547">
        <f>_xlfn.SUMIFS('ХВС, ТН'!AI$26:AI$72,'ХВС, ТН'!$F$26:$F$72,$F54,'ХВС, ТН'!$G$26:$G$72,$G54)</f>
        <v>0</v>
      </c>
      <c r="AK54" s="547">
        <f>_xlfn.SUMIFS('ХВС, ТН'!AJ$26:AJ$72,'ХВС, ТН'!$F$26:$F$72,$F54,'ХВС, ТН'!$G$26:$G$72,$G54)</f>
        <v>0</v>
      </c>
      <c r="AL54" s="547">
        <f>_xlfn.SUMIFS('ХВС, ТН'!AK$26:AK$72,'ХВС, ТН'!$F$26:$F$72,$F54,'ХВС, ТН'!$G$26:$G$72,$G54)</f>
        <v>0</v>
      </c>
      <c r="AM54" s="547">
        <f>_xlfn.SUMIFS('ХВС, ТН'!AL$26:AL$72,'ХВС, ТН'!$F$26:$F$72,$F54,'ХВС, ТН'!$G$26:$G$72,$G54)</f>
        <v>0</v>
      </c>
      <c r="AN54" s="547">
        <f>_xlfn.SUMIFS('ХВС, ТН'!AM$26:AM$72,'ХВС, ТН'!$F$26:$F$72,$F54,'ХВС, ТН'!$G$26:$G$72,$G54)</f>
        <v>0</v>
      </c>
      <c r="AO54" s="547">
        <f>_xlfn.SUMIFS('ХВС, ТН'!AN$26:AN$72,'ХВС, ТН'!$F$26:$F$72,$F54,'ХВС, ТН'!$G$26:$G$72,$G54)</f>
        <v>0</v>
      </c>
      <c r="AP54" s="547">
        <f>_xlfn.SUMIFS('ХВС, ТН'!AO$26:AO$72,'ХВС, ТН'!$F$26:$F$72,$F54,'ХВС, ТН'!$G$26:$G$72,$G54)</f>
        <v>0</v>
      </c>
      <c r="AQ54" s="547">
        <f>_xlfn.SUMIFS('ХВС, ТН'!AP$26:AP$72,'ХВС, ТН'!$F$26:$F$72,$F54,'ХВС, ТН'!$G$26:$G$72,$G54)</f>
        <v>0</v>
      </c>
      <c r="AR54" s="547">
        <f>_xlfn.SUMIFS('ХВС, ТН'!AQ$26:AQ$72,'ХВС, ТН'!$F$26:$F$72,$F54,'ХВС, ТН'!$G$26:$G$72,$G54)</f>
        <v>0</v>
      </c>
      <c r="AS54" s="547">
        <f>_xlfn.SUMIFS('ХВС, ТН'!AR$26:AR$72,'ХВС, ТН'!$F$26:$F$72,$F54,'ХВС, ТН'!$G$26:$G$72,$G54)</f>
        <v>0</v>
      </c>
      <c r="AT54" s="547">
        <f>_xlfn.SUMIFS('ХВС, ТН'!AS$26:AS$72,'ХВС, ТН'!$F$26:$F$72,$F54,'ХВС, ТН'!$G$26:$G$72,$G54)</f>
        <v>0</v>
      </c>
      <c r="AU54" s="547">
        <f>_xlfn.SUMIFS('ХВС, ТН'!AT$26:AT$72,'ХВС, ТН'!$F$26:$F$72,$F54,'ХВС, ТН'!$G$26:$G$72,$G54)</f>
        <v>0</v>
      </c>
      <c r="AV54" s="547">
        <f>_xlfn.SUMIFS('ХВС, ТН'!AU$26:AU$72,'ХВС, ТН'!$F$26:$F$72,$F54,'ХВС, ТН'!$G$26:$G$72,$G54)</f>
        <v>0</v>
      </c>
      <c r="AW54" s="547">
        <f>_xlfn.SUMIFS('ХВС, ТН'!AV$26:AV$72,'ХВС, ТН'!$F$26:$F$72,$F54,'ХВС, ТН'!$G$26:$G$72,$G54)</f>
        <v>0</v>
      </c>
      <c r="AX54" s="547">
        <f>_xlfn.SUMIFS('ХВС, ТН'!AW$26:AW$72,'ХВС, ТН'!$F$26:$F$72,$F54,'ХВС, ТН'!$G$26:$G$72,$G54)</f>
        <v>0</v>
      </c>
      <c r="AY54" s="547">
        <f>_xlfn.SUMIFS('ХВС, ТН'!AX$26:AX$72,'ХВС, ТН'!$F$26:$F$72,$F54,'ХВС, ТН'!$G$26:$G$72,$G54)</f>
        <v>0</v>
      </c>
      <c r="AZ54" s="547">
        <f>_xlfn.SUMIFS('ХВС, ТН'!AY$26:AY$72,'ХВС, ТН'!$F$26:$F$72,$F54,'ХВС, ТН'!$G$26:$G$72,$G54)</f>
        <v>0</v>
      </c>
      <c r="BA54" s="547">
        <f>_xlfn.SUMIFS('ХВС, ТН'!AZ$26:AZ$72,'ХВС, ТН'!$F$26:$F$72,$F54,'ХВС, ТН'!$G$26:$G$72,$G54)</f>
        <v>0</v>
      </c>
      <c r="BB54" s="547">
        <f>_xlfn.SUMIFS('ХВС, ТН'!BA$26:BA$72,'ХВС, ТН'!$F$26:$F$72,$F54,'ХВС, ТН'!$G$26:$G$72,$G54)</f>
        <v>0</v>
      </c>
      <c r="BC54" s="547">
        <f>_xlfn.SUMIFS('ХВС, ТН'!BB$26:BB$72,'ХВС, ТН'!$F$26:$F$72,$F54,'ХВС, ТН'!$G$26:$G$72,$G54)</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30"/>
      <c r="BO54" s="1730"/>
      <c r="BP54" s="1730"/>
      <c r="BQ54" s="227"/>
      <c r="BR54" s="227"/>
      <c r="BS54" s="1203" t="s">
        <v>1391</v>
      </c>
    </row>
    <row s="1619" customFormat="1" customHeight="1" ht="16.5">
      <c r="A55" s="225"/>
      <c r="B55" s="924"/>
      <c r="C55" s="225"/>
      <c r="D55" s="225"/>
      <c r="E55" s="794">
        <v>17</v>
      </c>
      <c r="F55" s="919" cm="1" t="str">
        <f t="array" ref="F55:F55">OFFSET(G55,-1,-1)</f>
        <v>2</v>
      </c>
      <c r="G55" s="190" t="s">
        <v>1392</v>
      </c>
      <c r="H55" s="227"/>
      <c r="I55" s="227"/>
      <c r="J55" s="227"/>
      <c r="K55" s="227"/>
      <c r="L55" s="227"/>
      <c r="M55" s="227"/>
      <c r="N55" s="227"/>
      <c r="O55" s="227"/>
      <c r="P55" s="227"/>
      <c r="Q55" s="190"/>
      <c r="R55" s="190"/>
      <c r="S55" s="227"/>
      <c r="T55" s="805" cm="1" t="str">
        <f t="array" ref="T55:T55">T54</f>
        <v>true</v>
      </c>
      <c r="U55" s="225"/>
      <c r="V55" s="225"/>
      <c r="W55" s="225"/>
      <c r="X55" s="225"/>
      <c r="Y55" s="225"/>
      <c r="Z55" s="225"/>
      <c r="AA55" s="227"/>
      <c r="AB55" s="1078" t="s">
        <v>632</v>
      </c>
      <c r="AC55" s="160" t="s">
        <v>1375</v>
      </c>
      <c r="AD55" s="322" t="s">
        <v>1019</v>
      </c>
      <c r="AE55" s="306">
        <f>AE49+AE50+AE51+AE53+AE54</f>
        <v>0</v>
      </c>
      <c r="AF55" s="306">
        <f>AF49+AF50+AF51+AF53+AF54</f>
        <v>0</v>
      </c>
      <c r="AG55" s="306">
        <f>AG49+AG50+AG51+AG53+AG54</f>
        <v>0</v>
      </c>
      <c r="AH55" s="306">
        <f>AG55-AF55</f>
        <v>0</v>
      </c>
      <c r="AI55" s="1079">
        <f>AI49+AI50+AI51+AI53+AI54</f>
        <v>0</v>
      </c>
      <c r="AJ55" s="667">
        <f>AJ49+AJ50+AJ51+AJ53+AJ54</f>
        <v>4941.9999935</v>
      </c>
      <c r="AK55" s="667">
        <f>AK49+AK50+AK51+AK53+AK54</f>
        <v>5210.998484</v>
      </c>
      <c r="AL55" s="667">
        <f>AL49+AL50+AL51+AL53+AL54</f>
        <v>5407.9996015</v>
      </c>
      <c r="AM55" s="667">
        <f>AM49+AM50+AM51+AM53+AM54</f>
        <v>5613.9992955</v>
      </c>
      <c r="AN55" s="667">
        <f>AN49+AN50+AN51+AN53+AN54</f>
        <v>5828.0043105</v>
      </c>
      <c r="AO55" s="667">
        <f>AO49+AO50+AO51+AO53+AO54</f>
        <v>0</v>
      </c>
      <c r="AP55" s="667">
        <f>AP49+AP50+AP51+AP53+AP54</f>
        <v>0</v>
      </c>
      <c r="AQ55" s="667">
        <f>AQ49+AQ50+AQ51+AQ53+AQ54</f>
        <v>0</v>
      </c>
      <c r="AR55" s="667">
        <f>AR49+AR50+AR51+AR53+AR54</f>
        <v>0</v>
      </c>
      <c r="AS55" s="667">
        <f>AS49+AS50+AS51+AS53+AS54</f>
        <v>0</v>
      </c>
      <c r="AT55" s="667">
        <f>AT49+AT50+AT51+AT53+AT54</f>
        <v>4273.0440814893</v>
      </c>
      <c r="AU55" s="667">
        <f>AU49+AU50+AU51+AU53+AU54</f>
        <v>4472.72384966631</v>
      </c>
      <c r="AV55" s="667">
        <f>AV49+AV50+AV51+AV53+AV54</f>
        <v>4601.06399719003</v>
      </c>
      <c r="AW55" s="667">
        <f>AW49+AW50+AW51+AW53+AW54</f>
        <v>4733.35876361082</v>
      </c>
      <c r="AX55" s="667">
        <f>AX49+AX50+AX51+AX53+AX54</f>
        <v>4870.68514225501</v>
      </c>
      <c r="AY55" s="667">
        <f>AY49+AY50+AY51+AY53+AY54</f>
        <v>0</v>
      </c>
      <c r="AZ55" s="667">
        <f>AZ49+AZ50+AZ51+AZ53+AZ54</f>
        <v>0</v>
      </c>
      <c r="BA55" s="667">
        <f>BA49+BA50+BA51+BA53+BA54</f>
        <v>0</v>
      </c>
      <c r="BB55" s="667">
        <f>BB49+BB50+BB51+BB53+BB54</f>
        <v>0</v>
      </c>
      <c r="BC55" s="667">
        <f>BC49+BC50+BC51+BC53+BC54</f>
        <v>0</v>
      </c>
      <c r="BD55" s="667">
        <f>IF(AI55=0,0,(AT55-AI55)/AI55*100)</f>
        <v>0</v>
      </c>
      <c r="BE55" s="667">
        <f>IF(AT55=0,0,(AU55-AT55)/AT55*100)</f>
        <v>4.67300978808099</v>
      </c>
      <c r="BF55" s="667">
        <f>IF(AU55=0,0,(AV55-AU55)/AU55*100)</f>
        <v>2.86939573819865</v>
      </c>
      <c r="BG55" s="667">
        <f>IF(AV55=0,0,(AW55-AV55)/AV55*100)</f>
        <v>2.87530811354906</v>
      </c>
      <c r="BH55" s="667">
        <f>IF(AW55=0,0,(AX55-AW55)/AW55*100)</f>
        <v>2.90124593343589</v>
      </c>
      <c r="BI55" s="667">
        <f>IF(AX55=0,0,(AY55-AX55)/AX55*100)</f>
        <v>-100</v>
      </c>
      <c r="BJ55" s="667">
        <f>IF(AY55=0,0,(AZ55-AY55)/AY55*100)</f>
        <v>0</v>
      </c>
      <c r="BK55" s="667">
        <f>IF(AZ55=0,0,(BA55-AZ55)/AZ55*100)</f>
        <v>0</v>
      </c>
      <c r="BL55" s="667">
        <f>IF(BA55=0,0,(BB55-BA55)/BA55*100)</f>
        <v>0</v>
      </c>
      <c r="BM55" s="667">
        <f>IF(BB55=0,0,(BC55-BB55)/BB55*100)</f>
        <v>0</v>
      </c>
      <c r="BN55" s="1741"/>
      <c r="BO55" s="1741"/>
      <c r="BP55" s="1741"/>
      <c r="BQ55" s="227"/>
      <c r="BR55" s="227"/>
      <c r="BS55" s="1203" t="s">
        <v>592</v>
      </c>
    </row>
    <row s="1619" customFormat="1" customHeight="1" ht="16.5" hidden="1">
      <c r="A56" s="225"/>
      <c r="B56" s="924"/>
      <c r="C56" s="225"/>
      <c r="D56" s="225"/>
      <c r="E56" s="794">
        <v>17</v>
      </c>
      <c r="F56" s="919" cm="1" t="str">
        <f t="array" ref="F56:F56">OFFSET(G56,-1,-1)</f>
        <v>2</v>
      </c>
      <c r="G56" s="190" t="s">
        <v>962</v>
      </c>
      <c r="H56" s="227"/>
      <c r="I56" s="227"/>
      <c r="J56" s="227"/>
      <c r="K56" s="227"/>
      <c r="L56" s="227"/>
      <c r="M56" s="227"/>
      <c r="N56" s="227"/>
      <c r="O56" s="227"/>
      <c r="P56" s="227"/>
      <c r="Q56" s="190"/>
      <c r="R56" s="190" t="s">
        <v>963</v>
      </c>
      <c r="S56" s="227"/>
      <c r="T56" s="805" cm="1" t="str">
        <f t="array" ref="T56:T56">T52</f>
        <v>false</v>
      </c>
      <c r="U56" s="225"/>
      <c r="V56" s="225"/>
      <c r="W56" s="225"/>
      <c r="X56" s="225"/>
      <c r="Y56" s="225"/>
      <c r="Z56" s="225"/>
      <c r="AA56" s="227"/>
      <c r="AB56" s="577" t="s">
        <v>1393</v>
      </c>
      <c r="AC56" s="291" t="s">
        <v>965</v>
      </c>
      <c r="AD56" s="151" t="s">
        <v>805</v>
      </c>
      <c r="AE56" s="307">
        <f>SUM(AE49,AE52)</f>
        <v>0</v>
      </c>
      <c r="AF56" s="307">
        <f>SUM(AF49,AF52)</f>
        <v>0</v>
      </c>
      <c r="AG56" s="307">
        <f>SUM(AG49,AG52)</f>
        <v>0</v>
      </c>
      <c r="AH56" s="307">
        <f>AG56-AF56</f>
        <v>0</v>
      </c>
      <c r="AI56" s="514">
        <f>SUM(AI49,AI52)</f>
        <v>0</v>
      </c>
      <c r="AJ56" s="307">
        <f>SUM(AJ49,AJ52)</f>
        <v>4782.9999935</v>
      </c>
      <c r="AK56" s="307">
        <f>SUM(AK49,AK52)</f>
        <v>5044.998484</v>
      </c>
      <c r="AL56" s="307">
        <f>SUM(AL49,AL52)</f>
        <v>5235.9996015</v>
      </c>
      <c r="AM56" s="307">
        <f>SUM(AM49,AM52)</f>
        <v>5434.9992955</v>
      </c>
      <c r="AN56" s="307">
        <f>SUM(AN49,AN52)</f>
        <v>5642.0043105</v>
      </c>
      <c r="AO56" s="307">
        <f>SUM(AO49,AO52)</f>
        <v>0</v>
      </c>
      <c r="AP56" s="307">
        <f>SUM(AP49,AP52)</f>
        <v>0</v>
      </c>
      <c r="AQ56" s="307">
        <f>SUM(AQ49,AQ52)</f>
        <v>0</v>
      </c>
      <c r="AR56" s="307">
        <f>SUM(AR49,AR52)</f>
        <v>0</v>
      </c>
      <c r="AS56" s="307">
        <f>SUM(AS49,AS52)</f>
        <v>0</v>
      </c>
      <c r="AT56" s="307">
        <f>SUM(AT49,AT52)</f>
        <v>4146.0440814893</v>
      </c>
      <c r="AU56" s="307">
        <f>SUM(AU49,AU52)</f>
        <v>4340.72384966631</v>
      </c>
      <c r="AV56" s="307">
        <f>SUM(AV49,AV52)</f>
        <v>4464.06399719003</v>
      </c>
      <c r="AW56" s="307">
        <f>SUM(AW49,AW52)</f>
        <v>4591.35876361082</v>
      </c>
      <c r="AX56" s="307">
        <f>SUM(AX49,AX52)</f>
        <v>4722.68514225501</v>
      </c>
      <c r="AY56" s="307">
        <f>SUM(AY49,AY52)</f>
        <v>0</v>
      </c>
      <c r="AZ56" s="307">
        <f>SUM(AZ49,AZ52)</f>
        <v>0</v>
      </c>
      <c r="BA56" s="307">
        <f>SUM(BA49,BA52)</f>
        <v>0</v>
      </c>
      <c r="BB56" s="307">
        <f>SUM(BB49,BB52)</f>
        <v>0</v>
      </c>
      <c r="BC56" s="307">
        <f>SUM(BC49,BC52)</f>
        <v>0</v>
      </c>
      <c r="BD56" s="307">
        <f>IF(AI56=0,0,(AT56-AI56)/AI56*100)</f>
        <v>0</v>
      </c>
      <c r="BE56" s="307">
        <f>IF(AT56=0,0,(AU56-AT56)/AT56*100)</f>
        <v>4.6955547107227</v>
      </c>
      <c r="BF56" s="307">
        <f>IF(AU56=0,0,(AV56-AU56)/AU56*100)</f>
        <v>2.84146496748927</v>
      </c>
      <c r="BG56" s="307">
        <f>IF(AV56=0,0,(AW56-AV56)/AV56*100)</f>
        <v>2.85154438872106</v>
      </c>
      <c r="BH56" s="307">
        <f>IF(AW56=0,0,(AX56-AW56)/AW56*100)</f>
        <v>2.86029442275407</v>
      </c>
      <c r="BI56" s="307">
        <f>IF(AX56=0,0,(AY56-AX56)/AX56*100)</f>
        <v>-100</v>
      </c>
      <c r="BJ56" s="307">
        <f>IF(AY56=0,0,(AZ56-AY56)/AY56*100)</f>
        <v>0</v>
      </c>
      <c r="BK56" s="307">
        <f>IF(AZ56=0,0,(BA56-AZ56)/AZ56*100)</f>
        <v>0</v>
      </c>
      <c r="BL56" s="307">
        <f>IF(BA56=0,0,(BB56-BA56)/BA56*100)</f>
        <v>0</v>
      </c>
      <c r="BM56" s="307">
        <f>IF(BB56=0,0,(BC56-BB56)/BB56*100)</f>
        <v>0</v>
      </c>
      <c r="BN56" s="79"/>
      <c r="BO56" s="79"/>
      <c r="BP56" s="79"/>
      <c r="BQ56" s="227"/>
      <c r="BR56" s="227"/>
      <c r="BS56" s="1203" t="s">
        <v>1394</v>
      </c>
    </row>
    <row customHeight="1" ht="9.945">
      <c r="E57" s="794">
        <v>10.2</v>
      </c>
      <c r="U57" s="176" t="s">
        <v>235</v>
      </c>
      <c r="V57" s="168" t="s">
        <v>1395</v>
      </c>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S57" s="1203"/>
    </row>
    <row customHeight="1" ht="11.25" hidden="1">
      <c r="E58" s="794">
        <v>0</v>
      </c>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row>
    <row customHeight="1" ht="14.625">
      <c r="E59" s="794">
        <v>15</v>
      </c>
      <c r="AB59" s="1527" t="s">
        <v>700</v>
      </c>
      <c r="AC59" s="1527"/>
      <c r="AD59" s="1527"/>
      <c r="AE59" s="1527"/>
      <c r="AF59" s="1527"/>
      <c r="AG59" s="1527"/>
      <c r="AH59" s="1527"/>
      <c r="AI59" s="1527"/>
      <c r="AJ59" s="1527"/>
      <c r="AK59" s="1527"/>
      <c r="AL59" s="1527"/>
      <c r="AM59" s="1527"/>
      <c r="AN59" s="1527"/>
      <c r="AO59" s="1527"/>
      <c r="AP59" s="1527"/>
      <c r="AQ59" s="1527"/>
      <c r="AR59" s="1527"/>
      <c r="AS59" s="1527"/>
      <c r="AT59" s="1527"/>
      <c r="AU59" s="1527"/>
      <c r="AV59" s="1527"/>
      <c r="AW59" s="1527"/>
      <c r="AX59" s="1527"/>
      <c r="AY59" s="1527"/>
      <c r="AZ59" s="1527"/>
      <c r="BA59" s="1527"/>
      <c r="BB59" s="1527"/>
      <c r="BC59" s="1527"/>
      <c r="BD59" s="1527"/>
      <c r="BE59" s="1527"/>
      <c r="BF59" s="1527"/>
      <c r="BG59" s="1527"/>
      <c r="BH59" s="1527"/>
      <c r="BI59" s="1527"/>
      <c r="BJ59" s="1527"/>
      <c r="BK59" s="1527"/>
      <c r="BL59" s="1527"/>
      <c r="BM59" s="1527"/>
      <c r="BN59" s="1527"/>
      <c r="BO59" s="1527"/>
      <c r="BP59" s="1527"/>
    </row>
    <row customHeight="1" ht="14.625">
      <c r="E60" s="794">
        <v>15</v>
      </c>
      <c r="AA60" s="918"/>
      <c r="AB60" s="1540"/>
      <c r="AC60" s="1541"/>
      <c r="AD60" s="1541"/>
      <c r="AE60" s="1541"/>
      <c r="AF60" s="1541"/>
      <c r="AG60" s="1541"/>
      <c r="AH60" s="1541"/>
      <c r="AI60" s="1541"/>
      <c r="AJ60" s="1541"/>
      <c r="AK60" s="1541"/>
      <c r="AL60" s="1541"/>
      <c r="AM60" s="1541"/>
      <c r="AN60" s="1541"/>
      <c r="AO60" s="1541"/>
      <c r="AP60" s="1541"/>
      <c r="AQ60" s="1541"/>
      <c r="AR60" s="1541"/>
      <c r="AS60" s="1541"/>
      <c r="AT60" s="1541"/>
      <c r="AU60" s="1541"/>
      <c r="AV60" s="1541"/>
      <c r="AW60" s="1541"/>
      <c r="AX60" s="1541"/>
      <c r="AY60" s="1541"/>
      <c r="AZ60" s="1541"/>
      <c r="BA60" s="1541"/>
      <c r="BB60" s="1541"/>
      <c r="BC60" s="1541"/>
      <c r="BD60" s="1541"/>
      <c r="BE60" s="1541"/>
      <c r="BF60" s="1541"/>
      <c r="BG60" s="1541"/>
      <c r="BH60" s="1541"/>
      <c r="BI60" s="1541"/>
      <c r="BJ60" s="1541"/>
      <c r="BK60" s="1541"/>
      <c r="BL60" s="1541"/>
      <c r="BM60" s="1541"/>
      <c r="BN60" s="1541"/>
      <c r="BO60" s="1541"/>
      <c r="BP60" s="1541"/>
    </row>
    <row customHeight="1" ht="14.625" hidden="1">
      <c r="A61" s="225"/>
      <c r="B61" s="924"/>
      <c r="C61" s="225"/>
      <c r="D61" s="225"/>
      <c r="E61" s="794">
        <v>15</v>
      </c>
      <c r="F61" s="225"/>
      <c r="G61" s="227"/>
      <c r="H61" s="227"/>
      <c r="I61" s="227"/>
      <c r="J61" s="227"/>
      <c r="K61" s="227"/>
      <c r="L61" s="227"/>
      <c r="M61" s="227"/>
      <c r="N61" s="227"/>
      <c r="O61" s="227"/>
      <c r="P61" s="227"/>
      <c r="Q61" s="190"/>
      <c r="R61" s="190"/>
      <c r="S61" s="227"/>
      <c r="T61" s="805">
        <f>ROW(W61)&gt;ROW(W$61)</f>
        <v>0</v>
      </c>
      <c r="U61" s="172"/>
      <c r="V61" s="172"/>
      <c r="W61" s="172" t="s">
        <v>233</v>
      </c>
      <c r="X61" s="172"/>
      <c r="Y61" s="172"/>
      <c r="Z61" s="172"/>
      <c r="AA61" s="914" t="s">
        <v>217</v>
      </c>
      <c r="AB61" s="1865"/>
      <c r="AC61" s="1541"/>
      <c r="AD61" s="1541"/>
      <c r="AE61" s="1541"/>
      <c r="AF61" s="1541"/>
      <c r="AG61" s="1541"/>
      <c r="AH61" s="1541"/>
      <c r="AI61" s="1541"/>
      <c r="AJ61" s="1541"/>
      <c r="AK61" s="1541"/>
      <c r="AL61" s="1541"/>
      <c r="AM61" s="1541"/>
      <c r="AN61" s="1541"/>
      <c r="AO61" s="1541"/>
      <c r="AP61" s="1541"/>
      <c r="AQ61" s="1541"/>
      <c r="AR61" s="1541"/>
      <c r="AS61" s="1541"/>
      <c r="AT61" s="1541"/>
      <c r="AU61" s="1541"/>
      <c r="AV61" s="1541"/>
      <c r="AW61" s="1541"/>
      <c r="AX61" s="1541"/>
      <c r="AY61" s="1541"/>
      <c r="AZ61" s="1541"/>
      <c r="BA61" s="1541"/>
      <c r="BB61" s="1541"/>
      <c r="BC61" s="1541"/>
      <c r="BD61" s="1541"/>
      <c r="BE61" s="1541"/>
      <c r="BF61" s="1541"/>
      <c r="BG61" s="1541"/>
      <c r="BH61" s="1541"/>
      <c r="BI61" s="1541"/>
      <c r="BJ61" s="1541"/>
      <c r="BK61" s="1541"/>
      <c r="BL61" s="1541"/>
      <c r="BM61" s="1541"/>
      <c r="BN61" s="1541"/>
      <c r="BO61" s="1541"/>
      <c r="BP61" s="1541"/>
      <c r="BQ61" s="227"/>
      <c r="BR61" s="227"/>
      <c r="BS61" s="1230"/>
    </row>
    <row customHeight="1" ht="14.625">
      <c r="E62" s="794">
        <v>15</v>
      </c>
      <c r="T62" s="172"/>
      <c r="U62" s="172"/>
      <c r="V62" s="172"/>
      <c r="W62" s="168" t="s">
        <v>234</v>
      </c>
      <c r="X62" s="172"/>
      <c r="Y62" s="172"/>
      <c r="Z62" s="172"/>
      <c r="AA62" s="210"/>
      <c r="AB62" s="1475" t="s">
        <v>701</v>
      </c>
      <c r="AC62" s="1476"/>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47"/>
    </row>
    <row customHeight="1" ht="11.25">
      <c r="AJ63" s="227"/>
      <c r="AK63" s="227"/>
      <c r="AL63" s="227"/>
      <c r="AM63" s="227"/>
      <c r="AN63" s="227"/>
      <c r="AO63" s="227"/>
      <c r="AP63" s="227"/>
      <c r="AQ63" s="227"/>
      <c r="AR63" s="227"/>
      <c r="AS63" s="227"/>
      <c r="AT63" s="227"/>
      <c r="AU63" s="227"/>
      <c r="AV63" s="227"/>
      <c r="AW63" s="227"/>
      <c r="AX63" s="227"/>
      <c r="AY63" s="227"/>
      <c r="AZ63" s="227"/>
      <c r="BA63" s="227"/>
      <c r="BB63" s="227"/>
      <c r="BC63" s="227"/>
      <c r="BD63" s="227"/>
      <c r="BE63" s="227"/>
      <c r="BF63" s="227"/>
      <c r="BG63" s="227"/>
      <c r="BH63" s="227"/>
      <c r="BI63" s="227"/>
      <c r="BJ63" s="227"/>
      <c r="BK63" s="227"/>
      <c r="BL63" s="227"/>
      <c r="BM63" s="227"/>
      <c r="BQ63" s="227"/>
    </row>
  </sheetData>
  <sheetProtection formatColumns="0" formatRows="0" insertRows="0" deleteColumns="0" deleteRows="0" sort="0" autoFilter="0" insertColumns="1"/>
  <mergeCells count="20">
    <mergeCell ref="X27:X36"/>
    <mergeCell ref="Z27:Z36"/>
    <mergeCell ref="AB59:BP59"/>
    <mergeCell ref="AB60:BP60"/>
    <mergeCell ref="AB62:AC62"/>
    <mergeCell ref="BP24:BP25"/>
    <mergeCell ref="BD25:BM25"/>
    <mergeCell ref="AB28:AC28"/>
    <mergeCell ref="AB61:BP61"/>
    <mergeCell ref="AB24:AB25"/>
    <mergeCell ref="AC24:AC25"/>
    <mergeCell ref="AD24:AD25"/>
    <mergeCell ref="BN24:BN25"/>
    <mergeCell ref="BO24:BO25"/>
    <mergeCell ref="X37:X46"/>
    <mergeCell ref="Z37:Z46"/>
    <mergeCell ref="AB38:AC38"/>
    <mergeCell ref="X47:X56"/>
    <mergeCell ref="Z47:Z5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3868D-0A69-7248-0138-00BFE0B91DCC}" mc:Ignorable="x14ac xr xr2 xr3">
  <sheetPr>
    <tabColor rgb="FF002060"/>
    <outlinePr summaryBelow="0"/>
  </sheetPr>
  <dimension ref="A1:AZ169"/>
  <sheetViews>
    <sheetView showGridLines="0" workbookViewId="0">
      <pane xSplit="31" ySplit="26" topLeftCell="AL164" activePane="bottomRight" state="frozen"/>
      <selection pane="bottomLeft" activeCell="A27" sqref="A27"/>
      <selection pane="topRight" activeCell="AF1" sqref="AF1"/>
      <selection pane="bottomRight" activeCell="AO167" sqref="AO167"/>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376</v>
      </c>
      <c r="Z1" s="805" t="s">
        <v>93</v>
      </c>
      <c r="AA1" s="816" t="s">
        <v>90</v>
      </c>
      <c r="AB1" s="816" t="s">
        <v>92</v>
      </c>
      <c r="AH1" s="1440"/>
      <c r="AI1" s="1440"/>
      <c r="AJ1" s="1440"/>
      <c r="AK1" s="1440"/>
      <c r="AL1" s="1440"/>
      <c r="AN1" s="1440"/>
      <c r="AO1" s="1440"/>
      <c r="AP1" s="1440"/>
      <c r="AQ1" s="1440"/>
      <c r="AR1" s="1440"/>
      <c r="AZ1" s="1170" t="s">
        <v>377</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1</v>
      </c>
      <c r="AJ2" s="806">
        <f>AJ6&lt;=last_year_vis</f>
        <v>1</v>
      </c>
      <c r="AK2" s="806">
        <f>AK6&lt;=last_year_vis</f>
        <v>1</v>
      </c>
      <c r="AL2" s="806">
        <f>AL6&lt;=last_year_vis</f>
        <v>1</v>
      </c>
      <c r="AM2" s="156"/>
      <c r="AN2" s="806">
        <f>AN6&lt;=last_year_vis</f>
        <v>1</v>
      </c>
      <c r="AO2" s="806">
        <f>AO6&lt;=last_year_vis</f>
        <v>1</v>
      </c>
      <c r="AP2" s="806">
        <f>AP6&lt;=last_year_vis</f>
        <v>1</v>
      </c>
      <c r="AQ2" s="806">
        <f>AQ6&lt;=last_year_vis</f>
        <v>1</v>
      </c>
      <c r="AR2" s="806">
        <f>AR6&lt;=last_year_vis</f>
        <v>1</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430</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431</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1396</v>
      </c>
      <c r="AC25" s="1550" t="s">
        <v>433</v>
      </c>
      <c r="AD25" s="1550" t="s">
        <v>1397</v>
      </c>
      <c r="AE25" s="1548" t="s">
        <v>1398</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588</v>
      </c>
      <c r="AG26" s="154" t="s">
        <v>407</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309</v>
      </c>
      <c r="X28" s="172">
        <v>0</v>
      </c>
      <c r="AB28" s="317" cm="1" t="str">
        <f t="array" ref="AB28:AB28">INDEX('Общие сведения'!$AG$169:$AG$218,MATCH($F28,'Общие сведения'!$Z$169:$Z$218,0))</f>
        <v>Тариф 0 (Теплоснабжение) - </v>
      </c>
      <c r="AC28" s="318"/>
      <c r="AD28" s="318"/>
      <c r="AE28" s="318"/>
      <c r="AF28" s="318"/>
      <c r="AG28" s="318"/>
      <c r="AZ28" s="1181"/>
    </row>
    <row customHeight="1" ht="50.505" hidden="1">
      <c r="E29" s="794">
        <v>51.8</v>
      </c>
      <c r="F29" s="919" cm="1" t="str">
        <f t="array" ref="F29:F29">F28</f>
        <v>0</v>
      </c>
      <c r="T29" s="816" cm="1" t="str">
        <f t="array" ref="T29:T29">T28</f>
        <v>false</v>
      </c>
      <c r="AB29" s="322" t="s">
        <v>335</v>
      </c>
      <c r="AC29" s="624" t="s">
        <v>63</v>
      </c>
      <c r="AD29" s="625" t="s">
        <v>1399</v>
      </c>
      <c r="AE29" s="626" t="s">
        <v>1400</v>
      </c>
      <c r="AF29" s="364">
        <f>AF30-AF68</f>
        <v>0</v>
      </c>
      <c r="AG29" s="364">
        <f>AG30-AG68</f>
        <v>0</v>
      </c>
      <c r="AZ29" s="1181" t="s">
        <v>1401</v>
      </c>
    </row>
    <row customHeight="1" ht="51.1875" hidden="1">
      <c r="E30" s="794">
        <v>52.5</v>
      </c>
      <c r="F30" s="919" cm="1" t="str">
        <f t="array" ref="F30:F30">F29</f>
        <v>0</v>
      </c>
      <c r="T30" s="816" cm="1" t="str">
        <f t="array" ref="T30:T30">T29</f>
        <v>false</v>
      </c>
      <c r="AB30" s="170" t="s">
        <v>442</v>
      </c>
      <c r="AC30" s="161" t="s">
        <v>1402</v>
      </c>
      <c r="AD30" s="625" t="s">
        <v>1403</v>
      </c>
      <c r="AE30" s="626" t="s">
        <v>1400</v>
      </c>
      <c r="AF30" s="364">
        <f>AF32+AF33+AF59+AF60+AF62+AF63+AF64+AF65-AF66+AF67</f>
        <v>0</v>
      </c>
      <c r="AG30" s="74">
        <f>AG32+AG33+AG59+AG60+AG62+AG63+AG64+AG65-AG66+AG67</f>
        <v>0</v>
      </c>
      <c r="AZ30" s="1181" t="s">
        <v>1404</v>
      </c>
    </row>
    <row customHeight="1" ht="27.105" hidden="1">
      <c r="E31" s="794">
        <v>27.8</v>
      </c>
      <c r="F31" s="919" cm="1" t="str">
        <f t="array" ref="F31:F31">F30</f>
        <v>0</v>
      </c>
      <c r="T31" s="816" cm="1" t="str">
        <f t="array" ref="T31:T31">T30</f>
        <v>false</v>
      </c>
      <c r="AB31" s="170"/>
      <c r="AC31" s="633" t="s">
        <v>1405</v>
      </c>
      <c r="AD31" s="627" t="s">
        <v>1406</v>
      </c>
      <c r="AE31" s="626" t="s">
        <v>1400</v>
      </c>
      <c r="AF31" s="74"/>
      <c r="AG31" s="74"/>
      <c r="AZ31" s="1181" t="s">
        <v>1407</v>
      </c>
    </row>
    <row customHeight="1" ht="29.25" hidden="1">
      <c r="E32" s="794">
        <v>30</v>
      </c>
      <c r="F32" s="919" cm="1" t="str">
        <f t="array" ref="F32:F32">F31</f>
        <v>0</v>
      </c>
      <c r="G32" s="736" t="s">
        <v>1292</v>
      </c>
      <c r="T32" s="816" cm="1" t="str">
        <f t="array" ref="T32:T32">T31</f>
        <v>false</v>
      </c>
      <c r="AB32" s="170" t="s">
        <v>1152</v>
      </c>
      <c r="AC32" s="559" t="s">
        <v>1408</v>
      </c>
      <c r="AD32" s="628" t="s">
        <v>1409</v>
      </c>
      <c r="AE32" s="625" t="s">
        <v>1400</v>
      </c>
      <c r="AF32" s="74">
        <f>_xlfn.SUMIFS('Операционные (5.1)'!AF$26:AF$99,'Операционные (5.1)'!$F$26:$F$99,$F32,'Операционные (5.1)'!$G$26:$G$99,$G32)</f>
        <v>0</v>
      </c>
      <c r="AG32" s="74">
        <f>_xlfn.SUMIFS('Операционные (5.1)'!AG$26:AG$99,'Операционные (5.1)'!$F$26:$F$99,$F32,'Операционные (5.1)'!$G$26:$G$99,$G32)</f>
        <v>0</v>
      </c>
      <c r="AZ32" s="1181" t="s">
        <v>1410</v>
      </c>
    </row>
    <row customHeight="1" ht="40.2675" hidden="1">
      <c r="E33" s="794">
        <v>41.3</v>
      </c>
      <c r="F33" s="919" cm="1" t="str">
        <f t="array" ref="F33:F33">F32</f>
        <v>0</v>
      </c>
      <c r="T33" s="816" cm="1" t="str">
        <f t="array" ref="T33:T33">T32</f>
        <v>false</v>
      </c>
      <c r="AB33" s="170" t="s">
        <v>1156</v>
      </c>
      <c r="AC33" s="559" t="s">
        <v>1411</v>
      </c>
      <c r="AD33" s="628" t="s">
        <v>1412</v>
      </c>
      <c r="AE33" s="625" t="s">
        <v>1400</v>
      </c>
      <c r="AF33" s="364">
        <f>AF34+AF38</f>
        <v>0</v>
      </c>
      <c r="AG33" s="364">
        <f>AG34+AG38</f>
        <v>0</v>
      </c>
      <c r="AZ33" s="1181" t="s">
        <v>1413</v>
      </c>
    </row>
    <row customHeight="1" ht="55.57500000000001" hidden="1">
      <c r="E34" s="794">
        <v>57</v>
      </c>
      <c r="F34" s="919" cm="1" t="str">
        <f t="array" ref="F34:F34">F33</f>
        <v>0</v>
      </c>
      <c r="G34" s="736" t="s">
        <v>1385</v>
      </c>
      <c r="T34" s="816" cm="1" t="str">
        <f t="array" ref="T34:T34">T33</f>
        <v>false</v>
      </c>
      <c r="AB34" s="170" t="s">
        <v>1414</v>
      </c>
      <c r="AC34" s="578" t="s">
        <v>1415</v>
      </c>
      <c r="AD34" s="166" t="s">
        <v>1416</v>
      </c>
      <c r="AE34" s="626" t="s">
        <v>1400</v>
      </c>
      <c r="AF34" s="74">
        <f>_xlfn.SUMIFS('Ресурсы (5.4)'!AF$26:AF$57,'Ресурсы (5.4)'!$F$26:$F$57,$F34,'Ресурсы (5.4)'!$G$26:$G$57,$G34)</f>
        <v>0</v>
      </c>
      <c r="AG34" s="74">
        <f>_xlfn.SUMIFS('Ресурсы (5.4)'!AG$26:AG$57,'Ресурсы (5.4)'!$F$26:$F$57,$F34,'Ресурсы (5.4)'!$G$26:$G$57,$G34)</f>
        <v>0</v>
      </c>
      <c r="AZ34" s="1181" t="s">
        <v>1417</v>
      </c>
    </row>
    <row customHeight="1" ht="24.862499999999997" hidden="1">
      <c r="E35" s="794">
        <v>25.5</v>
      </c>
      <c r="F35" s="919" cm="1" t="str">
        <f t="array" ref="F35:F35">F34</f>
        <v>0</v>
      </c>
      <c r="T35" s="816" cm="1" t="str">
        <f t="array" ref="T35:T35">T34</f>
        <v>false</v>
      </c>
      <c r="AB35" s="170" t="s">
        <v>1418</v>
      </c>
      <c r="AC35" s="630" t="s">
        <v>1419</v>
      </c>
      <c r="AD35" s="166" t="s">
        <v>1420</v>
      </c>
      <c r="AE35" s="626" t="s">
        <v>773</v>
      </c>
      <c r="AF35" s="74"/>
      <c r="AG35" s="74"/>
      <c r="AZ35" s="1181" t="s">
        <v>1421</v>
      </c>
    </row>
    <row customHeight="1" ht="38.805" hidden="1">
      <c r="E36" s="794">
        <v>39.8</v>
      </c>
      <c r="F36" s="919" cm="1" t="str">
        <f t="array" ref="F36:F36">F35</f>
        <v>0</v>
      </c>
      <c r="T36" s="816" cm="1" t="str">
        <f t="array" ref="T36:T36">T35</f>
        <v>false</v>
      </c>
      <c r="AB36" s="170" t="s">
        <v>1422</v>
      </c>
      <c r="AC36" s="630" t="s">
        <v>1423</v>
      </c>
      <c r="AD36" s="166" t="s">
        <v>1424</v>
      </c>
      <c r="AE36" s="626" t="s">
        <v>591</v>
      </c>
      <c r="AF36" s="74"/>
      <c r="AG36" s="74"/>
      <c r="AZ36" s="1181" t="s">
        <v>1425</v>
      </c>
    </row>
    <row customHeight="1" ht="23.400000000000002" hidden="1">
      <c r="E37" s="794">
        <v>24</v>
      </c>
      <c r="F37" s="919" cm="1" t="str">
        <f t="array" ref="F37:F37">F36</f>
        <v>0</v>
      </c>
      <c r="T37" s="816" cm="1" t="str">
        <f t="array" ref="T37:T37">T36</f>
        <v>false</v>
      </c>
      <c r="AB37" s="170" t="s">
        <v>1426</v>
      </c>
      <c r="AC37" s="630" t="s">
        <v>1427</v>
      </c>
      <c r="AD37" s="166" t="s">
        <v>1428</v>
      </c>
      <c r="AE37" s="626" t="s">
        <v>1429</v>
      </c>
      <c r="AF37" s="74"/>
      <c r="AG37" s="74"/>
      <c r="AZ37" s="1181" t="s">
        <v>1430</v>
      </c>
    </row>
    <row customHeight="1" ht="56.355" hidden="1">
      <c r="E38" s="794">
        <v>57.8</v>
      </c>
      <c r="F38" s="919" cm="1" t="str">
        <f t="array" ref="F38:F38">F37</f>
        <v>0</v>
      </c>
      <c r="T38" s="816" cm="1" t="str">
        <f t="array" ref="T38:T38">T37</f>
        <v>false</v>
      </c>
      <c r="AB38" s="170" t="s">
        <v>1431</v>
      </c>
      <c r="AC38" s="559" t="s">
        <v>1432</v>
      </c>
      <c r="AD38" s="166" t="s">
        <v>1433</v>
      </c>
      <c r="AE38" s="626" t="s">
        <v>1400</v>
      </c>
      <c r="AF38" s="364">
        <f>AF39+AF44+AF49+AF54</f>
        <v>0</v>
      </c>
      <c r="AG38" s="364">
        <f>AG39+AG44+AG49+AG54</f>
        <v>0</v>
      </c>
      <c r="AZ38" s="1181" t="s">
        <v>1434</v>
      </c>
    </row>
    <row customHeight="1" ht="19.7925" hidden="1">
      <c r="E39" s="794">
        <v>20.3</v>
      </c>
      <c r="F39" s="919" cm="1" t="str">
        <f t="array" ref="F39:F39">F38</f>
        <v>0</v>
      </c>
      <c r="G39" s="736" t="s">
        <v>925</v>
      </c>
      <c r="T39" s="816" cm="1" t="str">
        <f t="array" ref="T39:T39">T38</f>
        <v>false</v>
      </c>
      <c r="AB39" s="170" t="s">
        <v>1435</v>
      </c>
      <c r="AC39" s="578" t="s">
        <v>1436</v>
      </c>
      <c r="AD39" s="628"/>
      <c r="AE39" s="626" t="s">
        <v>1400</v>
      </c>
      <c r="AF39" s="74">
        <f>_xlfn.SUMIFS('Ресурсы (5.4)'!AF$26:AF$57,'Ресурсы (5.4)'!$F$26:$F$57,$F39,'Ресурсы (5.4)'!$G$26:$G$57,$G39)</f>
        <v>0</v>
      </c>
      <c r="AG39" s="74">
        <f>_xlfn.SUMIFS('Ресурсы (5.4)'!AG$26:AG$57,'Ресурсы (5.4)'!$F$26:$F$57,$F39,'Ресурсы (5.4)'!$G$26:$G$57,$G39)</f>
        <v>0</v>
      </c>
      <c r="AZ39" s="1181" t="s">
        <v>1437</v>
      </c>
    </row>
    <row customHeight="1" ht="27.105" hidden="1">
      <c r="E40" s="794">
        <v>27.8</v>
      </c>
      <c r="F40" s="919" cm="1" t="str">
        <f t="array" ref="F40:F40">F39</f>
        <v>0</v>
      </c>
      <c r="T40" s="816" cm="1" t="str">
        <f t="array" ref="T40:T40">T39</f>
        <v>false</v>
      </c>
      <c r="AB40" s="170" t="s">
        <v>1438</v>
      </c>
      <c r="AC40" s="630" t="s">
        <v>1439</v>
      </c>
      <c r="AD40" s="166" t="s">
        <v>1440</v>
      </c>
      <c r="AE40" s="154" t="s">
        <v>1441</v>
      </c>
      <c r="AF40" s="74"/>
      <c r="AG40" s="74"/>
      <c r="AZ40" s="1181" t="s">
        <v>946</v>
      </c>
    </row>
    <row customHeight="1" ht="26.325000000000003" hidden="1">
      <c r="E41" s="794">
        <v>27</v>
      </c>
      <c r="F41" s="919" cm="1" t="str">
        <f t="array" ref="F41:F41">F40</f>
        <v>0</v>
      </c>
      <c r="T41" s="816" cm="1" t="str">
        <f t="array" ref="T41:T41">T40</f>
        <v>false</v>
      </c>
      <c r="AB41" s="170" t="s">
        <v>1442</v>
      </c>
      <c r="AC41" s="630" t="s">
        <v>1443</v>
      </c>
      <c r="AD41" s="166" t="s">
        <v>1444</v>
      </c>
      <c r="AE41" s="626" t="s">
        <v>591</v>
      </c>
      <c r="AF41" s="74"/>
      <c r="AG41" s="74"/>
      <c r="AZ41" s="1181" t="s">
        <v>1445</v>
      </c>
    </row>
    <row customHeight="1" ht="28.567500000000006" hidden="1">
      <c r="E42" s="794">
        <v>29.3</v>
      </c>
      <c r="F42" s="919" cm="1" t="str">
        <f t="array" ref="F42:F42">F41</f>
        <v>0</v>
      </c>
      <c r="T42" s="816" cm="1" t="str">
        <f t="array" ref="T42:T42">T41</f>
        <v>false</v>
      </c>
      <c r="AB42" s="170" t="s">
        <v>1446</v>
      </c>
      <c r="AC42" s="630" t="s">
        <v>1447</v>
      </c>
      <c r="AD42" s="166" t="s">
        <v>1448</v>
      </c>
      <c r="AE42" s="626" t="s">
        <v>591</v>
      </c>
      <c r="AF42" s="74"/>
      <c r="AG42" s="74"/>
      <c r="AZ42" s="1181" t="s">
        <v>1449</v>
      </c>
    </row>
    <row customHeight="1" ht="33.6375" hidden="1">
      <c r="E43" s="794">
        <v>34.5</v>
      </c>
      <c r="F43" s="919" cm="1" t="str">
        <f t="array" ref="F43:F43">F42</f>
        <v>0</v>
      </c>
      <c r="T43" s="816" cm="1" t="str">
        <f t="array" ref="T43:T43">T42</f>
        <v>false</v>
      </c>
      <c r="AB43" s="170" t="s">
        <v>1450</v>
      </c>
      <c r="AC43" s="630" t="s">
        <v>1451</v>
      </c>
      <c r="AD43" s="166" t="s">
        <v>1452</v>
      </c>
      <c r="AE43" s="626" t="s">
        <v>935</v>
      </c>
      <c r="AF43" s="74"/>
      <c r="AG43" s="74"/>
      <c r="AZ43" s="1181" t="s">
        <v>1453</v>
      </c>
    </row>
    <row customHeight="1" ht="16.867500000000003" hidden="1">
      <c r="E44" s="794">
        <v>17.3</v>
      </c>
      <c r="F44" s="919" cm="1" t="str">
        <f t="array" ref="F44:F44">F43</f>
        <v>0</v>
      </c>
      <c r="G44" s="736" t="s">
        <v>992</v>
      </c>
      <c r="T44" s="816" cm="1" t="str">
        <f t="array" ref="T44:T44">T43</f>
        <v>false</v>
      </c>
      <c r="AB44" s="170" t="s">
        <v>1454</v>
      </c>
      <c r="AC44" s="578" t="s">
        <v>1455</v>
      </c>
      <c r="AD44" s="628"/>
      <c r="AE44" s="626" t="s">
        <v>1400</v>
      </c>
      <c r="AF44" s="74">
        <f>_xlfn.SUMIFS('Ресурсы (5.4)'!AF$26:AF$57,'Ресурсы (5.4)'!$F$26:$F$57,$F44,'Ресурсы (5.4)'!$G$26:$G$57,$G44)</f>
        <v>0</v>
      </c>
      <c r="AG44" s="74">
        <f>_xlfn.SUMIFS('Ресурсы (5.4)'!AG$26:AG$57,'Ресурсы (5.4)'!$F$26:$F$57,$F44,'Ресурсы (5.4)'!$G$26:$G$57,$G44)</f>
        <v>0</v>
      </c>
      <c r="AZ44" s="1181" t="s">
        <v>1456</v>
      </c>
    </row>
    <row customHeight="1" ht="30.03" hidden="1">
      <c r="E45" s="794">
        <v>30.8</v>
      </c>
      <c r="F45" s="919" cm="1" t="str">
        <f t="array" ref="F45:F45">F44</f>
        <v>0</v>
      </c>
      <c r="T45" s="816" cm="1" t="str">
        <f t="array" ref="T45:T45">T44</f>
        <v>false</v>
      </c>
      <c r="AB45" s="170" t="s">
        <v>1457</v>
      </c>
      <c r="AC45" s="630" t="s">
        <v>1458</v>
      </c>
      <c r="AD45" s="166" t="s">
        <v>1459</v>
      </c>
      <c r="AE45" s="626" t="s">
        <v>1460</v>
      </c>
      <c r="AF45" s="74"/>
      <c r="AG45" s="74"/>
      <c r="AZ45" s="1181" t="s">
        <v>1001</v>
      </c>
    </row>
    <row customHeight="1" ht="30.03" hidden="1">
      <c r="E46" s="794">
        <v>30.8</v>
      </c>
      <c r="F46" s="919" cm="1" t="str">
        <f t="array" ref="F46:F46">F45</f>
        <v>0</v>
      </c>
      <c r="T46" s="816" cm="1" t="str">
        <f t="array" ref="T46:T46">T45</f>
        <v>false</v>
      </c>
      <c r="AB46" s="170" t="s">
        <v>1461</v>
      </c>
      <c r="AC46" s="630" t="s">
        <v>1443</v>
      </c>
      <c r="AD46" s="166" t="s">
        <v>1444</v>
      </c>
      <c r="AE46" s="626" t="s">
        <v>591</v>
      </c>
      <c r="AF46" s="74"/>
      <c r="AG46" s="74"/>
      <c r="AZ46" s="1181" t="s">
        <v>1462</v>
      </c>
    </row>
    <row customHeight="1" ht="29.25" hidden="1">
      <c r="E47" s="794">
        <v>30</v>
      </c>
      <c r="F47" s="919" cm="1" t="str">
        <f t="array" ref="F47:F47">F46</f>
        <v>0</v>
      </c>
      <c r="T47" s="816" cm="1" t="str">
        <f t="array" ref="T47:T47">T46</f>
        <v>false</v>
      </c>
      <c r="AB47" s="170" t="s">
        <v>1463</v>
      </c>
      <c r="AC47" s="630" t="s">
        <v>1447</v>
      </c>
      <c r="AD47" s="166" t="s">
        <v>1448</v>
      </c>
      <c r="AE47" s="626" t="s">
        <v>591</v>
      </c>
      <c r="AF47" s="74"/>
      <c r="AG47" s="74"/>
      <c r="AZ47" s="1181" t="s">
        <v>1464</v>
      </c>
    </row>
    <row customHeight="1" ht="21.255000000000003" hidden="1">
      <c r="E48" s="794">
        <v>21.8</v>
      </c>
      <c r="F48" s="919" cm="1" t="str">
        <f t="array" ref="F48:F48">F47</f>
        <v>0</v>
      </c>
      <c r="T48" s="816" cm="1" t="str">
        <f t="array" ref="T48:T48">T47</f>
        <v>false</v>
      </c>
      <c r="AB48" s="170" t="s">
        <v>1465</v>
      </c>
      <c r="AC48" s="630" t="s">
        <v>1466</v>
      </c>
      <c r="AD48" s="166" t="s">
        <v>1452</v>
      </c>
      <c r="AE48" s="626" t="s">
        <v>1467</v>
      </c>
      <c r="AF48" s="74"/>
      <c r="AG48" s="74"/>
      <c r="AZ48" s="1181" t="s">
        <v>1468</v>
      </c>
    </row>
    <row customHeight="1" ht="16.0875" hidden="1">
      <c r="E49" s="794">
        <v>16.5</v>
      </c>
      <c r="F49" s="919" cm="1" t="str">
        <f t="array" ref="F49:F49">F48</f>
        <v>0</v>
      </c>
      <c r="G49" s="736" t="s">
        <v>960</v>
      </c>
      <c r="T49" s="816" cm="1" t="str">
        <f t="array" ref="T49:T49">T48</f>
        <v>false</v>
      </c>
      <c r="AB49" s="170" t="s">
        <v>1469</v>
      </c>
      <c r="AC49" s="578" t="s">
        <v>1470</v>
      </c>
      <c r="AD49" s="628"/>
      <c r="AE49" s="626" t="s">
        <v>1400</v>
      </c>
      <c r="AF49" s="74">
        <f>_xlfn.SUMIFS('Ресурсы (5.4)'!AF$26:AF$57,'Ресурсы (5.4)'!$F$26:$F$57,$F49,'Ресурсы (5.4)'!$G$26:$G$57,$G49)</f>
        <v>0</v>
      </c>
      <c r="AG49" s="74">
        <f>_xlfn.SUMIFS('Ресурсы (5.4)'!AG$26:AG$57,'Ресурсы (5.4)'!$F$26:$F$57,$F49,'Ресурсы (5.4)'!$G$26:$G$57,$G49)</f>
        <v>0</v>
      </c>
      <c r="AZ49" s="1181" t="s">
        <v>1471</v>
      </c>
    </row>
    <row customHeight="1" ht="28.567500000000006" hidden="1">
      <c r="E50" s="794">
        <v>29.3</v>
      </c>
      <c r="F50" s="919" cm="1" t="str">
        <f t="array" ref="F50:F50">F49</f>
        <v>0</v>
      </c>
      <c r="T50" s="816" cm="1" t="str">
        <f t="array" ref="T50:T50">T49</f>
        <v>false</v>
      </c>
      <c r="AB50" s="170" t="s">
        <v>1472</v>
      </c>
      <c r="AC50" s="630" t="s">
        <v>1473</v>
      </c>
      <c r="AD50" s="166" t="s">
        <v>1474</v>
      </c>
      <c r="AE50" s="626" t="s">
        <v>591</v>
      </c>
      <c r="AF50" s="74"/>
      <c r="AG50" s="74"/>
      <c r="AZ50" s="1181" t="s">
        <v>982</v>
      </c>
    </row>
    <row customHeight="1" ht="30.712500000000002" hidden="1">
      <c r="E51" s="794">
        <v>31.5</v>
      </c>
      <c r="F51" s="919" cm="1" t="str">
        <f t="array" ref="F51:F51">F50</f>
        <v>0</v>
      </c>
      <c r="T51" s="816" cm="1" t="str">
        <f t="array" ref="T51:T51">T50</f>
        <v>false</v>
      </c>
      <c r="AB51" s="170" t="s">
        <v>1475</v>
      </c>
      <c r="AC51" s="630" t="s">
        <v>1443</v>
      </c>
      <c r="AD51" s="166" t="s">
        <v>1444</v>
      </c>
      <c r="AE51" s="626" t="s">
        <v>591</v>
      </c>
      <c r="AF51" s="74"/>
      <c r="AG51" s="74"/>
      <c r="AZ51" s="1181" t="s">
        <v>1425</v>
      </c>
    </row>
    <row customHeight="1" ht="27.787500000000005" hidden="1">
      <c r="E52" s="794">
        <v>28.5</v>
      </c>
      <c r="F52" s="919" cm="1" t="str">
        <f t="array" ref="F52:F52">F51</f>
        <v>0</v>
      </c>
      <c r="T52" s="816" cm="1" t="str">
        <f t="array" ref="T52:T52">T51</f>
        <v>false</v>
      </c>
      <c r="AB52" s="170" t="s">
        <v>1476</v>
      </c>
      <c r="AC52" s="630" t="s">
        <v>1447</v>
      </c>
      <c r="AD52" s="166" t="s">
        <v>1448</v>
      </c>
      <c r="AE52" s="626" t="s">
        <v>591</v>
      </c>
      <c r="AF52" s="74"/>
      <c r="AG52" s="74"/>
      <c r="AZ52" s="1181" t="s">
        <v>1477</v>
      </c>
    </row>
    <row customHeight="1" ht="22.23" hidden="1">
      <c r="E53" s="794">
        <v>22.8</v>
      </c>
      <c r="F53" s="919" cm="1" t="str">
        <f t="array" ref="F53:F53">F52</f>
        <v>0</v>
      </c>
      <c r="T53" s="816" cm="1" t="str">
        <f t="array" ref="T53:T53">T52</f>
        <v>false</v>
      </c>
      <c r="AB53" s="170" t="s">
        <v>1478</v>
      </c>
      <c r="AC53" s="630" t="s">
        <v>1479</v>
      </c>
      <c r="AD53" s="166" t="s">
        <v>1452</v>
      </c>
      <c r="AE53" s="626" t="s">
        <v>895</v>
      </c>
      <c r="AF53" s="74"/>
      <c r="AG53" s="74"/>
      <c r="AZ53" s="1181" t="s">
        <v>1480</v>
      </c>
    </row>
    <row customHeight="1" ht="16.0875" hidden="1">
      <c r="E54" s="794">
        <v>16.5</v>
      </c>
      <c r="F54" s="919" cm="1" t="str">
        <f t="array" ref="F54:F54">F53</f>
        <v>0</v>
      </c>
      <c r="G54" s="736" t="s">
        <v>1003</v>
      </c>
      <c r="T54" s="816" cm="1" t="str">
        <f t="array" ref="T54:T54">T53</f>
        <v>false</v>
      </c>
      <c r="AB54" s="170" t="s">
        <v>1481</v>
      </c>
      <c r="AC54" s="578" t="s">
        <v>1482</v>
      </c>
      <c r="AD54" s="628"/>
      <c r="AE54" s="626" t="s">
        <v>1400</v>
      </c>
      <c r="AF54" s="74">
        <f>_xlfn.SUMIFS('Ресурсы (5.4)'!AF$26:AF$57,'Ресурсы (5.4)'!$F$26:$F$57,$F54,'Ресурсы (5.4)'!$G$26:$G$57,$G54)</f>
        <v>0</v>
      </c>
      <c r="AG54" s="74">
        <f>_xlfn.SUMIFS('Ресурсы (5.4)'!AG$26:AG$57,'Ресурсы (5.4)'!$F$26:$F$57,$F54,'Ресурсы (5.4)'!$G$26:$G$57,$G54)</f>
        <v>0</v>
      </c>
      <c r="AZ54" s="1181" t="s">
        <v>1483</v>
      </c>
    </row>
    <row customHeight="1" ht="28.567500000000006" hidden="1">
      <c r="E55" s="794">
        <v>29.3</v>
      </c>
      <c r="F55" s="919" cm="1" t="str">
        <f t="array" ref="F55:F55">F54</f>
        <v>0</v>
      </c>
      <c r="T55" s="816" cm="1" t="str">
        <f t="array" ref="T55:T55">T54</f>
        <v>false</v>
      </c>
      <c r="AB55" s="170" t="s">
        <v>1484</v>
      </c>
      <c r="AC55" s="630" t="s">
        <v>1485</v>
      </c>
      <c r="AD55" s="166" t="s">
        <v>1474</v>
      </c>
      <c r="AE55" s="626" t="s">
        <v>1460</v>
      </c>
      <c r="AF55" s="74"/>
      <c r="AG55" s="74"/>
      <c r="AZ55" s="1181" t="s">
        <v>1010</v>
      </c>
    </row>
    <row customHeight="1" ht="30.712500000000002" hidden="1">
      <c r="E56" s="794">
        <v>31.5</v>
      </c>
      <c r="F56" s="919" cm="1" t="str">
        <f t="array" ref="F56:F56">F55</f>
        <v>0</v>
      </c>
      <c r="T56" s="816" cm="1" t="str">
        <f t="array" ref="T56:T56">T55</f>
        <v>false</v>
      </c>
      <c r="AB56" s="170" t="s">
        <v>1486</v>
      </c>
      <c r="AC56" s="630" t="s">
        <v>1443</v>
      </c>
      <c r="AD56" s="166" t="s">
        <v>1444</v>
      </c>
      <c r="AE56" s="626" t="s">
        <v>591</v>
      </c>
      <c r="AF56" s="74"/>
      <c r="AG56" s="74"/>
      <c r="AZ56" s="1181" t="s">
        <v>1487</v>
      </c>
    </row>
    <row customHeight="1" ht="27.787500000000005" hidden="1">
      <c r="E57" s="794">
        <v>28.5</v>
      </c>
      <c r="F57" s="919" cm="1" t="str">
        <f t="array" ref="F57:F57">F56</f>
        <v>0</v>
      </c>
      <c r="T57" s="816" cm="1" t="str">
        <f t="array" ref="T57:T57">T56</f>
        <v>false</v>
      </c>
      <c r="AB57" s="170" t="s">
        <v>1488</v>
      </c>
      <c r="AC57" s="630" t="s">
        <v>1447</v>
      </c>
      <c r="AD57" s="166" t="s">
        <v>1448</v>
      </c>
      <c r="AE57" s="626" t="s">
        <v>591</v>
      </c>
      <c r="AF57" s="74"/>
      <c r="AG57" s="74"/>
      <c r="AZ57" s="1181" t="s">
        <v>1489</v>
      </c>
    </row>
    <row customHeight="1" ht="22.23" hidden="1">
      <c r="E58" s="794">
        <v>22.8</v>
      </c>
      <c r="F58" s="919" cm="1" t="str">
        <f t="array" ref="F58:F58">F57</f>
        <v>0</v>
      </c>
      <c r="T58" s="816" cm="1" t="str">
        <f t="array" ref="T58:T58">T57</f>
        <v>false</v>
      </c>
      <c r="AB58" s="170" t="s">
        <v>1490</v>
      </c>
      <c r="AC58" s="630" t="s">
        <v>1491</v>
      </c>
      <c r="AD58" s="166" t="s">
        <v>1452</v>
      </c>
      <c r="AE58" s="626" t="s">
        <v>1467</v>
      </c>
      <c r="AF58" s="74"/>
      <c r="AG58" s="74"/>
      <c r="AZ58" s="1181" t="s">
        <v>1492</v>
      </c>
    </row>
    <row customHeight="1" ht="37.3425" hidden="1">
      <c r="E59" s="794">
        <v>38.3</v>
      </c>
      <c r="F59" s="919" cm="1" t="str">
        <f t="array" ref="F59:F59">F58</f>
        <v>0</v>
      </c>
      <c r="G59" s="736" t="s">
        <v>1350</v>
      </c>
      <c r="T59" s="816" cm="1" t="str">
        <f t="array" ref="T59:T59">T58</f>
        <v>false</v>
      </c>
      <c r="AB59" s="170" t="s">
        <v>1493</v>
      </c>
      <c r="AC59" s="559" t="s">
        <v>1494</v>
      </c>
      <c r="AD59" s="628" t="s">
        <v>1495</v>
      </c>
      <c r="AE59" s="626" t="s">
        <v>805</v>
      </c>
      <c r="AF59" s="74">
        <f>_xlfn.SUMIFS('Калькуляция (5.9)'!AF$26:AF$192,'Калькуляция (5.9)'!$F$26:$F$192,$F59,'Калькуляция (5.9)'!$G$26:$G$192,$G59)</f>
        <v>0</v>
      </c>
      <c r="AG59" s="74">
        <f>_xlfn.SUMIFS('Калькуляция (5.9)'!AG$26:AG$192,'Калькуляция (5.9)'!$F$26:$F$192,$F59,'Калькуляция (5.9)'!$G$26:$G$192,$G59)</f>
        <v>0</v>
      </c>
      <c r="AZ59" s="1181" t="s">
        <v>1496</v>
      </c>
    </row>
    <row customHeight="1" ht="20.475" hidden="1">
      <c r="E60" s="794">
        <v>21</v>
      </c>
      <c r="F60" s="919" cm="1" t="str">
        <f t="array" ref="F60:F60">F59</f>
        <v>0</v>
      </c>
      <c r="G60" s="736" t="s">
        <v>1497</v>
      </c>
      <c r="T60" s="816" cm="1" t="str">
        <f t="array" ref="T60:T60">T59</f>
        <v>false</v>
      </c>
      <c r="AB60" s="170" t="s">
        <v>1498</v>
      </c>
      <c r="AC60" s="163" t="s">
        <v>1499</v>
      </c>
      <c r="AD60" s="626"/>
      <c r="AE60" s="626" t="s">
        <v>805</v>
      </c>
      <c r="AF60" s="74">
        <f>_xlfn.SUMIFS('Калькуляция (5.9)'!AF$26:AF$192,'Калькуляция (5.9)'!$F$26:$F$192,$F60,'Калькуляция (5.9)'!$G$26:$G$192,$G60)</f>
        <v>0</v>
      </c>
      <c r="AG60" s="74">
        <f>_xlfn.SUMIFS('Калькуляция (5.9)'!AG$26:AG$192,'Калькуляция (5.9)'!$F$26:$F$192,$F60,'Калькуляция (5.9)'!$G$26:$G$192,$G60)</f>
        <v>0</v>
      </c>
      <c r="AZ60" s="1181" t="s">
        <v>1500</v>
      </c>
    </row>
    <row customHeight="1" ht="20.475" hidden="1">
      <c r="E61" s="794">
        <v>21</v>
      </c>
      <c r="F61" s="919" cm="1" t="str">
        <f t="array" ref="F61:F61">F60</f>
        <v>0</v>
      </c>
      <c r="T61" s="816" cm="1" t="str">
        <f t="array" ref="T61:T61">T60</f>
        <v>false</v>
      </c>
      <c r="AB61" s="170" t="s">
        <v>1501</v>
      </c>
      <c r="AC61" s="1064" t="s">
        <v>1502</v>
      </c>
      <c r="AD61" s="626"/>
      <c r="AE61" s="626" t="s">
        <v>490</v>
      </c>
      <c r="AF61" s="123"/>
      <c r="AG61" s="123"/>
      <c r="AZ61" s="1181" t="s">
        <v>1503</v>
      </c>
    </row>
    <row customHeight="1" ht="21.9375" hidden="1">
      <c r="E62" s="794">
        <v>22.5</v>
      </c>
      <c r="F62" s="919" cm="1" t="str">
        <f t="array" ref="F62:F62">F60</f>
        <v>0</v>
      </c>
      <c r="G62" s="736" t="s">
        <v>1504</v>
      </c>
      <c r="T62" s="816" cm="1" t="str">
        <f t="array" ref="T62:T62">T60</f>
        <v>false</v>
      </c>
      <c r="AB62" s="170" t="s">
        <v>1505</v>
      </c>
      <c r="AC62" s="163" t="s">
        <v>1506</v>
      </c>
      <c r="AD62" s="626"/>
      <c r="AE62" s="626" t="s">
        <v>805</v>
      </c>
      <c r="AF62" s="74">
        <f>_xlfn.SUMIFS('Калькуляция (5.9)'!AF$26:AF$192,'Калькуляция (5.9)'!$F$26:$F$192,$F62,'Калькуляция (5.9)'!$G$26:$G$192,$G62)</f>
        <v>0</v>
      </c>
      <c r="AG62" s="74">
        <f>_xlfn.SUMIFS('Калькуляция (5.9)'!AG$26:AG$192,'Калькуляция (5.9)'!$F$26:$F$192,$F62,'Калькуляция (5.9)'!$G$26:$G$192,$G62)</f>
        <v>0</v>
      </c>
      <c r="AZ62" s="1181" t="s">
        <v>1507</v>
      </c>
    </row>
    <row customHeight="1" ht="22.23" hidden="1">
      <c r="E63" s="794">
        <v>22.8</v>
      </c>
      <c r="F63" s="919" cm="1" t="str">
        <f t="array" ref="F63:F63">F62</f>
        <v>0</v>
      </c>
      <c r="G63" s="736" t="s">
        <v>632</v>
      </c>
      <c r="T63" s="816" cm="1" t="str">
        <f t="array" ref="T63:T63">T62</f>
        <v>false</v>
      </c>
      <c r="AB63" s="170" t="s">
        <v>1508</v>
      </c>
      <c r="AC63" s="163" t="s">
        <v>1509</v>
      </c>
      <c r="AD63" s="626"/>
      <c r="AE63" s="626" t="s">
        <v>805</v>
      </c>
      <c r="AF63" s="74">
        <f>_xlfn.SUMIFS('Калькуляция (5.9)'!AF$26:AF$192,'Калькуляция (5.9)'!$F$26:$F$192,$F63,'Калькуляция (5.9)'!$G$26:$G$192,$G63)</f>
        <v>0</v>
      </c>
      <c r="AG63" s="74">
        <f>_xlfn.SUMIFS('Калькуляция (5.9)'!AG$26:AG$192,'Калькуляция (5.9)'!$F$26:$F$192,$F63,'Калькуляция (5.9)'!$G$26:$G$192,$G63)</f>
        <v>0</v>
      </c>
      <c r="AZ63" s="1181" t="s">
        <v>1510</v>
      </c>
    </row>
    <row customHeight="1" ht="29.25" hidden="1">
      <c r="E64" s="794">
        <v>30</v>
      </c>
      <c r="F64" s="919" cm="1" t="str">
        <f t="array" ref="F64:F64">F63</f>
        <v>0</v>
      </c>
      <c r="T64" s="816" cm="1" t="str">
        <f t="array" ref="T64:T64">T63</f>
        <v>false</v>
      </c>
      <c r="AB64" s="170" t="s">
        <v>1511</v>
      </c>
      <c r="AC64" s="163" t="s">
        <v>1512</v>
      </c>
      <c r="AD64" s="629"/>
      <c r="AE64" s="626" t="s">
        <v>805</v>
      </c>
      <c r="AF64" s="74"/>
      <c r="AG64" s="74"/>
      <c r="AZ64" s="1181" t="s">
        <v>1513</v>
      </c>
    </row>
    <row customHeight="1" ht="37.3425" hidden="1">
      <c r="E65" s="794">
        <v>38.3</v>
      </c>
      <c r="F65" s="919" cm="1" t="str">
        <f t="array" ref="F65:F65">F64</f>
        <v>0</v>
      </c>
      <c r="T65" s="816" cm="1" t="str">
        <f t="array" ref="T65:T65">T64</f>
        <v>false</v>
      </c>
      <c r="AB65" s="170" t="s">
        <v>1514</v>
      </c>
      <c r="AC65" s="163" t="s">
        <v>1515</v>
      </c>
      <c r="AD65" s="626"/>
      <c r="AE65" s="626" t="s">
        <v>805</v>
      </c>
      <c r="AF65" s="74"/>
      <c r="AG65" s="74"/>
      <c r="AZ65" s="1181" t="s">
        <v>1516</v>
      </c>
    </row>
    <row customHeight="1" ht="73.125" hidden="1">
      <c r="E66" s="794">
        <v>75</v>
      </c>
      <c r="F66" s="919" cm="1" t="str">
        <f t="array" ref="F66:F66">F65</f>
        <v>0</v>
      </c>
      <c r="T66" s="816" cm="1" t="str">
        <f t="array" ref="T66:T66">T65</f>
        <v>false</v>
      </c>
      <c r="AB66" s="170" t="s">
        <v>1517</v>
      </c>
      <c r="AC66" s="163" t="s">
        <v>1518</v>
      </c>
      <c r="AD66" s="626"/>
      <c r="AE66" s="626" t="s">
        <v>805</v>
      </c>
      <c r="AF66" s="74"/>
      <c r="AG66" s="74"/>
      <c r="AZ66" s="1181" t="s">
        <v>1519</v>
      </c>
    </row>
    <row customHeight="1" ht="72.44250000000001" hidden="1">
      <c r="E67" s="794">
        <v>74.3</v>
      </c>
      <c r="F67" s="919" cm="1" t="str">
        <f t="array" ref="F67:F67">F66</f>
        <v>0</v>
      </c>
      <c r="T67" s="816" cm="1" t="str">
        <f t="array" ref="T67:T67">T66</f>
        <v>false</v>
      </c>
      <c r="AB67" s="170" t="s">
        <v>1520</v>
      </c>
      <c r="AC67" s="163" t="s">
        <v>1521</v>
      </c>
      <c r="AD67" s="626"/>
      <c r="AE67" s="626" t="s">
        <v>1400</v>
      </c>
      <c r="AF67" s="74"/>
      <c r="AG67" s="74"/>
      <c r="AZ67" s="1181" t="s">
        <v>1522</v>
      </c>
    </row>
    <row customHeight="1" ht="55.57500000000001" hidden="1">
      <c r="E68" s="794">
        <v>57</v>
      </c>
      <c r="F68" s="919" cm="1" t="str">
        <f t="array" ref="F68:F68">F67</f>
        <v>0</v>
      </c>
      <c r="T68" s="816" cm="1" t="str">
        <f t="array" ref="T68:T68">T67</f>
        <v>false</v>
      </c>
      <c r="AB68" s="170" t="s">
        <v>343</v>
      </c>
      <c r="AC68" s="624" t="s">
        <v>1523</v>
      </c>
      <c r="AD68" s="166" t="s">
        <v>1524</v>
      </c>
      <c r="AE68" s="626" t="s">
        <v>1400</v>
      </c>
      <c r="AF68" s="74"/>
      <c r="AG68" s="74"/>
      <c r="AZ68" s="1181" t="s">
        <v>1525</v>
      </c>
    </row>
    <row customHeight="1" ht="11.115" hidden="1">
      <c r="E69" s="794">
        <v>11.4</v>
      </c>
      <c r="F69" s="919" cm="1" t="str">
        <f t="array" ref="F69:F69">F68</f>
        <v>0</v>
      </c>
      <c r="T69" s="816" cm="1" t="str">
        <f t="array" ref="T69:T69">T68</f>
        <v>false</v>
      </c>
    </row>
    <row customHeight="1" ht="11.0175" hidden="1">
      <c r="E70" s="794">
        <v>11.3</v>
      </c>
      <c r="F70" s="919" cm="1" t="str">
        <f t="array" ref="F70:F70">F69</f>
        <v>0</v>
      </c>
      <c r="T70" s="816" cm="1" t="str">
        <f t="array" ref="T70:T70">T69</f>
        <v>false</v>
      </c>
      <c r="AB70" s="670" t="s">
        <v>1396</v>
      </c>
      <c r="AC70" s="1550" t="s">
        <v>488</v>
      </c>
      <c r="AD70" s="322" t="s">
        <v>1146</v>
      </c>
      <c r="AE70" s="154">
        <f>god-2</f>
        <v>2024</v>
      </c>
      <c r="AF70" s="154">
        <f>god-1</f>
        <v>2025</v>
      </c>
      <c r="AG70" s="322" t="s">
        <v>1526</v>
      </c>
      <c r="AH70" s="302" cm="1" t="str">
        <f t="array" ref="AH70:AH70">god</f>
        <v>2026</v>
      </c>
      <c r="AI70" s="154">
        <f>god+1</f>
        <v>2027</v>
      </c>
      <c r="AJ70" s="154">
        <f>god+2</f>
        <v>2028</v>
      </c>
      <c r="AK70" s="154">
        <f>god+3</f>
        <v>2029</v>
      </c>
      <c r="AL70" s="154">
        <f>god+4</f>
        <v>2030</v>
      </c>
      <c r="AM70" s="322" t="s">
        <v>1526</v>
      </c>
      <c r="AN70" s="302" cm="1" t="str">
        <f t="array" ref="AN70:AN70">god</f>
        <v>2026</v>
      </c>
      <c r="AO70" s="154">
        <f>god+1</f>
        <v>2027</v>
      </c>
      <c r="AP70" s="154">
        <f>god+2</f>
        <v>2028</v>
      </c>
      <c r="AQ70" s="154">
        <f>god+3</f>
        <v>2029</v>
      </c>
      <c r="AR70" s="154">
        <f>god+4</f>
        <v>2030</v>
      </c>
      <c r="AU70" s="124" t="s">
        <v>1527</v>
      </c>
    </row>
    <row customHeight="1" ht="21.9375" hidden="1">
      <c r="E71" s="794">
        <v>22.5</v>
      </c>
      <c r="F71" s="919" cm="1" t="str">
        <f t="array" ref="F71:F71">F70</f>
        <v>0</v>
      </c>
      <c r="T71" s="816" cm="1" t="str">
        <f t="array" ref="T71:T71">T70</f>
        <v>false</v>
      </c>
      <c r="AB71" s="1549"/>
      <c r="AC71" s="1551"/>
      <c r="AD71" s="322"/>
      <c r="AE71" s="170" t="s">
        <v>1528</v>
      </c>
      <c r="AF71" s="170" t="s">
        <v>1528</v>
      </c>
      <c r="AG71" s="322"/>
      <c r="AH71" s="170" t="s">
        <v>1529</v>
      </c>
      <c r="AI71" s="170" t="s">
        <v>1529</v>
      </c>
      <c r="AJ71" s="170" t="s">
        <v>1529</v>
      </c>
      <c r="AK71" s="170" t="s">
        <v>1529</v>
      </c>
      <c r="AL71" s="170" t="s">
        <v>1529</v>
      </c>
      <c r="AM71" s="322"/>
      <c r="AN71" s="170" t="s">
        <v>1530</v>
      </c>
      <c r="AO71" s="170" t="s">
        <v>1530</v>
      </c>
      <c r="AP71" s="170" t="s">
        <v>1530</v>
      </c>
      <c r="AQ71" s="170" t="s">
        <v>1530</v>
      </c>
      <c r="AR71" s="170" t="s">
        <v>1530</v>
      </c>
      <c r="AU71" s="124"/>
    </row>
    <row customHeight="1" ht="15.405000000000001" hidden="1">
      <c r="E72" s="794">
        <v>15.8</v>
      </c>
      <c r="F72" s="919" cm="1" t="str">
        <f t="array" ref="F72:F72">F71</f>
        <v>0</v>
      </c>
      <c r="T72" s="816" cm="1" t="str">
        <f t="array" ref="T72:T72">T71</f>
        <v>false</v>
      </c>
      <c r="AB72" s="285" t="s">
        <v>614</v>
      </c>
      <c r="AC72" s="404" t="s">
        <v>1531</v>
      </c>
      <c r="AD72" s="626" t="s">
        <v>805</v>
      </c>
      <c r="AE72" s="818" t="s">
        <v>1532</v>
      </c>
      <c r="AF72" s="818" t="s">
        <v>1532</v>
      </c>
      <c r="AG72" s="419" cm="1" t="str">
        <f t="array" ref="AG72:AG72">AF29</f>
        <v>0</v>
      </c>
      <c r="AH72" s="1038"/>
      <c r="AI72" s="1038"/>
      <c r="AJ72" s="1038"/>
      <c r="AK72" s="1038"/>
      <c r="AL72" s="1038"/>
      <c r="AM72" s="419" cm="1" t="str">
        <f t="array" ref="AM72:AM72">AG29</f>
        <v>0</v>
      </c>
      <c r="AN72" s="1039"/>
      <c r="AO72" s="1039"/>
      <c r="AP72" s="1039"/>
      <c r="AQ72" s="1039"/>
      <c r="AR72" s="1039"/>
      <c r="AU72" s="125"/>
      <c r="AZ72" s="1181" t="s">
        <v>1533</v>
      </c>
    </row>
    <row customHeight="1" ht="27.105" hidden="1">
      <c r="E73" s="794">
        <v>27.8</v>
      </c>
      <c r="F73" s="919" cm="1" t="str">
        <f t="array" ref="F73:F73">F72</f>
        <v>0</v>
      </c>
      <c r="T73" s="816" cm="1" t="str">
        <f t="array" ref="T73:T73">T72</f>
        <v>false</v>
      </c>
      <c r="AB73" s="285" t="s">
        <v>624</v>
      </c>
      <c r="AC73" s="632" t="s">
        <v>1534</v>
      </c>
      <c r="AD73" s="626" t="s">
        <v>805</v>
      </c>
      <c r="AE73" s="126"/>
      <c r="AF73" s="126"/>
      <c r="AG73" s="419">
        <f>SUM(AH73:AL73)</f>
        <v>0</v>
      </c>
      <c r="AH73" s="1038"/>
      <c r="AI73" s="1038"/>
      <c r="AJ73" s="1038"/>
      <c r="AK73" s="1038"/>
      <c r="AL73" s="1038"/>
      <c r="AM73" s="419">
        <f>SUM(AN73:AR73)</f>
        <v>0</v>
      </c>
      <c r="AN73" s="1039"/>
      <c r="AO73" s="1039"/>
      <c r="AP73" s="1039"/>
      <c r="AQ73" s="1039"/>
      <c r="AR73" s="1039"/>
      <c r="AU73" s="125"/>
      <c r="AZ73" s="1181" t="s">
        <v>1535</v>
      </c>
    </row>
    <row customHeight="1" ht="15.405000000000001" hidden="1">
      <c r="E74" s="794">
        <v>15.8</v>
      </c>
      <c r="F74" s="919" cm="1" t="str">
        <f t="array" ref="F74:F74">F73</f>
        <v>0</v>
      </c>
      <c r="G74" s="736" t="s">
        <v>1536</v>
      </c>
      <c r="T74" s="816" cm="1" t="str">
        <f t="array" ref="T74:T74">T73</f>
        <v>false</v>
      </c>
      <c r="AB74" s="311" t="s">
        <v>629</v>
      </c>
      <c r="AC74" s="624" t="s">
        <v>1537</v>
      </c>
      <c r="AD74" s="626" t="s">
        <v>805</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5"/>
      <c r="AZ74" s="1181" t="s">
        <v>1538</v>
      </c>
    </row>
    <row s="1921"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W75" s="217"/>
      <c r="X75" s="172" t="s">
        <v>335</v>
      </c>
      <c r="Y75" s="217"/>
      <c r="Z75" s="217"/>
      <c r="AA75" s="217"/>
      <c r="AB75" s="317" cm="1" t="str">
        <f t="array" ref="AB75:AB75">IF(ISBLANK('Ресурсы (5.4)'!$AB$37),"",'Ресурсы (5.4)'!$AB$37)</f>
        <v>Тариф 1 (Теплоснабжение) - Тариф на тепловую энергию (мощность), поставляемую потребителям (Тариф: Носитель - горячая вода (Т); Носитель - горячая вода (Т))</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19"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335</v>
      </c>
      <c r="AC76" s="624" t="s">
        <v>63</v>
      </c>
      <c r="AD76" s="625" t="s">
        <v>1399</v>
      </c>
      <c r="AE76" s="626" t="s">
        <v>1400</v>
      </c>
      <c r="AF76" s="364">
        <f>AF77-AF115</f>
        <v>0</v>
      </c>
      <c r="AG76" s="364">
        <f>AG77-AG115</f>
        <v>0</v>
      </c>
      <c r="AH76" s="536"/>
      <c r="AI76" s="536"/>
      <c r="AJ76" s="536"/>
      <c r="AK76" s="536"/>
      <c r="AL76" s="536"/>
      <c r="AM76" s="536"/>
      <c r="AN76" s="536"/>
      <c r="AO76" s="536"/>
      <c r="AP76" s="536"/>
      <c r="AQ76" s="536"/>
      <c r="AR76" s="536"/>
      <c r="AS76" s="536"/>
      <c r="AT76" s="536"/>
      <c r="AU76" s="536"/>
      <c r="AV76" s="536"/>
      <c r="AW76" s="536"/>
      <c r="AX76" s="536"/>
      <c r="AY76" s="536"/>
      <c r="AZ76" s="1181" t="s">
        <v>1401</v>
      </c>
    </row>
    <row s="1619"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442</v>
      </c>
      <c r="AC77" s="161" t="s">
        <v>1402</v>
      </c>
      <c r="AD77" s="625" t="s">
        <v>1539</v>
      </c>
      <c r="AE77" s="626" t="s">
        <v>1400</v>
      </c>
      <c r="AF77" s="364">
        <f>AF79+AF80+AF106+AF107+AF109+AF110+AF111+AF112-AF113+AF114</f>
        <v>0</v>
      </c>
      <c r="AG77" s="1731">
        <f>AG79+AG80+AG106+AG107+AG109+AG110+AG111+AG112-AG113+AG114</f>
        <v>0</v>
      </c>
      <c r="AH77" s="536"/>
      <c r="AI77" s="536"/>
      <c r="AJ77" s="536"/>
      <c r="AK77" s="536"/>
      <c r="AL77" s="536"/>
      <c r="AM77" s="536"/>
      <c r="AN77" s="536"/>
      <c r="AO77" s="536"/>
      <c r="AP77" s="536"/>
      <c r="AQ77" s="536"/>
      <c r="AR77" s="536"/>
      <c r="AS77" s="536"/>
      <c r="AT77" s="536"/>
      <c r="AU77" s="536"/>
      <c r="AV77" s="536"/>
      <c r="AW77" s="536"/>
      <c r="AX77" s="536"/>
      <c r="AY77" s="536"/>
      <c r="AZ77" s="1181" t="s">
        <v>1404</v>
      </c>
    </row>
    <row s="1619"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1405</v>
      </c>
      <c r="AD78" s="627" t="s">
        <v>1540</v>
      </c>
      <c r="AE78" s="626" t="s">
        <v>1400</v>
      </c>
      <c r="AF78" s="1731"/>
      <c r="AG78" s="1731"/>
      <c r="AH78" s="536"/>
      <c r="AI78" s="536"/>
      <c r="AJ78" s="536"/>
      <c r="AK78" s="536"/>
      <c r="AL78" s="536"/>
      <c r="AM78" s="536"/>
      <c r="AN78" s="536"/>
      <c r="AO78" s="536"/>
      <c r="AP78" s="536"/>
      <c r="AQ78" s="536"/>
      <c r="AR78" s="536"/>
      <c r="AS78" s="536"/>
      <c r="AT78" s="536"/>
      <c r="AU78" s="536"/>
      <c r="AV78" s="536"/>
      <c r="AW78" s="536"/>
      <c r="AX78" s="536"/>
      <c r="AY78" s="536"/>
      <c r="AZ78" s="1181" t="s">
        <v>1407</v>
      </c>
    </row>
    <row s="1619" customFormat="1" customHeight="1" ht="29.25">
      <c r="A79" s="1440"/>
      <c r="B79" s="924"/>
      <c r="C79" s="1440"/>
      <c r="D79" s="1440"/>
      <c r="E79" s="794">
        <v>30</v>
      </c>
      <c r="F79" s="919" cm="1" t="str">
        <f t="array" ref="F79:F79">F78</f>
        <v>1</v>
      </c>
      <c r="G79" s="736" t="s">
        <v>1292</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1152</v>
      </c>
      <c r="AC79" s="559" t="s">
        <v>1408</v>
      </c>
      <c r="AD79" s="628" t="s">
        <v>1541</v>
      </c>
      <c r="AE79" s="625" t="s">
        <v>1400</v>
      </c>
      <c r="AF79" s="1731">
        <f>_xlfn.SUMIFS('Операционные (5.1)'!AF$26:AF$99,'Операционные (5.1)'!$F$26:$F$99,$F79,'Операционные (5.1)'!$G$26:$G$99,$G79)</f>
        <v>0</v>
      </c>
      <c r="AG79" s="1731">
        <f>_xlfn.SUMIFS('Операционные (5.1)'!AG$26:AG$99,'Операционные (5.1)'!$F$26:$F$99,$F79,'Операционные (5.1)'!$G$26:$G$99,$G79)</f>
        <v>0</v>
      </c>
      <c r="AH79" s="536"/>
      <c r="AI79" s="536"/>
      <c r="AJ79" s="536"/>
      <c r="AK79" s="536"/>
      <c r="AL79" s="536"/>
      <c r="AM79" s="536"/>
      <c r="AN79" s="536"/>
      <c r="AO79" s="536"/>
      <c r="AP79" s="536"/>
      <c r="AQ79" s="536"/>
      <c r="AR79" s="536"/>
      <c r="AS79" s="536"/>
      <c r="AT79" s="536"/>
      <c r="AU79" s="536"/>
      <c r="AV79" s="536"/>
      <c r="AW79" s="536"/>
      <c r="AX79" s="536"/>
      <c r="AY79" s="536"/>
      <c r="AZ79" s="1181" t="s">
        <v>1410</v>
      </c>
    </row>
    <row s="1619"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1156</v>
      </c>
      <c r="AC80" s="559" t="s">
        <v>1411</v>
      </c>
      <c r="AD80" s="628" t="s">
        <v>1412</v>
      </c>
      <c r="AE80" s="625" t="s">
        <v>1400</v>
      </c>
      <c r="AF80" s="364">
        <f>AF81+AF85</f>
        <v>0</v>
      </c>
      <c r="AG80" s="364">
        <f>AG81+AG85</f>
        <v>0</v>
      </c>
      <c r="AH80" s="536"/>
      <c r="AI80" s="536"/>
      <c r="AJ80" s="536"/>
      <c r="AK80" s="536"/>
      <c r="AL80" s="536"/>
      <c r="AM80" s="536"/>
      <c r="AN80" s="536"/>
      <c r="AO80" s="536"/>
      <c r="AP80" s="536"/>
      <c r="AQ80" s="536"/>
      <c r="AR80" s="536"/>
      <c r="AS80" s="536"/>
      <c r="AT80" s="536"/>
      <c r="AU80" s="536"/>
      <c r="AV80" s="536"/>
      <c r="AW80" s="536"/>
      <c r="AX80" s="536"/>
      <c r="AY80" s="536"/>
      <c r="AZ80" s="1181" t="s">
        <v>1413</v>
      </c>
    </row>
    <row s="1619" customFormat="1" customHeight="1" ht="55.5">
      <c r="A81" s="1440"/>
      <c r="B81" s="924"/>
      <c r="C81" s="1440"/>
      <c r="D81" s="1440"/>
      <c r="E81" s="794">
        <v>57</v>
      </c>
      <c r="F81" s="919" cm="1" t="str">
        <f t="array" ref="F81:F81">F80</f>
        <v>1</v>
      </c>
      <c r="G81" s="736" t="s">
        <v>1385</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1414</v>
      </c>
      <c r="AC81" s="578" t="s">
        <v>1415</v>
      </c>
      <c r="AD81" s="166" t="s">
        <v>1416</v>
      </c>
      <c r="AE81" s="626" t="s">
        <v>1400</v>
      </c>
      <c r="AF81" s="1731">
        <f>_xlfn.SUMIFS('Ресурсы (5.4)'!AF$26:AF$57,'Ресурсы (5.4)'!$F$26:$F$57,$F81,'Ресурсы (5.4)'!$G$26:$G$57,$G81)</f>
        <v>0</v>
      </c>
      <c r="AG81" s="1731">
        <f>_xlfn.SUMIFS('Ресурсы (5.4)'!AG$26:AG$57,'Ресурсы (5.4)'!$F$26:$F$57,$F81,'Ресурсы (5.4)'!$G$26:$G$57,$G81)</f>
        <v>0</v>
      </c>
      <c r="AH81" s="536"/>
      <c r="AI81" s="536"/>
      <c r="AJ81" s="536"/>
      <c r="AK81" s="536"/>
      <c r="AL81" s="536"/>
      <c r="AM81" s="536"/>
      <c r="AN81" s="536"/>
      <c r="AO81" s="536"/>
      <c r="AP81" s="536"/>
      <c r="AQ81" s="536"/>
      <c r="AR81" s="536"/>
      <c r="AS81" s="536"/>
      <c r="AT81" s="536"/>
      <c r="AU81" s="536"/>
      <c r="AV81" s="536"/>
      <c r="AW81" s="536"/>
      <c r="AX81" s="536"/>
      <c r="AY81" s="536"/>
      <c r="AZ81" s="1181" t="s">
        <v>1417</v>
      </c>
    </row>
    <row s="1619"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1418</v>
      </c>
      <c r="AC82" s="630" t="s">
        <v>1419</v>
      </c>
      <c r="AD82" s="166" t="s">
        <v>1420</v>
      </c>
      <c r="AE82" s="626" t="s">
        <v>773</v>
      </c>
      <c r="AF82" s="1731"/>
      <c r="AG82" s="1731"/>
      <c r="AH82" s="536"/>
      <c r="AI82" s="536"/>
      <c r="AJ82" s="536"/>
      <c r="AK82" s="536"/>
      <c r="AL82" s="536"/>
      <c r="AM82" s="536"/>
      <c r="AN82" s="536"/>
      <c r="AO82" s="536"/>
      <c r="AP82" s="536"/>
      <c r="AQ82" s="536"/>
      <c r="AR82" s="536"/>
      <c r="AS82" s="536"/>
      <c r="AT82" s="536"/>
      <c r="AU82" s="536"/>
      <c r="AV82" s="536"/>
      <c r="AW82" s="536"/>
      <c r="AX82" s="536"/>
      <c r="AY82" s="536"/>
      <c r="AZ82" s="1181" t="s">
        <v>1421</v>
      </c>
    </row>
    <row s="1619"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1422</v>
      </c>
      <c r="AC83" s="630" t="s">
        <v>1423</v>
      </c>
      <c r="AD83" s="166" t="s">
        <v>1424</v>
      </c>
      <c r="AE83" s="626" t="s">
        <v>591</v>
      </c>
      <c r="AF83" s="1731"/>
      <c r="AG83" s="1731"/>
      <c r="AH83" s="536"/>
      <c r="AI83" s="536"/>
      <c r="AJ83" s="536"/>
      <c r="AK83" s="536"/>
      <c r="AL83" s="536"/>
      <c r="AM83" s="536"/>
      <c r="AN83" s="536"/>
      <c r="AO83" s="536"/>
      <c r="AP83" s="536"/>
      <c r="AQ83" s="536"/>
      <c r="AR83" s="536"/>
      <c r="AS83" s="536"/>
      <c r="AT83" s="536"/>
      <c r="AU83" s="536"/>
      <c r="AV83" s="536"/>
      <c r="AW83" s="536"/>
      <c r="AX83" s="536"/>
      <c r="AY83" s="536"/>
      <c r="AZ83" s="1181" t="s">
        <v>1425</v>
      </c>
    </row>
    <row s="1619"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1426</v>
      </c>
      <c r="AC84" s="630" t="s">
        <v>1427</v>
      </c>
      <c r="AD84" s="166" t="s">
        <v>1542</v>
      </c>
      <c r="AE84" s="626" t="s">
        <v>1429</v>
      </c>
      <c r="AF84" s="1731"/>
      <c r="AG84" s="1731"/>
      <c r="AH84" s="536"/>
      <c r="AI84" s="536"/>
      <c r="AJ84" s="536"/>
      <c r="AK84" s="536"/>
      <c r="AL84" s="536"/>
      <c r="AM84" s="536"/>
      <c r="AN84" s="536"/>
      <c r="AO84" s="536"/>
      <c r="AP84" s="536"/>
      <c r="AQ84" s="536"/>
      <c r="AR84" s="536"/>
      <c r="AS84" s="536"/>
      <c r="AT84" s="536"/>
      <c r="AU84" s="536"/>
      <c r="AV84" s="536"/>
      <c r="AW84" s="536"/>
      <c r="AX84" s="536"/>
      <c r="AY84" s="536"/>
      <c r="AZ84" s="1181" t="s">
        <v>1430</v>
      </c>
    </row>
    <row s="1619"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1431</v>
      </c>
      <c r="AC85" s="559" t="s">
        <v>1432</v>
      </c>
      <c r="AD85" s="166" t="s">
        <v>1433</v>
      </c>
      <c r="AE85" s="626" t="s">
        <v>1400</v>
      </c>
      <c r="AF85" s="364">
        <f>AF86+AF91+AF96+AF101</f>
        <v>0</v>
      </c>
      <c r="AG85" s="364">
        <f>AG86+AG91+AG96+AG101</f>
        <v>0</v>
      </c>
      <c r="AH85" s="536"/>
      <c r="AI85" s="536"/>
      <c r="AJ85" s="536"/>
      <c r="AK85" s="536"/>
      <c r="AL85" s="536"/>
      <c r="AM85" s="536"/>
      <c r="AN85" s="536"/>
      <c r="AO85" s="536"/>
      <c r="AP85" s="536"/>
      <c r="AQ85" s="536"/>
      <c r="AR85" s="536"/>
      <c r="AS85" s="536"/>
      <c r="AT85" s="536"/>
      <c r="AU85" s="536"/>
      <c r="AV85" s="536"/>
      <c r="AW85" s="536"/>
      <c r="AX85" s="536"/>
      <c r="AY85" s="536"/>
      <c r="AZ85" s="1181" t="s">
        <v>1434</v>
      </c>
    </row>
    <row s="1619" customFormat="1" customHeight="1" ht="19.5">
      <c r="A86" s="1440"/>
      <c r="B86" s="924"/>
      <c r="C86" s="1440"/>
      <c r="D86" s="1440"/>
      <c r="E86" s="794">
        <v>20.3</v>
      </c>
      <c r="F86" s="919" cm="1" t="str">
        <f t="array" ref="F86:F86">F85</f>
        <v>1</v>
      </c>
      <c r="G86" s="736" t="s">
        <v>925</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1435</v>
      </c>
      <c r="AC86" s="578" t="s">
        <v>1436</v>
      </c>
      <c r="AD86" s="628"/>
      <c r="AE86" s="626" t="s">
        <v>1400</v>
      </c>
      <c r="AF86" s="1731">
        <f>_xlfn.SUMIFS('Ресурсы (5.4)'!AF$26:AF$57,'Ресурсы (5.4)'!$F$26:$F$57,$F86,'Ресурсы (5.4)'!$G$26:$G$57,$G86)</f>
        <v>0</v>
      </c>
      <c r="AG86" s="1731">
        <f>_xlfn.SUMIFS('Ресурсы (5.4)'!AG$26:AG$57,'Ресурсы (5.4)'!$F$26:$F$57,$F86,'Ресурсы (5.4)'!$G$26:$G$57,$G86)</f>
        <v>0</v>
      </c>
      <c r="AH86" s="536"/>
      <c r="AI86" s="536"/>
      <c r="AJ86" s="536"/>
      <c r="AK86" s="536"/>
      <c r="AL86" s="536"/>
      <c r="AM86" s="536"/>
      <c r="AN86" s="536"/>
      <c r="AO86" s="536"/>
      <c r="AP86" s="536"/>
      <c r="AQ86" s="536"/>
      <c r="AR86" s="536"/>
      <c r="AS86" s="536"/>
      <c r="AT86" s="536"/>
      <c r="AU86" s="536"/>
      <c r="AV86" s="536"/>
      <c r="AW86" s="536"/>
      <c r="AX86" s="536"/>
      <c r="AY86" s="536"/>
      <c r="AZ86" s="1181" t="s">
        <v>1437</v>
      </c>
    </row>
    <row s="1619"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1438</v>
      </c>
      <c r="AC87" s="630" t="s">
        <v>1439</v>
      </c>
      <c r="AD87" s="166" t="s">
        <v>1543</v>
      </c>
      <c r="AE87" s="154" t="s">
        <v>1441</v>
      </c>
      <c r="AF87" s="1731"/>
      <c r="AG87" s="1731"/>
      <c r="AH87" s="536"/>
      <c r="AI87" s="536"/>
      <c r="AJ87" s="536"/>
      <c r="AK87" s="536"/>
      <c r="AL87" s="536"/>
      <c r="AM87" s="536"/>
      <c r="AN87" s="536"/>
      <c r="AO87" s="536"/>
      <c r="AP87" s="536"/>
      <c r="AQ87" s="536"/>
      <c r="AR87" s="536"/>
      <c r="AS87" s="536"/>
      <c r="AT87" s="536"/>
      <c r="AU87" s="536"/>
      <c r="AV87" s="536"/>
      <c r="AW87" s="536"/>
      <c r="AX87" s="536"/>
      <c r="AY87" s="536"/>
      <c r="AZ87" s="1181" t="s">
        <v>946</v>
      </c>
    </row>
    <row s="1619"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1442</v>
      </c>
      <c r="AC88" s="630" t="s">
        <v>1443</v>
      </c>
      <c r="AD88" s="166" t="s">
        <v>1544</v>
      </c>
      <c r="AE88" s="626" t="s">
        <v>591</v>
      </c>
      <c r="AF88" s="1731"/>
      <c r="AG88" s="1731"/>
      <c r="AH88" s="536"/>
      <c r="AI88" s="536"/>
      <c r="AJ88" s="536"/>
      <c r="AK88" s="536"/>
      <c r="AL88" s="536"/>
      <c r="AM88" s="536"/>
      <c r="AN88" s="536"/>
      <c r="AO88" s="536"/>
      <c r="AP88" s="536"/>
      <c r="AQ88" s="536"/>
      <c r="AR88" s="536"/>
      <c r="AS88" s="536"/>
      <c r="AT88" s="536"/>
      <c r="AU88" s="536"/>
      <c r="AV88" s="536"/>
      <c r="AW88" s="536"/>
      <c r="AX88" s="536"/>
      <c r="AY88" s="536"/>
      <c r="AZ88" s="1181" t="s">
        <v>1445</v>
      </c>
    </row>
    <row s="1619"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1446</v>
      </c>
      <c r="AC89" s="630" t="s">
        <v>1447</v>
      </c>
      <c r="AD89" s="166" t="s">
        <v>1545</v>
      </c>
      <c r="AE89" s="626" t="s">
        <v>591</v>
      </c>
      <c r="AF89" s="1731"/>
      <c r="AG89" s="1731"/>
      <c r="AH89" s="536"/>
      <c r="AI89" s="536"/>
      <c r="AJ89" s="536"/>
      <c r="AK89" s="536"/>
      <c r="AL89" s="536"/>
      <c r="AM89" s="536"/>
      <c r="AN89" s="536"/>
      <c r="AO89" s="536"/>
      <c r="AP89" s="536"/>
      <c r="AQ89" s="536"/>
      <c r="AR89" s="536"/>
      <c r="AS89" s="536"/>
      <c r="AT89" s="536"/>
      <c r="AU89" s="536"/>
      <c r="AV89" s="536"/>
      <c r="AW89" s="536"/>
      <c r="AX89" s="536"/>
      <c r="AY89" s="536"/>
      <c r="AZ89" s="1181" t="s">
        <v>1449</v>
      </c>
    </row>
    <row s="1619"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1450</v>
      </c>
      <c r="AC90" s="630" t="s">
        <v>1451</v>
      </c>
      <c r="AD90" s="166" t="s">
        <v>1546</v>
      </c>
      <c r="AE90" s="626" t="s">
        <v>935</v>
      </c>
      <c r="AF90" s="1731"/>
      <c r="AG90" s="1731"/>
      <c r="AH90" s="536"/>
      <c r="AI90" s="536"/>
      <c r="AJ90" s="536"/>
      <c r="AK90" s="536"/>
      <c r="AL90" s="536"/>
      <c r="AM90" s="536"/>
      <c r="AN90" s="536"/>
      <c r="AO90" s="536"/>
      <c r="AP90" s="536"/>
      <c r="AQ90" s="536"/>
      <c r="AR90" s="536"/>
      <c r="AS90" s="536"/>
      <c r="AT90" s="536"/>
      <c r="AU90" s="536"/>
      <c r="AV90" s="536"/>
      <c r="AW90" s="536"/>
      <c r="AX90" s="536"/>
      <c r="AY90" s="536"/>
      <c r="AZ90" s="1181" t="s">
        <v>1453</v>
      </c>
    </row>
    <row s="1619" customFormat="1" customHeight="1" ht="16.5">
      <c r="A91" s="1440"/>
      <c r="B91" s="924"/>
      <c r="C91" s="1440"/>
      <c r="D91" s="1440"/>
      <c r="E91" s="794">
        <v>17.3</v>
      </c>
      <c r="F91" s="919" cm="1" t="str">
        <f t="array" ref="F91:F91">F90</f>
        <v>1</v>
      </c>
      <c r="G91" s="736" t="s">
        <v>992</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1454</v>
      </c>
      <c r="AC91" s="578" t="s">
        <v>1455</v>
      </c>
      <c r="AD91" s="628"/>
      <c r="AE91" s="626" t="s">
        <v>1400</v>
      </c>
      <c r="AF91" s="1731">
        <f>_xlfn.SUMIFS('Ресурсы (5.4)'!AF$26:AF$57,'Ресурсы (5.4)'!$F$26:$F$57,$F91,'Ресурсы (5.4)'!$G$26:$G$57,$G91)</f>
        <v>0</v>
      </c>
      <c r="AG91" s="1731">
        <f>_xlfn.SUMIFS('Ресурсы (5.4)'!AG$26:AG$57,'Ресурсы (5.4)'!$F$26:$F$57,$F91,'Ресурсы (5.4)'!$G$26:$G$57,$G91)</f>
        <v>0</v>
      </c>
      <c r="AH91" s="536"/>
      <c r="AI91" s="536"/>
      <c r="AJ91" s="536"/>
      <c r="AK91" s="536"/>
      <c r="AL91" s="536"/>
      <c r="AM91" s="536"/>
      <c r="AN91" s="536"/>
      <c r="AO91" s="536"/>
      <c r="AP91" s="536"/>
      <c r="AQ91" s="536"/>
      <c r="AR91" s="536"/>
      <c r="AS91" s="536"/>
      <c r="AT91" s="536"/>
      <c r="AU91" s="536"/>
      <c r="AV91" s="536"/>
      <c r="AW91" s="536"/>
      <c r="AX91" s="536"/>
      <c r="AY91" s="536"/>
      <c r="AZ91" s="1181" t="s">
        <v>1456</v>
      </c>
    </row>
    <row s="1619"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1457</v>
      </c>
      <c r="AC92" s="630" t="s">
        <v>1458</v>
      </c>
      <c r="AD92" s="166" t="s">
        <v>1547</v>
      </c>
      <c r="AE92" s="626" t="s">
        <v>1460</v>
      </c>
      <c r="AF92" s="1731"/>
      <c r="AG92" s="1731"/>
      <c r="AH92" s="536"/>
      <c r="AI92" s="536"/>
      <c r="AJ92" s="536"/>
      <c r="AK92" s="536"/>
      <c r="AL92" s="536"/>
      <c r="AM92" s="536"/>
      <c r="AN92" s="536"/>
      <c r="AO92" s="536"/>
      <c r="AP92" s="536"/>
      <c r="AQ92" s="536"/>
      <c r="AR92" s="536"/>
      <c r="AS92" s="536"/>
      <c r="AT92" s="536"/>
      <c r="AU92" s="536"/>
      <c r="AV92" s="536"/>
      <c r="AW92" s="536"/>
      <c r="AX92" s="536"/>
      <c r="AY92" s="536"/>
      <c r="AZ92" s="1181" t="s">
        <v>1001</v>
      </c>
    </row>
    <row s="1619"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1461</v>
      </c>
      <c r="AC93" s="630" t="s">
        <v>1443</v>
      </c>
      <c r="AD93" s="166" t="s">
        <v>1544</v>
      </c>
      <c r="AE93" s="626" t="s">
        <v>591</v>
      </c>
      <c r="AF93" s="1731"/>
      <c r="AG93" s="1731"/>
      <c r="AH93" s="536"/>
      <c r="AI93" s="536"/>
      <c r="AJ93" s="536"/>
      <c r="AK93" s="536"/>
      <c r="AL93" s="536"/>
      <c r="AM93" s="536"/>
      <c r="AN93" s="536"/>
      <c r="AO93" s="536"/>
      <c r="AP93" s="536"/>
      <c r="AQ93" s="536"/>
      <c r="AR93" s="536"/>
      <c r="AS93" s="536"/>
      <c r="AT93" s="536"/>
      <c r="AU93" s="536"/>
      <c r="AV93" s="536"/>
      <c r="AW93" s="536"/>
      <c r="AX93" s="536"/>
      <c r="AY93" s="536"/>
      <c r="AZ93" s="1181" t="s">
        <v>1462</v>
      </c>
    </row>
    <row s="1619"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1463</v>
      </c>
      <c r="AC94" s="630" t="s">
        <v>1447</v>
      </c>
      <c r="AD94" s="166" t="s">
        <v>1545</v>
      </c>
      <c r="AE94" s="626" t="s">
        <v>591</v>
      </c>
      <c r="AF94" s="1731"/>
      <c r="AG94" s="1731"/>
      <c r="AH94" s="536"/>
      <c r="AI94" s="536"/>
      <c r="AJ94" s="536"/>
      <c r="AK94" s="536"/>
      <c r="AL94" s="536"/>
      <c r="AM94" s="536"/>
      <c r="AN94" s="536"/>
      <c r="AO94" s="536"/>
      <c r="AP94" s="536"/>
      <c r="AQ94" s="536"/>
      <c r="AR94" s="536"/>
      <c r="AS94" s="536"/>
      <c r="AT94" s="536"/>
      <c r="AU94" s="536"/>
      <c r="AV94" s="536"/>
      <c r="AW94" s="536"/>
      <c r="AX94" s="536"/>
      <c r="AY94" s="536"/>
      <c r="AZ94" s="1181" t="s">
        <v>1464</v>
      </c>
    </row>
    <row s="1619"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1465</v>
      </c>
      <c r="AC95" s="630" t="s">
        <v>1466</v>
      </c>
      <c r="AD95" s="166" t="s">
        <v>1546</v>
      </c>
      <c r="AE95" s="626" t="s">
        <v>1467</v>
      </c>
      <c r="AF95" s="1731"/>
      <c r="AG95" s="1731"/>
      <c r="AH95" s="536"/>
      <c r="AI95" s="536"/>
      <c r="AJ95" s="536"/>
      <c r="AK95" s="536"/>
      <c r="AL95" s="536"/>
      <c r="AM95" s="536"/>
      <c r="AN95" s="536"/>
      <c r="AO95" s="536"/>
      <c r="AP95" s="536"/>
      <c r="AQ95" s="536"/>
      <c r="AR95" s="536"/>
      <c r="AS95" s="536"/>
      <c r="AT95" s="536"/>
      <c r="AU95" s="536"/>
      <c r="AV95" s="536"/>
      <c r="AW95" s="536"/>
      <c r="AX95" s="536"/>
      <c r="AY95" s="536"/>
      <c r="AZ95" s="1181" t="s">
        <v>1468</v>
      </c>
    </row>
    <row s="1619" customFormat="1" customHeight="1" ht="15.75">
      <c r="A96" s="1440"/>
      <c r="B96" s="924"/>
      <c r="C96" s="1440"/>
      <c r="D96" s="1440"/>
      <c r="E96" s="794">
        <v>16.5</v>
      </c>
      <c r="F96" s="919" cm="1" t="str">
        <f t="array" ref="F96:F96">F95</f>
        <v>1</v>
      </c>
      <c r="G96" s="736" t="s">
        <v>960</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1469</v>
      </c>
      <c r="AC96" s="578" t="s">
        <v>1470</v>
      </c>
      <c r="AD96" s="628"/>
      <c r="AE96" s="626" t="s">
        <v>1400</v>
      </c>
      <c r="AF96" s="1731">
        <f>_xlfn.SUMIFS('Ресурсы (5.4)'!AF$26:AF$57,'Ресурсы (5.4)'!$F$26:$F$57,$F96,'Ресурсы (5.4)'!$G$26:$G$57,$G96)</f>
        <v>0</v>
      </c>
      <c r="AG96" s="1731">
        <f>_xlfn.SUMIFS('Ресурсы (5.4)'!AG$26:AG$57,'Ресурсы (5.4)'!$F$26:$F$57,$F96,'Ресурсы (5.4)'!$G$26:$G$57,$G96)</f>
        <v>0</v>
      </c>
      <c r="AH96" s="536"/>
      <c r="AI96" s="536"/>
      <c r="AJ96" s="536"/>
      <c r="AK96" s="536"/>
      <c r="AL96" s="536"/>
      <c r="AM96" s="536"/>
      <c r="AN96" s="536"/>
      <c r="AO96" s="536"/>
      <c r="AP96" s="536"/>
      <c r="AQ96" s="536"/>
      <c r="AR96" s="536"/>
      <c r="AS96" s="536"/>
      <c r="AT96" s="536"/>
      <c r="AU96" s="536"/>
      <c r="AV96" s="536"/>
      <c r="AW96" s="536"/>
      <c r="AX96" s="536"/>
      <c r="AY96" s="536"/>
      <c r="AZ96" s="1181" t="s">
        <v>1471</v>
      </c>
    </row>
    <row s="1619"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1472</v>
      </c>
      <c r="AC97" s="630" t="s">
        <v>1473</v>
      </c>
      <c r="AD97" s="166" t="s">
        <v>1548</v>
      </c>
      <c r="AE97" s="626" t="s">
        <v>591</v>
      </c>
      <c r="AF97" s="1731"/>
      <c r="AG97" s="1731"/>
      <c r="AH97" s="536"/>
      <c r="AI97" s="536"/>
      <c r="AJ97" s="536"/>
      <c r="AK97" s="536"/>
      <c r="AL97" s="536"/>
      <c r="AM97" s="536"/>
      <c r="AN97" s="536"/>
      <c r="AO97" s="536"/>
      <c r="AP97" s="536"/>
      <c r="AQ97" s="536"/>
      <c r="AR97" s="536"/>
      <c r="AS97" s="536"/>
      <c r="AT97" s="536"/>
      <c r="AU97" s="536"/>
      <c r="AV97" s="536"/>
      <c r="AW97" s="536"/>
      <c r="AX97" s="536"/>
      <c r="AY97" s="536"/>
      <c r="AZ97" s="1181" t="s">
        <v>982</v>
      </c>
    </row>
    <row s="1619"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1475</v>
      </c>
      <c r="AC98" s="630" t="s">
        <v>1443</v>
      </c>
      <c r="AD98" s="166" t="s">
        <v>1544</v>
      </c>
      <c r="AE98" s="626" t="s">
        <v>591</v>
      </c>
      <c r="AF98" s="1731"/>
      <c r="AG98" s="1731"/>
      <c r="AH98" s="536"/>
      <c r="AI98" s="536"/>
      <c r="AJ98" s="536"/>
      <c r="AK98" s="536"/>
      <c r="AL98" s="536"/>
      <c r="AM98" s="536"/>
      <c r="AN98" s="536"/>
      <c r="AO98" s="536"/>
      <c r="AP98" s="536"/>
      <c r="AQ98" s="536"/>
      <c r="AR98" s="536"/>
      <c r="AS98" s="536"/>
      <c r="AT98" s="536"/>
      <c r="AU98" s="536"/>
      <c r="AV98" s="536"/>
      <c r="AW98" s="536"/>
      <c r="AX98" s="536"/>
      <c r="AY98" s="536"/>
      <c r="AZ98" s="1181" t="s">
        <v>1425</v>
      </c>
    </row>
    <row s="1619"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1476</v>
      </c>
      <c r="AC99" s="630" t="s">
        <v>1447</v>
      </c>
      <c r="AD99" s="166" t="s">
        <v>1545</v>
      </c>
      <c r="AE99" s="626" t="s">
        <v>591</v>
      </c>
      <c r="AF99" s="1731"/>
      <c r="AG99" s="1731"/>
      <c r="AH99" s="536"/>
      <c r="AI99" s="536"/>
      <c r="AJ99" s="536"/>
      <c r="AK99" s="536"/>
      <c r="AL99" s="536"/>
      <c r="AM99" s="536"/>
      <c r="AN99" s="536"/>
      <c r="AO99" s="536"/>
      <c r="AP99" s="536"/>
      <c r="AQ99" s="536"/>
      <c r="AR99" s="536"/>
      <c r="AS99" s="536"/>
      <c r="AT99" s="536"/>
      <c r="AU99" s="536"/>
      <c r="AV99" s="536"/>
      <c r="AW99" s="536"/>
      <c r="AX99" s="536"/>
      <c r="AY99" s="536"/>
      <c r="AZ99" s="1181" t="s">
        <v>1477</v>
      </c>
    </row>
    <row s="1619"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1478</v>
      </c>
      <c r="AC100" s="630" t="s">
        <v>1479</v>
      </c>
      <c r="AD100" s="166" t="s">
        <v>1546</v>
      </c>
      <c r="AE100" s="626" t="s">
        <v>895</v>
      </c>
      <c r="AF100" s="1731"/>
      <c r="AG100" s="1731"/>
      <c r="AH100" s="536"/>
      <c r="AI100" s="536"/>
      <c r="AJ100" s="536"/>
      <c r="AK100" s="536"/>
      <c r="AL100" s="536"/>
      <c r="AM100" s="536"/>
      <c r="AN100" s="536"/>
      <c r="AO100" s="536"/>
      <c r="AP100" s="536"/>
      <c r="AQ100" s="536"/>
      <c r="AR100" s="536"/>
      <c r="AS100" s="536"/>
      <c r="AT100" s="536"/>
      <c r="AU100" s="536"/>
      <c r="AV100" s="536"/>
      <c r="AW100" s="536"/>
      <c r="AX100" s="536"/>
      <c r="AY100" s="536"/>
      <c r="AZ100" s="1181" t="s">
        <v>1480</v>
      </c>
    </row>
    <row s="1619" customFormat="1" customHeight="1" ht="15.75">
      <c r="A101" s="1440"/>
      <c r="B101" s="924"/>
      <c r="C101" s="1440"/>
      <c r="D101" s="1440"/>
      <c r="E101" s="794">
        <v>16.5</v>
      </c>
      <c r="F101" s="919" cm="1" t="str">
        <f t="array" ref="F101:F101">F100</f>
        <v>1</v>
      </c>
      <c r="G101" s="736" t="s">
        <v>1003</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1481</v>
      </c>
      <c r="AC101" s="578" t="s">
        <v>1482</v>
      </c>
      <c r="AD101" s="628"/>
      <c r="AE101" s="626" t="s">
        <v>1400</v>
      </c>
      <c r="AF101" s="1731">
        <f>_xlfn.SUMIFS('Ресурсы (5.4)'!AF$26:AF$57,'Ресурсы (5.4)'!$F$26:$F$57,$F101,'Ресурсы (5.4)'!$G$26:$G$57,$G101)</f>
        <v>0</v>
      </c>
      <c r="AG101" s="1731">
        <f>_xlfn.SUMIFS('Ресурсы (5.4)'!AG$26:AG$57,'Ресурсы (5.4)'!$F$26:$F$57,$F101,'Ресурсы (5.4)'!$G$26:$G$57,$G101)</f>
        <v>0</v>
      </c>
      <c r="AH101" s="536"/>
      <c r="AI101" s="536"/>
      <c r="AJ101" s="536"/>
      <c r="AK101" s="536"/>
      <c r="AL101" s="536"/>
      <c r="AM101" s="536"/>
      <c r="AN101" s="536"/>
      <c r="AO101" s="536"/>
      <c r="AP101" s="536"/>
      <c r="AQ101" s="536"/>
      <c r="AR101" s="536"/>
      <c r="AS101" s="536"/>
      <c r="AT101" s="536"/>
      <c r="AU101" s="536"/>
      <c r="AV101" s="536"/>
      <c r="AW101" s="536"/>
      <c r="AX101" s="536"/>
      <c r="AY101" s="536"/>
      <c r="AZ101" s="1181" t="s">
        <v>1483</v>
      </c>
    </row>
    <row s="1619"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1484</v>
      </c>
      <c r="AC102" s="630" t="s">
        <v>1485</v>
      </c>
      <c r="AD102" s="166" t="s">
        <v>1548</v>
      </c>
      <c r="AE102" s="626" t="s">
        <v>1460</v>
      </c>
      <c r="AF102" s="1731"/>
      <c r="AG102" s="1731"/>
      <c r="AH102" s="536"/>
      <c r="AI102" s="536"/>
      <c r="AJ102" s="536"/>
      <c r="AK102" s="536"/>
      <c r="AL102" s="536"/>
      <c r="AM102" s="536"/>
      <c r="AN102" s="536"/>
      <c r="AO102" s="536"/>
      <c r="AP102" s="536"/>
      <c r="AQ102" s="536"/>
      <c r="AR102" s="536"/>
      <c r="AS102" s="536"/>
      <c r="AT102" s="536"/>
      <c r="AU102" s="536"/>
      <c r="AV102" s="536"/>
      <c r="AW102" s="536"/>
      <c r="AX102" s="536"/>
      <c r="AY102" s="536"/>
      <c r="AZ102" s="1181" t="s">
        <v>1010</v>
      </c>
    </row>
    <row s="1619"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1486</v>
      </c>
      <c r="AC103" s="630" t="s">
        <v>1443</v>
      </c>
      <c r="AD103" s="166" t="s">
        <v>1544</v>
      </c>
      <c r="AE103" s="626" t="s">
        <v>591</v>
      </c>
      <c r="AF103" s="1731"/>
      <c r="AG103" s="1731"/>
      <c r="AH103" s="536"/>
      <c r="AI103" s="536"/>
      <c r="AJ103" s="536"/>
      <c r="AK103" s="536"/>
      <c r="AL103" s="536"/>
      <c r="AM103" s="536"/>
      <c r="AN103" s="536"/>
      <c r="AO103" s="536"/>
      <c r="AP103" s="536"/>
      <c r="AQ103" s="536"/>
      <c r="AR103" s="536"/>
      <c r="AS103" s="536"/>
      <c r="AT103" s="536"/>
      <c r="AU103" s="536"/>
      <c r="AV103" s="536"/>
      <c r="AW103" s="536"/>
      <c r="AX103" s="536"/>
      <c r="AY103" s="536"/>
      <c r="AZ103" s="1181" t="s">
        <v>1487</v>
      </c>
    </row>
    <row s="1619"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1488</v>
      </c>
      <c r="AC104" s="630" t="s">
        <v>1447</v>
      </c>
      <c r="AD104" s="166" t="s">
        <v>1545</v>
      </c>
      <c r="AE104" s="626" t="s">
        <v>591</v>
      </c>
      <c r="AF104" s="1731"/>
      <c r="AG104" s="1731"/>
      <c r="AH104" s="536"/>
      <c r="AI104" s="536"/>
      <c r="AJ104" s="536"/>
      <c r="AK104" s="536"/>
      <c r="AL104" s="536"/>
      <c r="AM104" s="536"/>
      <c r="AN104" s="536"/>
      <c r="AO104" s="536"/>
      <c r="AP104" s="536"/>
      <c r="AQ104" s="536"/>
      <c r="AR104" s="536"/>
      <c r="AS104" s="536"/>
      <c r="AT104" s="536"/>
      <c r="AU104" s="536"/>
      <c r="AV104" s="536"/>
      <c r="AW104" s="536"/>
      <c r="AX104" s="536"/>
      <c r="AY104" s="536"/>
      <c r="AZ104" s="1181" t="s">
        <v>1489</v>
      </c>
    </row>
    <row s="1619"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1490</v>
      </c>
      <c r="AC105" s="630" t="s">
        <v>1491</v>
      </c>
      <c r="AD105" s="166" t="s">
        <v>1546</v>
      </c>
      <c r="AE105" s="626" t="s">
        <v>1467</v>
      </c>
      <c r="AF105" s="1731"/>
      <c r="AG105" s="1731"/>
      <c r="AH105" s="536"/>
      <c r="AI105" s="536"/>
      <c r="AJ105" s="536"/>
      <c r="AK105" s="536"/>
      <c r="AL105" s="536"/>
      <c r="AM105" s="536"/>
      <c r="AN105" s="536"/>
      <c r="AO105" s="536"/>
      <c r="AP105" s="536"/>
      <c r="AQ105" s="536"/>
      <c r="AR105" s="536"/>
      <c r="AS105" s="536"/>
      <c r="AT105" s="536"/>
      <c r="AU105" s="536"/>
      <c r="AV105" s="536"/>
      <c r="AW105" s="536"/>
      <c r="AX105" s="536"/>
      <c r="AY105" s="536"/>
      <c r="AZ105" s="1181" t="s">
        <v>1492</v>
      </c>
    </row>
    <row s="1619" customFormat="1" customHeight="1" ht="36.75">
      <c r="A106" s="1440"/>
      <c r="B106" s="924"/>
      <c r="C106" s="1440"/>
      <c r="D106" s="1440"/>
      <c r="E106" s="794">
        <v>38.3</v>
      </c>
      <c r="F106" s="919" cm="1" t="str">
        <f t="array" ref="F106:F106">F105</f>
        <v>1</v>
      </c>
      <c r="G106" s="736" t="s">
        <v>1350</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1493</v>
      </c>
      <c r="AC106" s="559" t="s">
        <v>1494</v>
      </c>
      <c r="AD106" s="628" t="s">
        <v>1495</v>
      </c>
      <c r="AE106" s="626" t="s">
        <v>805</v>
      </c>
      <c r="AF106" s="1731">
        <f>_xlfn.SUMIFS('Калькуляция (5.9)'!AF$26:AF$192,'Калькуляция (5.9)'!$F$26:$F$192,$F106,'Калькуляция (5.9)'!$G$26:$G$192,$G106)</f>
        <v>0</v>
      </c>
      <c r="AG106" s="1731">
        <f>_xlfn.SUMIFS('Калькуляция (5.9)'!AG$26:AG$192,'Калькуляция (5.9)'!$F$26:$F$192,$F106,'Калькуляция (5.9)'!$G$26:$G$192,$G106)</f>
        <v>0</v>
      </c>
      <c r="AH106" s="536"/>
      <c r="AI106" s="536"/>
      <c r="AJ106" s="536"/>
      <c r="AK106" s="536"/>
      <c r="AL106" s="536"/>
      <c r="AM106" s="536"/>
      <c r="AN106" s="536"/>
      <c r="AO106" s="536"/>
      <c r="AP106" s="536"/>
      <c r="AQ106" s="536"/>
      <c r="AR106" s="536"/>
      <c r="AS106" s="536"/>
      <c r="AT106" s="536"/>
      <c r="AU106" s="536"/>
      <c r="AV106" s="536"/>
      <c r="AW106" s="536"/>
      <c r="AX106" s="536"/>
      <c r="AY106" s="536"/>
      <c r="AZ106" s="1181" t="s">
        <v>1496</v>
      </c>
    </row>
    <row s="1619" customFormat="1" customHeight="1" ht="20.25">
      <c r="A107" s="1440"/>
      <c r="B107" s="924"/>
      <c r="C107" s="1440"/>
      <c r="D107" s="1440"/>
      <c r="E107" s="794">
        <v>21</v>
      </c>
      <c r="F107" s="919" cm="1" t="str">
        <f t="array" ref="F107:F107">F106</f>
        <v>1</v>
      </c>
      <c r="G107" s="736" t="s">
        <v>1497</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1498</v>
      </c>
      <c r="AC107" s="163" t="s">
        <v>1499</v>
      </c>
      <c r="AD107" s="626"/>
      <c r="AE107" s="626" t="s">
        <v>805</v>
      </c>
      <c r="AF107" s="1731">
        <f>_xlfn.SUMIFS('Калькуляция (5.9)'!AF$26:AF$192,'Калькуляция (5.9)'!$F$26:$F$192,$F107,'Калькуляция (5.9)'!$G$26:$G$192,$G107)</f>
        <v>0</v>
      </c>
      <c r="AG107" s="1731">
        <f>_xlfn.SUMIFS('Калькуляция (5.9)'!AG$26:AG$192,'Калькуляция (5.9)'!$F$26:$F$192,$F107,'Калькуляция (5.9)'!$G$26:$G$192,$G107)</f>
        <v>0</v>
      </c>
      <c r="AH107" s="536"/>
      <c r="AI107" s="536"/>
      <c r="AJ107" s="536"/>
      <c r="AK107" s="536"/>
      <c r="AL107" s="536"/>
      <c r="AM107" s="536"/>
      <c r="AN107" s="536"/>
      <c r="AO107" s="536"/>
      <c r="AP107" s="536"/>
      <c r="AQ107" s="536"/>
      <c r="AR107" s="536"/>
      <c r="AS107" s="536"/>
      <c r="AT107" s="536"/>
      <c r="AU107" s="536"/>
      <c r="AV107" s="536"/>
      <c r="AW107" s="536"/>
      <c r="AX107" s="536"/>
      <c r="AY107" s="536"/>
      <c r="AZ107" s="1181" t="s">
        <v>1500</v>
      </c>
    </row>
    <row s="1619"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1501</v>
      </c>
      <c r="AC108" s="1064" t="s">
        <v>1502</v>
      </c>
      <c r="AD108" s="626"/>
      <c r="AE108" s="626" t="s">
        <v>490</v>
      </c>
      <c r="AF108" s="1922"/>
      <c r="AG108" s="1922"/>
      <c r="AH108" s="536"/>
      <c r="AI108" s="536"/>
      <c r="AJ108" s="536"/>
      <c r="AK108" s="536"/>
      <c r="AL108" s="536"/>
      <c r="AM108" s="536"/>
      <c r="AN108" s="536"/>
      <c r="AO108" s="536"/>
      <c r="AP108" s="536"/>
      <c r="AQ108" s="536"/>
      <c r="AR108" s="536"/>
      <c r="AS108" s="536"/>
      <c r="AT108" s="536"/>
      <c r="AU108" s="536"/>
      <c r="AV108" s="536"/>
      <c r="AW108" s="536"/>
      <c r="AX108" s="536"/>
      <c r="AY108" s="536"/>
      <c r="AZ108" s="1181" t="s">
        <v>1503</v>
      </c>
    </row>
    <row s="1619" customFormat="1" customHeight="1" ht="21.75">
      <c r="A109" s="1440"/>
      <c r="B109" s="924"/>
      <c r="C109" s="1440"/>
      <c r="D109" s="1440"/>
      <c r="E109" s="794">
        <v>22.5</v>
      </c>
      <c r="F109" s="919" cm="1" t="str">
        <f t="array" ref="F109:F109">F107</f>
        <v>1</v>
      </c>
      <c r="G109" s="736" t="s">
        <v>1504</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1505</v>
      </c>
      <c r="AC109" s="163" t="s">
        <v>1506</v>
      </c>
      <c r="AD109" s="626"/>
      <c r="AE109" s="626" t="s">
        <v>805</v>
      </c>
      <c r="AF109" s="1731">
        <f>_xlfn.SUMIFS('Калькуляция (5.9)'!AF$26:AF$192,'Калькуляция (5.9)'!$F$26:$F$192,$F109,'Калькуляция (5.9)'!$G$26:$G$192,$G109)</f>
        <v>0</v>
      </c>
      <c r="AG109" s="1731">
        <f>_xlfn.SUMIFS('Калькуляция (5.9)'!AG$26:AG$192,'Калькуляция (5.9)'!$F$26:$F$192,$F109,'Калькуляция (5.9)'!$G$26:$G$192,$G109)</f>
        <v>0</v>
      </c>
      <c r="AH109" s="536"/>
      <c r="AI109" s="536"/>
      <c r="AJ109" s="536"/>
      <c r="AK109" s="536"/>
      <c r="AL109" s="536"/>
      <c r="AM109" s="536"/>
      <c r="AN109" s="536"/>
      <c r="AO109" s="536"/>
      <c r="AP109" s="536"/>
      <c r="AQ109" s="536"/>
      <c r="AR109" s="536"/>
      <c r="AS109" s="536"/>
      <c r="AT109" s="536"/>
      <c r="AU109" s="536"/>
      <c r="AV109" s="536"/>
      <c r="AW109" s="536"/>
      <c r="AX109" s="536"/>
      <c r="AY109" s="536"/>
      <c r="AZ109" s="1181" t="s">
        <v>1507</v>
      </c>
    </row>
    <row s="1619" customFormat="1" customHeight="1" ht="21.75">
      <c r="A110" s="1440"/>
      <c r="B110" s="924"/>
      <c r="C110" s="1440"/>
      <c r="D110" s="1440"/>
      <c r="E110" s="794">
        <v>22.8</v>
      </c>
      <c r="F110" s="919" cm="1" t="str">
        <f t="array" ref="F110:F110">F109</f>
        <v>1</v>
      </c>
      <c r="G110" s="736" t="s">
        <v>632</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1508</v>
      </c>
      <c r="AC110" s="163" t="s">
        <v>1509</v>
      </c>
      <c r="AD110" s="626"/>
      <c r="AE110" s="626" t="s">
        <v>805</v>
      </c>
      <c r="AF110" s="1731">
        <f>_xlfn.SUMIFS('Калькуляция (5.9)'!AF$26:AF$192,'Калькуляция (5.9)'!$F$26:$F$192,$F110,'Калькуляция (5.9)'!$G$26:$G$192,$G110)</f>
        <v>0</v>
      </c>
      <c r="AG110" s="1731">
        <f>_xlfn.SUMIFS('Калькуляция (5.9)'!AG$26:AG$192,'Калькуляция (5.9)'!$F$26:$F$192,$F110,'Калькуляция (5.9)'!$G$26:$G$192,$G110)</f>
        <v>0</v>
      </c>
      <c r="AH110" s="536"/>
      <c r="AI110" s="536"/>
      <c r="AJ110" s="536"/>
      <c r="AK110" s="536"/>
      <c r="AL110" s="536"/>
      <c r="AM110" s="536"/>
      <c r="AN110" s="536"/>
      <c r="AO110" s="536"/>
      <c r="AP110" s="536"/>
      <c r="AQ110" s="536"/>
      <c r="AR110" s="536"/>
      <c r="AS110" s="536"/>
      <c r="AT110" s="536"/>
      <c r="AU110" s="536"/>
      <c r="AV110" s="536"/>
      <c r="AW110" s="536"/>
      <c r="AX110" s="536"/>
      <c r="AY110" s="536"/>
      <c r="AZ110" s="1181" t="s">
        <v>1510</v>
      </c>
    </row>
    <row s="1619"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1511</v>
      </c>
      <c r="AC111" s="163" t="s">
        <v>1512</v>
      </c>
      <c r="AD111" s="629"/>
      <c r="AE111" s="626" t="s">
        <v>805</v>
      </c>
      <c r="AF111" s="1731"/>
      <c r="AG111" s="1731"/>
      <c r="AH111" s="536"/>
      <c r="AI111" s="536"/>
      <c r="AJ111" s="536"/>
      <c r="AK111" s="536"/>
      <c r="AL111" s="536"/>
      <c r="AM111" s="536"/>
      <c r="AN111" s="536"/>
      <c r="AO111" s="536"/>
      <c r="AP111" s="536"/>
      <c r="AQ111" s="536"/>
      <c r="AR111" s="536"/>
      <c r="AS111" s="536"/>
      <c r="AT111" s="536"/>
      <c r="AU111" s="536"/>
      <c r="AV111" s="536"/>
      <c r="AW111" s="536"/>
      <c r="AX111" s="536"/>
      <c r="AY111" s="536"/>
      <c r="AZ111" s="1181" t="s">
        <v>1513</v>
      </c>
    </row>
    <row s="1619"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1514</v>
      </c>
      <c r="AC112" s="163" t="s">
        <v>1515</v>
      </c>
      <c r="AD112" s="626"/>
      <c r="AE112" s="626" t="s">
        <v>805</v>
      </c>
      <c r="AF112" s="1731"/>
      <c r="AG112" s="1731"/>
      <c r="AH112" s="536"/>
      <c r="AI112" s="536"/>
      <c r="AJ112" s="536"/>
      <c r="AK112" s="536"/>
      <c r="AL112" s="536"/>
      <c r="AM112" s="536"/>
      <c r="AN112" s="536"/>
      <c r="AO112" s="536"/>
      <c r="AP112" s="536"/>
      <c r="AQ112" s="536"/>
      <c r="AR112" s="536"/>
      <c r="AS112" s="536"/>
      <c r="AT112" s="536"/>
      <c r="AU112" s="536"/>
      <c r="AV112" s="536"/>
      <c r="AW112" s="536"/>
      <c r="AX112" s="536"/>
      <c r="AY112" s="536"/>
      <c r="AZ112" s="1181" t="s">
        <v>1516</v>
      </c>
    </row>
    <row s="1619"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1517</v>
      </c>
      <c r="AC113" s="163" t="s">
        <v>1518</v>
      </c>
      <c r="AD113" s="626"/>
      <c r="AE113" s="626" t="s">
        <v>805</v>
      </c>
      <c r="AF113" s="1731"/>
      <c r="AG113" s="1731"/>
      <c r="AH113" s="536"/>
      <c r="AI113" s="536"/>
      <c r="AJ113" s="536"/>
      <c r="AK113" s="536"/>
      <c r="AL113" s="536"/>
      <c r="AM113" s="536"/>
      <c r="AN113" s="536"/>
      <c r="AO113" s="536"/>
      <c r="AP113" s="536"/>
      <c r="AQ113" s="536"/>
      <c r="AR113" s="536"/>
      <c r="AS113" s="536"/>
      <c r="AT113" s="536"/>
      <c r="AU113" s="536"/>
      <c r="AV113" s="536"/>
      <c r="AW113" s="536"/>
      <c r="AX113" s="536"/>
      <c r="AY113" s="536"/>
      <c r="AZ113" s="1181" t="s">
        <v>1519</v>
      </c>
    </row>
    <row s="1619"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1520</v>
      </c>
      <c r="AC114" s="163" t="s">
        <v>1521</v>
      </c>
      <c r="AD114" s="626"/>
      <c r="AE114" s="626" t="s">
        <v>1400</v>
      </c>
      <c r="AF114" s="1731"/>
      <c r="AG114" s="1731"/>
      <c r="AH114" s="536"/>
      <c r="AI114" s="536"/>
      <c r="AJ114" s="536"/>
      <c r="AK114" s="536"/>
      <c r="AL114" s="536"/>
      <c r="AM114" s="536"/>
      <c r="AN114" s="536"/>
      <c r="AO114" s="536"/>
      <c r="AP114" s="536"/>
      <c r="AQ114" s="536"/>
      <c r="AR114" s="536"/>
      <c r="AS114" s="536"/>
      <c r="AT114" s="536"/>
      <c r="AU114" s="536"/>
      <c r="AV114" s="536"/>
      <c r="AW114" s="536"/>
      <c r="AX114" s="536"/>
      <c r="AY114" s="536"/>
      <c r="AZ114" s="1181" t="s">
        <v>1522</v>
      </c>
    </row>
    <row s="1619"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343</v>
      </c>
      <c r="AC115" s="624" t="s">
        <v>1523</v>
      </c>
      <c r="AD115" s="166" t="s">
        <v>1549</v>
      </c>
      <c r="AE115" s="626" t="s">
        <v>1400</v>
      </c>
      <c r="AF115" s="1731"/>
      <c r="AG115" s="1731"/>
      <c r="AH115" s="536"/>
      <c r="AI115" s="536"/>
      <c r="AJ115" s="536"/>
      <c r="AK115" s="536"/>
      <c r="AL115" s="536"/>
      <c r="AM115" s="536"/>
      <c r="AN115" s="536"/>
      <c r="AO115" s="536"/>
      <c r="AP115" s="536"/>
      <c r="AQ115" s="536"/>
      <c r="AR115" s="536"/>
      <c r="AS115" s="536"/>
      <c r="AT115" s="536"/>
      <c r="AU115" s="536"/>
      <c r="AV115" s="536"/>
      <c r="AW115" s="536"/>
      <c r="AX115" s="536"/>
      <c r="AY115" s="536"/>
      <c r="AZ115" s="1181" t="s">
        <v>1525</v>
      </c>
    </row>
    <row s="1619"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19"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1396</v>
      </c>
      <c r="AC117" s="1550" t="s">
        <v>488</v>
      </c>
      <c r="AD117" s="322" t="s">
        <v>1146</v>
      </c>
      <c r="AE117" s="154">
        <f>god-2</f>
        <v>2024</v>
      </c>
      <c r="AF117" s="154">
        <f>god-1</f>
        <v>2025</v>
      </c>
      <c r="AG117" s="322" t="s">
        <v>1526</v>
      </c>
      <c r="AH117" s="302" cm="1" t="str">
        <f t="array" ref="AH117:AH117">god</f>
        <v>2026</v>
      </c>
      <c r="AI117" s="154">
        <f>god+1</f>
        <v>2027</v>
      </c>
      <c r="AJ117" s="154">
        <f>god+2</f>
        <v>2028</v>
      </c>
      <c r="AK117" s="154">
        <f>god+3</f>
        <v>2029</v>
      </c>
      <c r="AL117" s="154">
        <f>god+4</f>
        <v>2030</v>
      </c>
      <c r="AM117" s="322" t="s">
        <v>1526</v>
      </c>
      <c r="AN117" s="302" cm="1" t="str">
        <f t="array" ref="AN117:AN117">god</f>
        <v>2026</v>
      </c>
      <c r="AO117" s="154">
        <f>god+1</f>
        <v>2027</v>
      </c>
      <c r="AP117" s="154">
        <f>god+2</f>
        <v>2028</v>
      </c>
      <c r="AQ117" s="154">
        <f>god+3</f>
        <v>2029</v>
      </c>
      <c r="AR117" s="154">
        <f>god+4</f>
        <v>2030</v>
      </c>
      <c r="AS117" s="536"/>
      <c r="AT117" s="536"/>
      <c r="AU117" s="124" t="s">
        <v>1527</v>
      </c>
      <c r="AV117" s="536"/>
      <c r="AW117" s="536"/>
      <c r="AX117" s="536"/>
      <c r="AY117" s="536"/>
      <c r="AZ117" s="1244"/>
    </row>
    <row s="1619"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1528</v>
      </c>
      <c r="AF118" s="170" t="s">
        <v>1528</v>
      </c>
      <c r="AG118" s="322"/>
      <c r="AH118" s="170" t="s">
        <v>1529</v>
      </c>
      <c r="AI118" s="170" t="s">
        <v>1529</v>
      </c>
      <c r="AJ118" s="170" t="s">
        <v>1529</v>
      </c>
      <c r="AK118" s="170" t="s">
        <v>1529</v>
      </c>
      <c r="AL118" s="170" t="s">
        <v>1529</v>
      </c>
      <c r="AM118" s="322"/>
      <c r="AN118" s="170" t="s">
        <v>1530</v>
      </c>
      <c r="AO118" s="170" t="s">
        <v>1530</v>
      </c>
      <c r="AP118" s="170" t="s">
        <v>1530</v>
      </c>
      <c r="AQ118" s="170" t="s">
        <v>1530</v>
      </c>
      <c r="AR118" s="170" t="s">
        <v>1530</v>
      </c>
      <c r="AS118" s="536"/>
      <c r="AT118" s="536"/>
      <c r="AU118" s="124"/>
      <c r="AV118" s="536"/>
      <c r="AW118" s="536"/>
      <c r="AX118" s="536"/>
      <c r="AY118" s="536"/>
      <c r="AZ118" s="1244"/>
    </row>
    <row s="1619"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614</v>
      </c>
      <c r="AC119" s="404" t="s">
        <v>1531</v>
      </c>
      <c r="AD119" s="626" t="s">
        <v>805</v>
      </c>
      <c r="AE119" s="818" t="s">
        <v>1532</v>
      </c>
      <c r="AF119" s="818" t="s">
        <v>1532</v>
      </c>
      <c r="AG119" s="419" cm="1" t="str">
        <f t="array" ref="AG119:AG119">AF76</f>
        <v>0</v>
      </c>
      <c r="AH119" s="1038">
        <v>5525</v>
      </c>
      <c r="AI119" s="1038"/>
      <c r="AJ119" s="1038"/>
      <c r="AK119" s="1038"/>
      <c r="AL119" s="1038"/>
      <c r="AM119" s="419" cm="1" t="str">
        <f t="array" ref="AM119:AM119">AG76</f>
        <v>0</v>
      </c>
      <c r="AN119" s="1039">
        <v>4955</v>
      </c>
      <c r="AO119" s="1039"/>
      <c r="AP119" s="1039"/>
      <c r="AQ119" s="1039"/>
      <c r="AR119" s="1039"/>
      <c r="AS119" s="536"/>
      <c r="AT119" s="536"/>
      <c r="AU119" s="125"/>
      <c r="AV119" s="536"/>
      <c r="AW119" s="536"/>
      <c r="AX119" s="536"/>
      <c r="AY119" s="536"/>
      <c r="AZ119" s="1181" t="s">
        <v>1533</v>
      </c>
    </row>
    <row s="1619"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624</v>
      </c>
      <c r="AC120" s="632" t="s">
        <v>1534</v>
      </c>
      <c r="AD120" s="626" t="s">
        <v>805</v>
      </c>
      <c r="AE120" s="1925"/>
      <c r="AF120" s="1925"/>
      <c r="AG120" s="419">
        <f>SUM(AH120:AL120)</f>
        <v>0</v>
      </c>
      <c r="AH120" s="1038"/>
      <c r="AI120" s="1038"/>
      <c r="AJ120" s="1038"/>
      <c r="AK120" s="1038"/>
      <c r="AL120" s="1038"/>
      <c r="AM120" s="419">
        <f>SUM(AN120:AR120)</f>
        <v>0</v>
      </c>
      <c r="AN120" s="1039"/>
      <c r="AO120" s="1039"/>
      <c r="AP120" s="1039"/>
      <c r="AQ120" s="1039"/>
      <c r="AR120" s="1039"/>
      <c r="AS120" s="536"/>
      <c r="AT120" s="536"/>
      <c r="AU120" s="125"/>
      <c r="AV120" s="536"/>
      <c r="AW120" s="536"/>
      <c r="AX120" s="536"/>
      <c r="AY120" s="536"/>
      <c r="AZ120" s="1181" t="s">
        <v>1535</v>
      </c>
    </row>
    <row s="1619" customFormat="1" customHeight="1" ht="15">
      <c r="A121" s="1440"/>
      <c r="B121" s="924"/>
      <c r="C121" s="1440"/>
      <c r="D121" s="1440"/>
      <c r="E121" s="794">
        <v>15.8</v>
      </c>
      <c r="F121" s="919" cm="1" t="str">
        <f t="array" ref="F121:F121">F120</f>
        <v>1</v>
      </c>
      <c r="G121" s="736" t="s">
        <v>1536</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629</v>
      </c>
      <c r="AC121" s="624" t="s">
        <v>1537</v>
      </c>
      <c r="AD121" s="626" t="s">
        <v>805</v>
      </c>
      <c r="AE121" s="419" cm="1" t="str">
        <f t="array" ref="AE121:AE121">AE120</f>
        <v>0</v>
      </c>
      <c r="AF121" s="419" cm="1" t="str">
        <f t="array" ref="AF121:AF121">AF120</f>
        <v>0</v>
      </c>
      <c r="AG121" s="419">
        <f>AG119+AG120</f>
        <v>0</v>
      </c>
      <c r="AH121" s="419">
        <f>AH119+AH120</f>
        <v>5525</v>
      </c>
      <c r="AI121" s="419">
        <f>AI119+AI120</f>
        <v>0</v>
      </c>
      <c r="AJ121" s="419">
        <f>AJ119+AJ120</f>
        <v>0</v>
      </c>
      <c r="AK121" s="419">
        <f>AK119+AK120</f>
        <v>0</v>
      </c>
      <c r="AL121" s="419">
        <f>AL119+AL120</f>
        <v>0</v>
      </c>
      <c r="AM121" s="419">
        <f>AM119+AM120</f>
        <v>0</v>
      </c>
      <c r="AN121" s="419">
        <f>AN119+AN120</f>
        <v>4955</v>
      </c>
      <c r="AO121" s="419">
        <f>AO119+AO120</f>
        <v>0</v>
      </c>
      <c r="AP121" s="419">
        <f>AP119+AP120</f>
        <v>0</v>
      </c>
      <c r="AQ121" s="419">
        <f>AQ119+AQ120</f>
        <v>0</v>
      </c>
      <c r="AR121" s="419">
        <f>AR119+AR120</f>
        <v>0</v>
      </c>
      <c r="AS121" s="536"/>
      <c r="AT121" s="536"/>
      <c r="AU121" s="125"/>
      <c r="AV121" s="536"/>
      <c r="AW121" s="536"/>
      <c r="AX121" s="536"/>
      <c r="AY121" s="536"/>
      <c r="AZ121" s="1181" t="s">
        <v>1538</v>
      </c>
    </row>
    <row s="1926" customFormat="1" customHeight="1" ht="10.5">
      <c r="A122" s="217"/>
      <c r="B122" s="217"/>
      <c r="C122" s="217"/>
      <c r="D122" s="217"/>
      <c r="E122" s="794">
        <v>11.4</v>
      </c>
      <c r="F122" s="919" cm="1" t="str">
        <f t="array" ref="F122:F122">X122</f>
        <v>2</v>
      </c>
      <c r="G122" s="217"/>
      <c r="H122" s="217"/>
      <c r="I122" s="217"/>
      <c r="J122" s="217"/>
      <c r="K122" s="217"/>
      <c r="L122" s="217"/>
      <c r="M122" s="217"/>
      <c r="N122" s="217"/>
      <c r="O122" s="217"/>
      <c r="P122" s="217"/>
      <c r="Q122" s="217"/>
      <c r="R122" s="217"/>
      <c r="S122" s="217"/>
      <c r="T122" s="805">
        <f>X122&gt;0</f>
        <v>1</v>
      </c>
      <c r="U122" s="217"/>
      <c r="V122" s="172" cm="1" t="str">
        <f t="array" ref="V122:V122">'Ресурсы (5.4)'!$AB$47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122" s="217"/>
      <c r="X122" s="172" t="s">
        <v>343</v>
      </c>
      <c r="Y122" s="217"/>
      <c r="Z122" s="217"/>
      <c r="AA122" s="217"/>
      <c r="AB122" s="317" cm="1" t="str">
        <f t="array" ref="AB122:AB122">IF(ISBLANK('Ресурсы (5.4)'!$AB$47),"",'Ресурсы (5.4)'!$AB$47)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122" s="318"/>
      <c r="AD122" s="318"/>
      <c r="AE122" s="318"/>
      <c r="AF122" s="318"/>
      <c r="AG122" s="318"/>
      <c r="AH122" s="217"/>
      <c r="AI122" s="217"/>
      <c r="AJ122" s="217"/>
      <c r="AK122" s="217"/>
      <c r="AL122" s="217"/>
      <c r="AM122" s="217"/>
      <c r="AN122" s="217"/>
      <c r="AO122" s="217"/>
      <c r="AP122" s="217"/>
      <c r="AQ122" s="217"/>
      <c r="AR122" s="217"/>
      <c r="AS122" s="217"/>
      <c r="AT122" s="217"/>
      <c r="AU122" s="217"/>
      <c r="AV122" s="217"/>
      <c r="AW122" s="217"/>
      <c r="AX122" s="217"/>
      <c r="AY122" s="217"/>
      <c r="AZ122" s="1181"/>
    </row>
    <row s="1619" customFormat="1" customHeight="1" ht="50.25">
      <c r="A123" s="1440"/>
      <c r="B123" s="924"/>
      <c r="C123" s="1440"/>
      <c r="D123" s="1440"/>
      <c r="E123" s="794">
        <v>51.8</v>
      </c>
      <c r="F123" s="919" cm="1" t="str">
        <f t="array" ref="F123:F123">F122</f>
        <v>2</v>
      </c>
      <c r="G123" s="962"/>
      <c r="H123" s="962"/>
      <c r="I123" s="962"/>
      <c r="J123" s="962"/>
      <c r="K123" s="962"/>
      <c r="L123" s="962"/>
      <c r="M123" s="962"/>
      <c r="N123" s="962"/>
      <c r="O123" s="962"/>
      <c r="P123" s="962"/>
      <c r="Q123" s="925"/>
      <c r="R123" s="925"/>
      <c r="S123" s="962"/>
      <c r="T123" s="816" cm="1" t="str">
        <f t="array" ref="T123:T123">T122</f>
        <v>true</v>
      </c>
      <c r="U123" s="1440"/>
      <c r="V123" s="1440"/>
      <c r="W123" s="1440"/>
      <c r="X123" s="1440"/>
      <c r="Y123" s="1440"/>
      <c r="Z123" s="1440"/>
      <c r="AA123" s="934"/>
      <c r="AB123" s="322" t="s">
        <v>335</v>
      </c>
      <c r="AC123" s="624" t="s">
        <v>63</v>
      </c>
      <c r="AD123" s="625" t="s">
        <v>1399</v>
      </c>
      <c r="AE123" s="626" t="s">
        <v>1400</v>
      </c>
      <c r="AF123" s="364">
        <f>AF124-AF162</f>
        <v>0</v>
      </c>
      <c r="AG123" s="364">
        <f>AG124-AG162</f>
        <v>0</v>
      </c>
      <c r="AH123" s="536"/>
      <c r="AI123" s="536"/>
      <c r="AJ123" s="536"/>
      <c r="AK123" s="536"/>
      <c r="AL123" s="536"/>
      <c r="AM123" s="536"/>
      <c r="AN123" s="536"/>
      <c r="AO123" s="536"/>
      <c r="AP123" s="536"/>
      <c r="AQ123" s="536"/>
      <c r="AR123" s="536"/>
      <c r="AS123" s="536"/>
      <c r="AT123" s="536"/>
      <c r="AU123" s="536"/>
      <c r="AV123" s="536"/>
      <c r="AW123" s="536"/>
      <c r="AX123" s="536"/>
      <c r="AY123" s="536"/>
      <c r="AZ123" s="1181" t="s">
        <v>1401</v>
      </c>
    </row>
    <row s="1619" customFormat="1" customHeight="1" ht="51">
      <c r="A124" s="1440"/>
      <c r="B124" s="924"/>
      <c r="C124" s="1440"/>
      <c r="D124" s="1440"/>
      <c r="E124" s="794">
        <v>52.5</v>
      </c>
      <c r="F124" s="919" cm="1" t="str">
        <f t="array" ref="F124:F124">F123</f>
        <v>2</v>
      </c>
      <c r="G124" s="962"/>
      <c r="H124" s="962"/>
      <c r="I124" s="962"/>
      <c r="J124" s="962"/>
      <c r="K124" s="962"/>
      <c r="L124" s="962"/>
      <c r="M124" s="962"/>
      <c r="N124" s="962"/>
      <c r="O124" s="962"/>
      <c r="P124" s="962"/>
      <c r="Q124" s="925"/>
      <c r="R124" s="925"/>
      <c r="S124" s="962"/>
      <c r="T124" s="816" cm="1" t="str">
        <f t="array" ref="T124:T124">T123</f>
        <v>true</v>
      </c>
      <c r="U124" s="1440"/>
      <c r="V124" s="1440"/>
      <c r="W124" s="1440"/>
      <c r="X124" s="1440"/>
      <c r="Y124" s="1440"/>
      <c r="Z124" s="1440"/>
      <c r="AA124" s="934"/>
      <c r="AB124" s="170" t="s">
        <v>442</v>
      </c>
      <c r="AC124" s="161" t="s">
        <v>1402</v>
      </c>
      <c r="AD124" s="625" t="s">
        <v>1539</v>
      </c>
      <c r="AE124" s="626" t="s">
        <v>1400</v>
      </c>
      <c r="AF124" s="364">
        <f>AF126+AF127+AF153+AF154+AF156+AF157+AF158+AF159-AF160+AF161</f>
        <v>0</v>
      </c>
      <c r="AG124" s="1731">
        <f>AG126+AG127+AG153+AG154+AG156+AG157+AG158+AG159-AG160+AG161</f>
        <v>0</v>
      </c>
      <c r="AH124" s="536"/>
      <c r="AI124" s="536"/>
      <c r="AJ124" s="536"/>
      <c r="AK124" s="536"/>
      <c r="AL124" s="536"/>
      <c r="AM124" s="536"/>
      <c r="AN124" s="536"/>
      <c r="AO124" s="536"/>
      <c r="AP124" s="536"/>
      <c r="AQ124" s="536"/>
      <c r="AR124" s="536"/>
      <c r="AS124" s="536"/>
      <c r="AT124" s="536"/>
      <c r="AU124" s="536"/>
      <c r="AV124" s="536"/>
      <c r="AW124" s="536"/>
      <c r="AX124" s="536"/>
      <c r="AY124" s="536"/>
      <c r="AZ124" s="1181" t="s">
        <v>1404</v>
      </c>
    </row>
    <row s="1619" customFormat="1" customHeight="1" ht="27">
      <c r="A125" s="1440"/>
      <c r="B125" s="924"/>
      <c r="C125" s="1440"/>
      <c r="D125" s="1440"/>
      <c r="E125" s="794">
        <v>27.8</v>
      </c>
      <c r="F125" s="919" cm="1" t="str">
        <f t="array" ref="F125:F125">F124</f>
        <v>2</v>
      </c>
      <c r="G125" s="962"/>
      <c r="H125" s="962"/>
      <c r="I125" s="962"/>
      <c r="J125" s="962"/>
      <c r="K125" s="962"/>
      <c r="L125" s="962"/>
      <c r="M125" s="962"/>
      <c r="N125" s="962"/>
      <c r="O125" s="962"/>
      <c r="P125" s="962"/>
      <c r="Q125" s="925"/>
      <c r="R125" s="925"/>
      <c r="S125" s="962"/>
      <c r="T125" s="816" cm="1" t="str">
        <f t="array" ref="T125:T125">T124</f>
        <v>true</v>
      </c>
      <c r="U125" s="1440"/>
      <c r="V125" s="1440"/>
      <c r="W125" s="1440"/>
      <c r="X125" s="1440"/>
      <c r="Y125" s="1440"/>
      <c r="Z125" s="1440"/>
      <c r="AA125" s="934"/>
      <c r="AB125" s="170"/>
      <c r="AC125" s="633" t="s">
        <v>1405</v>
      </c>
      <c r="AD125" s="627" t="s">
        <v>1540</v>
      </c>
      <c r="AE125" s="626" t="s">
        <v>1400</v>
      </c>
      <c r="AF125" s="1731"/>
      <c r="AG125" s="1731"/>
      <c r="AH125" s="536"/>
      <c r="AI125" s="536"/>
      <c r="AJ125" s="536"/>
      <c r="AK125" s="536"/>
      <c r="AL125" s="536"/>
      <c r="AM125" s="536"/>
      <c r="AN125" s="536"/>
      <c r="AO125" s="536"/>
      <c r="AP125" s="536"/>
      <c r="AQ125" s="536"/>
      <c r="AR125" s="536"/>
      <c r="AS125" s="536"/>
      <c r="AT125" s="536"/>
      <c r="AU125" s="536"/>
      <c r="AV125" s="536"/>
      <c r="AW125" s="536"/>
      <c r="AX125" s="536"/>
      <c r="AY125" s="536"/>
      <c r="AZ125" s="1181" t="s">
        <v>1407</v>
      </c>
    </row>
    <row s="1619" customFormat="1" customHeight="1" ht="29.25">
      <c r="A126" s="1440"/>
      <c r="B126" s="924"/>
      <c r="C126" s="1440"/>
      <c r="D126" s="1440"/>
      <c r="E126" s="794">
        <v>30</v>
      </c>
      <c r="F126" s="919" cm="1" t="str">
        <f t="array" ref="F126:F126">F125</f>
        <v>2</v>
      </c>
      <c r="G126" s="736" t="s">
        <v>1292</v>
      </c>
      <c r="H126" s="962"/>
      <c r="I126" s="962"/>
      <c r="J126" s="962"/>
      <c r="K126" s="962"/>
      <c r="L126" s="962"/>
      <c r="M126" s="962"/>
      <c r="N126" s="962"/>
      <c r="O126" s="962"/>
      <c r="P126" s="962"/>
      <c r="Q126" s="925"/>
      <c r="R126" s="925"/>
      <c r="S126" s="962"/>
      <c r="T126" s="816" cm="1" t="str">
        <f t="array" ref="T126:T126">T125</f>
        <v>true</v>
      </c>
      <c r="U126" s="1440"/>
      <c r="V126" s="1440"/>
      <c r="W126" s="1440"/>
      <c r="X126" s="1440"/>
      <c r="Y126" s="1440"/>
      <c r="Z126" s="1440"/>
      <c r="AA126" s="934"/>
      <c r="AB126" s="170" t="s">
        <v>1152</v>
      </c>
      <c r="AC126" s="559" t="s">
        <v>1408</v>
      </c>
      <c r="AD126" s="628" t="s">
        <v>1541</v>
      </c>
      <c r="AE126" s="625" t="s">
        <v>1400</v>
      </c>
      <c r="AF126" s="1731">
        <f>_xlfn.SUMIFS('Операционные (5.1)'!AF$26:AF$99,'Операционные (5.1)'!$F$26:$F$99,$F126,'Операционные (5.1)'!$G$26:$G$99,$G126)</f>
        <v>0</v>
      </c>
      <c r="AG126" s="1731">
        <f>_xlfn.SUMIFS('Операционные (5.1)'!AG$26:AG$99,'Операционные (5.1)'!$F$26:$F$99,$F126,'Операционные (5.1)'!$G$26:$G$99,$G126)</f>
        <v>0</v>
      </c>
      <c r="AH126" s="536"/>
      <c r="AI126" s="536"/>
      <c r="AJ126" s="536"/>
      <c r="AK126" s="536"/>
      <c r="AL126" s="536"/>
      <c r="AM126" s="536"/>
      <c r="AN126" s="536"/>
      <c r="AO126" s="536"/>
      <c r="AP126" s="536"/>
      <c r="AQ126" s="536"/>
      <c r="AR126" s="536"/>
      <c r="AS126" s="536"/>
      <c r="AT126" s="536"/>
      <c r="AU126" s="536"/>
      <c r="AV126" s="536"/>
      <c r="AW126" s="536"/>
      <c r="AX126" s="536"/>
      <c r="AY126" s="536"/>
      <c r="AZ126" s="1181" t="s">
        <v>1410</v>
      </c>
    </row>
    <row s="1619" customFormat="1" customHeight="1" ht="39.75">
      <c r="A127" s="1440"/>
      <c r="B127" s="924"/>
      <c r="C127" s="1440"/>
      <c r="D127" s="1440"/>
      <c r="E127" s="794">
        <v>41.3</v>
      </c>
      <c r="F127" s="919" cm="1" t="str">
        <f t="array" ref="F127:F127">F126</f>
        <v>2</v>
      </c>
      <c r="G127" s="962"/>
      <c r="H127" s="962"/>
      <c r="I127" s="962"/>
      <c r="J127" s="962"/>
      <c r="K127" s="962"/>
      <c r="L127" s="962"/>
      <c r="M127" s="962"/>
      <c r="N127" s="962"/>
      <c r="O127" s="962"/>
      <c r="P127" s="962"/>
      <c r="Q127" s="925"/>
      <c r="R127" s="925"/>
      <c r="S127" s="962"/>
      <c r="T127" s="816" cm="1" t="str">
        <f t="array" ref="T127:T127">T126</f>
        <v>true</v>
      </c>
      <c r="U127" s="1440"/>
      <c r="V127" s="1440"/>
      <c r="W127" s="1440"/>
      <c r="X127" s="1440"/>
      <c r="Y127" s="1440"/>
      <c r="Z127" s="1440"/>
      <c r="AA127" s="934"/>
      <c r="AB127" s="170" t="s">
        <v>1156</v>
      </c>
      <c r="AC127" s="559" t="s">
        <v>1411</v>
      </c>
      <c r="AD127" s="628" t="s">
        <v>1412</v>
      </c>
      <c r="AE127" s="625" t="s">
        <v>1400</v>
      </c>
      <c r="AF127" s="364">
        <f>AF128+AF132</f>
        <v>0</v>
      </c>
      <c r="AG127" s="364">
        <f>AG128+AG132</f>
        <v>0</v>
      </c>
      <c r="AH127" s="536"/>
      <c r="AI127" s="536"/>
      <c r="AJ127" s="536"/>
      <c r="AK127" s="536"/>
      <c r="AL127" s="536"/>
      <c r="AM127" s="536"/>
      <c r="AN127" s="536"/>
      <c r="AO127" s="536"/>
      <c r="AP127" s="536"/>
      <c r="AQ127" s="536"/>
      <c r="AR127" s="536"/>
      <c r="AS127" s="536"/>
      <c r="AT127" s="536"/>
      <c r="AU127" s="536"/>
      <c r="AV127" s="536"/>
      <c r="AW127" s="536"/>
      <c r="AX127" s="536"/>
      <c r="AY127" s="536"/>
      <c r="AZ127" s="1181" t="s">
        <v>1413</v>
      </c>
    </row>
    <row s="1619" customFormat="1" customHeight="1" ht="55.5">
      <c r="A128" s="1440"/>
      <c r="B128" s="924"/>
      <c r="C128" s="1440"/>
      <c r="D128" s="1440"/>
      <c r="E128" s="794">
        <v>57</v>
      </c>
      <c r="F128" s="919" cm="1" t="str">
        <f t="array" ref="F128:F128">F127</f>
        <v>2</v>
      </c>
      <c r="G128" s="736" t="s">
        <v>1385</v>
      </c>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170" t="s">
        <v>1414</v>
      </c>
      <c r="AC128" s="578" t="s">
        <v>1415</v>
      </c>
      <c r="AD128" s="166" t="s">
        <v>1416</v>
      </c>
      <c r="AE128" s="626" t="s">
        <v>1400</v>
      </c>
      <c r="AF128" s="1731">
        <f>_xlfn.SUMIFS('Ресурсы (5.4)'!AF$26:AF$57,'Ресурсы (5.4)'!$F$26:$F$57,$F128,'Ресурсы (5.4)'!$G$26:$G$57,$G128)</f>
        <v>0</v>
      </c>
      <c r="AG128" s="1731">
        <f>_xlfn.SUMIFS('Ресурсы (5.4)'!AG$26:AG$57,'Ресурсы (5.4)'!$F$26:$F$57,$F128,'Ресурсы (5.4)'!$G$26:$G$57,$G128)</f>
        <v>0</v>
      </c>
      <c r="AH128" s="536"/>
      <c r="AI128" s="536"/>
      <c r="AJ128" s="536"/>
      <c r="AK128" s="536"/>
      <c r="AL128" s="536"/>
      <c r="AM128" s="536"/>
      <c r="AN128" s="536"/>
      <c r="AO128" s="536"/>
      <c r="AP128" s="536"/>
      <c r="AQ128" s="536"/>
      <c r="AR128" s="536"/>
      <c r="AS128" s="536"/>
      <c r="AT128" s="536"/>
      <c r="AU128" s="536"/>
      <c r="AV128" s="536"/>
      <c r="AW128" s="536"/>
      <c r="AX128" s="536"/>
      <c r="AY128" s="536"/>
      <c r="AZ128" s="1181" t="s">
        <v>1417</v>
      </c>
    </row>
    <row s="1619" customFormat="1" customHeight="1" ht="24.75">
      <c r="A129" s="1440"/>
      <c r="B129" s="924"/>
      <c r="C129" s="1440"/>
      <c r="D129" s="1440"/>
      <c r="E129" s="794">
        <v>25.5</v>
      </c>
      <c r="F129" s="919" cm="1" t="str">
        <f t="array" ref="F129:F129">F128</f>
        <v>2</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170" t="s">
        <v>1418</v>
      </c>
      <c r="AC129" s="630" t="s">
        <v>1419</v>
      </c>
      <c r="AD129" s="166" t="s">
        <v>1420</v>
      </c>
      <c r="AE129" s="626" t="s">
        <v>773</v>
      </c>
      <c r="AF129" s="1731"/>
      <c r="AG129" s="1731"/>
      <c r="AH129" s="536"/>
      <c r="AI129" s="536"/>
      <c r="AJ129" s="536"/>
      <c r="AK129" s="536"/>
      <c r="AL129" s="536"/>
      <c r="AM129" s="536"/>
      <c r="AN129" s="536"/>
      <c r="AO129" s="536"/>
      <c r="AP129" s="536"/>
      <c r="AQ129" s="536"/>
      <c r="AR129" s="536"/>
      <c r="AS129" s="536"/>
      <c r="AT129" s="536"/>
      <c r="AU129" s="536"/>
      <c r="AV129" s="536"/>
      <c r="AW129" s="536"/>
      <c r="AX129" s="536"/>
      <c r="AY129" s="536"/>
      <c r="AZ129" s="1181" t="s">
        <v>1421</v>
      </c>
    </row>
    <row s="1619" customFormat="1" customHeight="1" ht="38.25">
      <c r="A130" s="1440"/>
      <c r="B130" s="924"/>
      <c r="C130" s="1440"/>
      <c r="D130" s="1440"/>
      <c r="E130" s="794">
        <v>39.8</v>
      </c>
      <c r="F130" s="919" cm="1" t="str">
        <f t="array" ref="F130:F130">F129</f>
        <v>2</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170" t="s">
        <v>1422</v>
      </c>
      <c r="AC130" s="630" t="s">
        <v>1423</v>
      </c>
      <c r="AD130" s="166" t="s">
        <v>1424</v>
      </c>
      <c r="AE130" s="626" t="s">
        <v>591</v>
      </c>
      <c r="AF130" s="1731"/>
      <c r="AG130" s="1731"/>
      <c r="AH130" s="536"/>
      <c r="AI130" s="536"/>
      <c r="AJ130" s="536"/>
      <c r="AK130" s="536"/>
      <c r="AL130" s="536"/>
      <c r="AM130" s="536"/>
      <c r="AN130" s="536"/>
      <c r="AO130" s="536"/>
      <c r="AP130" s="536"/>
      <c r="AQ130" s="536"/>
      <c r="AR130" s="536"/>
      <c r="AS130" s="536"/>
      <c r="AT130" s="536"/>
      <c r="AU130" s="536"/>
      <c r="AV130" s="536"/>
      <c r="AW130" s="536"/>
      <c r="AX130" s="536"/>
      <c r="AY130" s="536"/>
      <c r="AZ130" s="1181" t="s">
        <v>1425</v>
      </c>
    </row>
    <row s="1619" customFormat="1" customHeight="1" ht="23.25">
      <c r="A131" s="1440"/>
      <c r="B131" s="924"/>
      <c r="C131" s="1440"/>
      <c r="D131" s="1440"/>
      <c r="E131" s="794">
        <v>24</v>
      </c>
      <c r="F131" s="919" cm="1" t="str">
        <f t="array" ref="F131:F131">F130</f>
        <v>2</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170" t="s">
        <v>1426</v>
      </c>
      <c r="AC131" s="630" t="s">
        <v>1427</v>
      </c>
      <c r="AD131" s="166" t="s">
        <v>1542</v>
      </c>
      <c r="AE131" s="626" t="s">
        <v>1429</v>
      </c>
      <c r="AF131" s="1731"/>
      <c r="AG131" s="1731"/>
      <c r="AH131" s="536"/>
      <c r="AI131" s="536"/>
      <c r="AJ131" s="536"/>
      <c r="AK131" s="536"/>
      <c r="AL131" s="536"/>
      <c r="AM131" s="536"/>
      <c r="AN131" s="536"/>
      <c r="AO131" s="536"/>
      <c r="AP131" s="536"/>
      <c r="AQ131" s="536"/>
      <c r="AR131" s="536"/>
      <c r="AS131" s="536"/>
      <c r="AT131" s="536"/>
      <c r="AU131" s="536"/>
      <c r="AV131" s="536"/>
      <c r="AW131" s="536"/>
      <c r="AX131" s="536"/>
      <c r="AY131" s="536"/>
      <c r="AZ131" s="1181" t="s">
        <v>1430</v>
      </c>
    </row>
    <row s="1619" customFormat="1" customHeight="1" ht="56.25">
      <c r="A132" s="1440"/>
      <c r="B132" s="924"/>
      <c r="C132" s="1440"/>
      <c r="D132" s="1440"/>
      <c r="E132" s="794">
        <v>57.8</v>
      </c>
      <c r="F132" s="919" cm="1" t="str">
        <f t="array" ref="F132:F132">F131</f>
        <v>2</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170" t="s">
        <v>1431</v>
      </c>
      <c r="AC132" s="559" t="s">
        <v>1432</v>
      </c>
      <c r="AD132" s="166" t="s">
        <v>1433</v>
      </c>
      <c r="AE132" s="626" t="s">
        <v>1400</v>
      </c>
      <c r="AF132" s="364">
        <f>AF133+AF138+AF143+AF148</f>
        <v>0</v>
      </c>
      <c r="AG132" s="364">
        <f>AG133+AG138+AG143+AG148</f>
        <v>0</v>
      </c>
      <c r="AH132" s="536"/>
      <c r="AI132" s="536"/>
      <c r="AJ132" s="536"/>
      <c r="AK132" s="536"/>
      <c r="AL132" s="536"/>
      <c r="AM132" s="536"/>
      <c r="AN132" s="536"/>
      <c r="AO132" s="536"/>
      <c r="AP132" s="536"/>
      <c r="AQ132" s="536"/>
      <c r="AR132" s="536"/>
      <c r="AS132" s="536"/>
      <c r="AT132" s="536"/>
      <c r="AU132" s="536"/>
      <c r="AV132" s="536"/>
      <c r="AW132" s="536"/>
      <c r="AX132" s="536"/>
      <c r="AY132" s="536"/>
      <c r="AZ132" s="1181" t="s">
        <v>1434</v>
      </c>
    </row>
    <row s="1619" customFormat="1" customHeight="1" ht="19.5">
      <c r="A133" s="1440"/>
      <c r="B133" s="924"/>
      <c r="C133" s="1440"/>
      <c r="D133" s="1440"/>
      <c r="E133" s="794">
        <v>20.3</v>
      </c>
      <c r="F133" s="919" cm="1" t="str">
        <f t="array" ref="F133:F133">F132</f>
        <v>2</v>
      </c>
      <c r="G133" s="736" t="s">
        <v>925</v>
      </c>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170" t="s">
        <v>1435</v>
      </c>
      <c r="AC133" s="578" t="s">
        <v>1436</v>
      </c>
      <c r="AD133" s="628"/>
      <c r="AE133" s="626" t="s">
        <v>1400</v>
      </c>
      <c r="AF133" s="1731">
        <f>_xlfn.SUMIFS('Ресурсы (5.4)'!AF$26:AF$57,'Ресурсы (5.4)'!$F$26:$F$57,$F133,'Ресурсы (5.4)'!$G$26:$G$57,$G133)</f>
        <v>0</v>
      </c>
      <c r="AG133" s="1731">
        <f>_xlfn.SUMIFS('Ресурсы (5.4)'!AG$26:AG$57,'Ресурсы (5.4)'!$F$26:$F$57,$F133,'Ресурсы (5.4)'!$G$26:$G$57,$G133)</f>
        <v>0</v>
      </c>
      <c r="AH133" s="536"/>
      <c r="AI133" s="536"/>
      <c r="AJ133" s="536"/>
      <c r="AK133" s="536"/>
      <c r="AL133" s="536"/>
      <c r="AM133" s="536"/>
      <c r="AN133" s="536"/>
      <c r="AO133" s="536"/>
      <c r="AP133" s="536"/>
      <c r="AQ133" s="536"/>
      <c r="AR133" s="536"/>
      <c r="AS133" s="536"/>
      <c r="AT133" s="536"/>
      <c r="AU133" s="536"/>
      <c r="AV133" s="536"/>
      <c r="AW133" s="536"/>
      <c r="AX133" s="536"/>
      <c r="AY133" s="536"/>
      <c r="AZ133" s="1181" t="s">
        <v>1437</v>
      </c>
    </row>
    <row s="1619" customFormat="1" customHeight="1" ht="27">
      <c r="A134" s="1440"/>
      <c r="B134" s="924"/>
      <c r="C134" s="1440"/>
      <c r="D134" s="1440"/>
      <c r="E134" s="794">
        <v>27.8</v>
      </c>
      <c r="F134" s="919" cm="1" t="str">
        <f t="array" ref="F134:F134">F133</f>
        <v>2</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170" t="s">
        <v>1438</v>
      </c>
      <c r="AC134" s="630" t="s">
        <v>1439</v>
      </c>
      <c r="AD134" s="166" t="s">
        <v>1543</v>
      </c>
      <c r="AE134" s="154" t="s">
        <v>1441</v>
      </c>
      <c r="AF134" s="1731"/>
      <c r="AG134" s="1731"/>
      <c r="AH134" s="536"/>
      <c r="AI134" s="536"/>
      <c r="AJ134" s="536"/>
      <c r="AK134" s="536"/>
      <c r="AL134" s="536"/>
      <c r="AM134" s="536"/>
      <c r="AN134" s="536"/>
      <c r="AO134" s="536"/>
      <c r="AP134" s="536"/>
      <c r="AQ134" s="536"/>
      <c r="AR134" s="536"/>
      <c r="AS134" s="536"/>
      <c r="AT134" s="536"/>
      <c r="AU134" s="536"/>
      <c r="AV134" s="536"/>
      <c r="AW134" s="536"/>
      <c r="AX134" s="536"/>
      <c r="AY134" s="536"/>
      <c r="AZ134" s="1181" t="s">
        <v>946</v>
      </c>
    </row>
    <row s="1619" customFormat="1" customHeight="1" ht="26.25">
      <c r="A135" s="1440"/>
      <c r="B135" s="924"/>
      <c r="C135" s="1440"/>
      <c r="D135" s="1440"/>
      <c r="E135" s="794">
        <v>27</v>
      </c>
      <c r="F135" s="919" cm="1" t="str">
        <f t="array" ref="F135:F135">F134</f>
        <v>2</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170" t="s">
        <v>1442</v>
      </c>
      <c r="AC135" s="630" t="s">
        <v>1443</v>
      </c>
      <c r="AD135" s="166" t="s">
        <v>1544</v>
      </c>
      <c r="AE135" s="626" t="s">
        <v>591</v>
      </c>
      <c r="AF135" s="1731"/>
      <c r="AG135" s="1731"/>
      <c r="AH135" s="536"/>
      <c r="AI135" s="536"/>
      <c r="AJ135" s="536"/>
      <c r="AK135" s="536"/>
      <c r="AL135" s="536"/>
      <c r="AM135" s="536"/>
      <c r="AN135" s="536"/>
      <c r="AO135" s="536"/>
      <c r="AP135" s="536"/>
      <c r="AQ135" s="536"/>
      <c r="AR135" s="536"/>
      <c r="AS135" s="536"/>
      <c r="AT135" s="536"/>
      <c r="AU135" s="536"/>
      <c r="AV135" s="536"/>
      <c r="AW135" s="536"/>
      <c r="AX135" s="536"/>
      <c r="AY135" s="536"/>
      <c r="AZ135" s="1181" t="s">
        <v>1445</v>
      </c>
    </row>
    <row s="1619" customFormat="1" customHeight="1" ht="28.5">
      <c r="A136" s="1440"/>
      <c r="B136" s="924"/>
      <c r="C136" s="1440"/>
      <c r="D136" s="1440"/>
      <c r="E136" s="794">
        <v>29.3</v>
      </c>
      <c r="F136" s="919" cm="1" t="str">
        <f t="array" ref="F136:F136">F135</f>
        <v>2</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170" t="s">
        <v>1446</v>
      </c>
      <c r="AC136" s="630" t="s">
        <v>1447</v>
      </c>
      <c r="AD136" s="166" t="s">
        <v>1545</v>
      </c>
      <c r="AE136" s="626" t="s">
        <v>591</v>
      </c>
      <c r="AF136" s="1731"/>
      <c r="AG136" s="1731"/>
      <c r="AH136" s="536"/>
      <c r="AI136" s="536"/>
      <c r="AJ136" s="536"/>
      <c r="AK136" s="536"/>
      <c r="AL136" s="536"/>
      <c r="AM136" s="536"/>
      <c r="AN136" s="536"/>
      <c r="AO136" s="536"/>
      <c r="AP136" s="536"/>
      <c r="AQ136" s="536"/>
      <c r="AR136" s="536"/>
      <c r="AS136" s="536"/>
      <c r="AT136" s="536"/>
      <c r="AU136" s="536"/>
      <c r="AV136" s="536"/>
      <c r="AW136" s="536"/>
      <c r="AX136" s="536"/>
      <c r="AY136" s="536"/>
      <c r="AZ136" s="1181" t="s">
        <v>1449</v>
      </c>
    </row>
    <row s="1619" customFormat="1" customHeight="1" ht="33">
      <c r="A137" s="1440"/>
      <c r="B137" s="924"/>
      <c r="C137" s="1440"/>
      <c r="D137" s="1440"/>
      <c r="E137" s="794">
        <v>34.5</v>
      </c>
      <c r="F137" s="919" cm="1" t="str">
        <f t="array" ref="F137:F137">F136</f>
        <v>2</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170" t="s">
        <v>1450</v>
      </c>
      <c r="AC137" s="630" t="s">
        <v>1451</v>
      </c>
      <c r="AD137" s="166" t="s">
        <v>1546</v>
      </c>
      <c r="AE137" s="626" t="s">
        <v>935</v>
      </c>
      <c r="AF137" s="1731"/>
      <c r="AG137" s="1731"/>
      <c r="AH137" s="536"/>
      <c r="AI137" s="536"/>
      <c r="AJ137" s="536"/>
      <c r="AK137" s="536"/>
      <c r="AL137" s="536"/>
      <c r="AM137" s="536"/>
      <c r="AN137" s="536"/>
      <c r="AO137" s="536"/>
      <c r="AP137" s="536"/>
      <c r="AQ137" s="536"/>
      <c r="AR137" s="536"/>
      <c r="AS137" s="536"/>
      <c r="AT137" s="536"/>
      <c r="AU137" s="536"/>
      <c r="AV137" s="536"/>
      <c r="AW137" s="536"/>
      <c r="AX137" s="536"/>
      <c r="AY137" s="536"/>
      <c r="AZ137" s="1181" t="s">
        <v>1453</v>
      </c>
    </row>
    <row s="1619" customFormat="1" customHeight="1" ht="16.5">
      <c r="A138" s="1440"/>
      <c r="B138" s="924"/>
      <c r="C138" s="1440"/>
      <c r="D138" s="1440"/>
      <c r="E138" s="794">
        <v>17.3</v>
      </c>
      <c r="F138" s="919" cm="1" t="str">
        <f t="array" ref="F138:F138">F137</f>
        <v>2</v>
      </c>
      <c r="G138" s="736" t="s">
        <v>992</v>
      </c>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170" t="s">
        <v>1454</v>
      </c>
      <c r="AC138" s="578" t="s">
        <v>1455</v>
      </c>
      <c r="AD138" s="628"/>
      <c r="AE138" s="626" t="s">
        <v>1400</v>
      </c>
      <c r="AF138" s="1731">
        <f>_xlfn.SUMIFS('Ресурсы (5.4)'!AF$26:AF$57,'Ресурсы (5.4)'!$F$26:$F$57,$F138,'Ресурсы (5.4)'!$G$26:$G$57,$G138)</f>
        <v>0</v>
      </c>
      <c r="AG138" s="1731">
        <f>_xlfn.SUMIFS('Ресурсы (5.4)'!AG$26:AG$57,'Ресурсы (5.4)'!$F$26:$F$57,$F138,'Ресурсы (5.4)'!$G$26:$G$57,$G138)</f>
        <v>0</v>
      </c>
      <c r="AH138" s="536"/>
      <c r="AI138" s="536"/>
      <c r="AJ138" s="536"/>
      <c r="AK138" s="536"/>
      <c r="AL138" s="536"/>
      <c r="AM138" s="536"/>
      <c r="AN138" s="536"/>
      <c r="AO138" s="536"/>
      <c r="AP138" s="536"/>
      <c r="AQ138" s="536"/>
      <c r="AR138" s="536"/>
      <c r="AS138" s="536"/>
      <c r="AT138" s="536"/>
      <c r="AU138" s="536"/>
      <c r="AV138" s="536"/>
      <c r="AW138" s="536"/>
      <c r="AX138" s="536"/>
      <c r="AY138" s="536"/>
      <c r="AZ138" s="1181" t="s">
        <v>1456</v>
      </c>
    </row>
    <row s="1619" customFormat="1" customHeight="1" ht="30">
      <c r="A139" s="1440"/>
      <c r="B139" s="924"/>
      <c r="C139" s="1440"/>
      <c r="D139" s="1440"/>
      <c r="E139" s="794">
        <v>30.8</v>
      </c>
      <c r="F139" s="919" cm="1" t="str">
        <f t="array" ref="F139:F139">F138</f>
        <v>2</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170" t="s">
        <v>1457</v>
      </c>
      <c r="AC139" s="630" t="s">
        <v>1458</v>
      </c>
      <c r="AD139" s="166" t="s">
        <v>1547</v>
      </c>
      <c r="AE139" s="626" t="s">
        <v>1460</v>
      </c>
      <c r="AF139" s="1731"/>
      <c r="AG139" s="1731"/>
      <c r="AH139" s="536"/>
      <c r="AI139" s="536"/>
      <c r="AJ139" s="536"/>
      <c r="AK139" s="536"/>
      <c r="AL139" s="536"/>
      <c r="AM139" s="536"/>
      <c r="AN139" s="536"/>
      <c r="AO139" s="536"/>
      <c r="AP139" s="536"/>
      <c r="AQ139" s="536"/>
      <c r="AR139" s="536"/>
      <c r="AS139" s="536"/>
      <c r="AT139" s="536"/>
      <c r="AU139" s="536"/>
      <c r="AV139" s="536"/>
      <c r="AW139" s="536"/>
      <c r="AX139" s="536"/>
      <c r="AY139" s="536"/>
      <c r="AZ139" s="1181" t="s">
        <v>1001</v>
      </c>
    </row>
    <row s="1619" customFormat="1" customHeight="1" ht="30">
      <c r="A140" s="1440"/>
      <c r="B140" s="924"/>
      <c r="C140" s="1440"/>
      <c r="D140" s="1440"/>
      <c r="E140" s="794">
        <v>30.8</v>
      </c>
      <c r="F140" s="919" cm="1" t="str">
        <f t="array" ref="F140:F140">F139</f>
        <v>2</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170" t="s">
        <v>1461</v>
      </c>
      <c r="AC140" s="630" t="s">
        <v>1443</v>
      </c>
      <c r="AD140" s="166" t="s">
        <v>1544</v>
      </c>
      <c r="AE140" s="626" t="s">
        <v>591</v>
      </c>
      <c r="AF140" s="1731"/>
      <c r="AG140" s="1731"/>
      <c r="AH140" s="536"/>
      <c r="AI140" s="536"/>
      <c r="AJ140" s="536"/>
      <c r="AK140" s="536"/>
      <c r="AL140" s="536"/>
      <c r="AM140" s="536"/>
      <c r="AN140" s="536"/>
      <c r="AO140" s="536"/>
      <c r="AP140" s="536"/>
      <c r="AQ140" s="536"/>
      <c r="AR140" s="536"/>
      <c r="AS140" s="536"/>
      <c r="AT140" s="536"/>
      <c r="AU140" s="536"/>
      <c r="AV140" s="536"/>
      <c r="AW140" s="536"/>
      <c r="AX140" s="536"/>
      <c r="AY140" s="536"/>
      <c r="AZ140" s="1181" t="s">
        <v>1462</v>
      </c>
    </row>
    <row s="1619" customFormat="1" customHeight="1" ht="29.25">
      <c r="A141" s="1440"/>
      <c r="B141" s="924"/>
      <c r="C141" s="1440"/>
      <c r="D141" s="1440"/>
      <c r="E141" s="794">
        <v>30</v>
      </c>
      <c r="F141" s="919" cm="1" t="str">
        <f t="array" ref="F141:F141">F140</f>
        <v>2</v>
      </c>
      <c r="G141" s="962"/>
      <c r="H141" s="962"/>
      <c r="I141" s="962"/>
      <c r="J141" s="962"/>
      <c r="K141" s="962"/>
      <c r="L141" s="962"/>
      <c r="M141" s="962"/>
      <c r="N141" s="962"/>
      <c r="O141" s="962"/>
      <c r="P141" s="962"/>
      <c r="Q141" s="925"/>
      <c r="R141" s="925"/>
      <c r="S141" s="962"/>
      <c r="T141" s="816" cm="1" t="str">
        <f t="array" ref="T141:T141">T140</f>
        <v>true</v>
      </c>
      <c r="U141" s="1440"/>
      <c r="V141" s="1440"/>
      <c r="W141" s="1440"/>
      <c r="X141" s="1440"/>
      <c r="Y141" s="1440"/>
      <c r="Z141" s="1440"/>
      <c r="AA141" s="934"/>
      <c r="AB141" s="170" t="s">
        <v>1463</v>
      </c>
      <c r="AC141" s="630" t="s">
        <v>1447</v>
      </c>
      <c r="AD141" s="166" t="s">
        <v>1545</v>
      </c>
      <c r="AE141" s="626" t="s">
        <v>591</v>
      </c>
      <c r="AF141" s="1731"/>
      <c r="AG141" s="1731"/>
      <c r="AH141" s="536"/>
      <c r="AI141" s="536"/>
      <c r="AJ141" s="536"/>
      <c r="AK141" s="536"/>
      <c r="AL141" s="536"/>
      <c r="AM141" s="536"/>
      <c r="AN141" s="536"/>
      <c r="AO141" s="536"/>
      <c r="AP141" s="536"/>
      <c r="AQ141" s="536"/>
      <c r="AR141" s="536"/>
      <c r="AS141" s="536"/>
      <c r="AT141" s="536"/>
      <c r="AU141" s="536"/>
      <c r="AV141" s="536"/>
      <c r="AW141" s="536"/>
      <c r="AX141" s="536"/>
      <c r="AY141" s="536"/>
      <c r="AZ141" s="1181" t="s">
        <v>1464</v>
      </c>
    </row>
    <row s="1619" customFormat="1" customHeight="1" ht="21">
      <c r="A142" s="1440"/>
      <c r="B142" s="924"/>
      <c r="C142" s="1440"/>
      <c r="D142" s="1440"/>
      <c r="E142" s="794">
        <v>21.8</v>
      </c>
      <c r="F142" s="919" cm="1" t="str">
        <f t="array" ref="F142:F142">F141</f>
        <v>2</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170" t="s">
        <v>1465</v>
      </c>
      <c r="AC142" s="630" t="s">
        <v>1466</v>
      </c>
      <c r="AD142" s="166" t="s">
        <v>1546</v>
      </c>
      <c r="AE142" s="626" t="s">
        <v>1467</v>
      </c>
      <c r="AF142" s="1731"/>
      <c r="AG142" s="1731"/>
      <c r="AH142" s="536"/>
      <c r="AI142" s="536"/>
      <c r="AJ142" s="536"/>
      <c r="AK142" s="536"/>
      <c r="AL142" s="536"/>
      <c r="AM142" s="536"/>
      <c r="AN142" s="536"/>
      <c r="AO142" s="536"/>
      <c r="AP142" s="536"/>
      <c r="AQ142" s="536"/>
      <c r="AR142" s="536"/>
      <c r="AS142" s="536"/>
      <c r="AT142" s="536"/>
      <c r="AU142" s="536"/>
      <c r="AV142" s="536"/>
      <c r="AW142" s="536"/>
      <c r="AX142" s="536"/>
      <c r="AY142" s="536"/>
      <c r="AZ142" s="1181" t="s">
        <v>1468</v>
      </c>
    </row>
    <row s="1619" customFormat="1" customHeight="1" ht="15.75">
      <c r="A143" s="1440"/>
      <c r="B143" s="924"/>
      <c r="C143" s="1440"/>
      <c r="D143" s="1440"/>
      <c r="E143" s="794">
        <v>16.5</v>
      </c>
      <c r="F143" s="919" cm="1" t="str">
        <f t="array" ref="F143:F143">F142</f>
        <v>2</v>
      </c>
      <c r="G143" s="736" t="s">
        <v>960</v>
      </c>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170" t="s">
        <v>1469</v>
      </c>
      <c r="AC143" s="578" t="s">
        <v>1470</v>
      </c>
      <c r="AD143" s="628"/>
      <c r="AE143" s="626" t="s">
        <v>1400</v>
      </c>
      <c r="AF143" s="1731">
        <f>_xlfn.SUMIFS('Ресурсы (5.4)'!AF$26:AF$57,'Ресурсы (5.4)'!$F$26:$F$57,$F143,'Ресурсы (5.4)'!$G$26:$G$57,$G143)</f>
        <v>0</v>
      </c>
      <c r="AG143" s="1731">
        <f>_xlfn.SUMIFS('Ресурсы (5.4)'!AG$26:AG$57,'Ресурсы (5.4)'!$F$26:$F$57,$F143,'Ресурсы (5.4)'!$G$26:$G$57,$G143)</f>
        <v>0</v>
      </c>
      <c r="AH143" s="536"/>
      <c r="AI143" s="536"/>
      <c r="AJ143" s="536"/>
      <c r="AK143" s="536"/>
      <c r="AL143" s="536"/>
      <c r="AM143" s="536"/>
      <c r="AN143" s="536"/>
      <c r="AO143" s="536"/>
      <c r="AP143" s="536"/>
      <c r="AQ143" s="536"/>
      <c r="AR143" s="536"/>
      <c r="AS143" s="536"/>
      <c r="AT143" s="536"/>
      <c r="AU143" s="536"/>
      <c r="AV143" s="536"/>
      <c r="AW143" s="536"/>
      <c r="AX143" s="536"/>
      <c r="AY143" s="536"/>
      <c r="AZ143" s="1181" t="s">
        <v>1471</v>
      </c>
    </row>
    <row s="1619" customFormat="1" customHeight="1" ht="28.5">
      <c r="A144" s="1440"/>
      <c r="B144" s="924"/>
      <c r="C144" s="1440"/>
      <c r="D144" s="1440"/>
      <c r="E144" s="794">
        <v>29.3</v>
      </c>
      <c r="F144" s="919" cm="1" t="str">
        <f t="array" ref="F144:F144">F143</f>
        <v>2</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170" t="s">
        <v>1472</v>
      </c>
      <c r="AC144" s="630" t="s">
        <v>1473</v>
      </c>
      <c r="AD144" s="166" t="s">
        <v>1548</v>
      </c>
      <c r="AE144" s="626" t="s">
        <v>591</v>
      </c>
      <c r="AF144" s="1731"/>
      <c r="AG144" s="1731"/>
      <c r="AH144" s="536"/>
      <c r="AI144" s="536"/>
      <c r="AJ144" s="536"/>
      <c r="AK144" s="536"/>
      <c r="AL144" s="536"/>
      <c r="AM144" s="536"/>
      <c r="AN144" s="536"/>
      <c r="AO144" s="536"/>
      <c r="AP144" s="536"/>
      <c r="AQ144" s="536"/>
      <c r="AR144" s="536"/>
      <c r="AS144" s="536"/>
      <c r="AT144" s="536"/>
      <c r="AU144" s="536"/>
      <c r="AV144" s="536"/>
      <c r="AW144" s="536"/>
      <c r="AX144" s="536"/>
      <c r="AY144" s="536"/>
      <c r="AZ144" s="1181" t="s">
        <v>982</v>
      </c>
    </row>
    <row s="1619" customFormat="1" customHeight="1" ht="30">
      <c r="A145" s="1440"/>
      <c r="B145" s="924"/>
      <c r="C145" s="1440"/>
      <c r="D145" s="1440"/>
      <c r="E145" s="794">
        <v>31.5</v>
      </c>
      <c r="F145" s="919" cm="1" t="str">
        <f t="array" ref="F145:F145">F144</f>
        <v>2</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170" t="s">
        <v>1475</v>
      </c>
      <c r="AC145" s="630" t="s">
        <v>1443</v>
      </c>
      <c r="AD145" s="166" t="s">
        <v>1544</v>
      </c>
      <c r="AE145" s="626" t="s">
        <v>591</v>
      </c>
      <c r="AF145" s="1731"/>
      <c r="AG145" s="1731"/>
      <c r="AH145" s="536"/>
      <c r="AI145" s="536"/>
      <c r="AJ145" s="536"/>
      <c r="AK145" s="536"/>
      <c r="AL145" s="536"/>
      <c r="AM145" s="536"/>
      <c r="AN145" s="536"/>
      <c r="AO145" s="536"/>
      <c r="AP145" s="536"/>
      <c r="AQ145" s="536"/>
      <c r="AR145" s="536"/>
      <c r="AS145" s="536"/>
      <c r="AT145" s="536"/>
      <c r="AU145" s="536"/>
      <c r="AV145" s="536"/>
      <c r="AW145" s="536"/>
      <c r="AX145" s="536"/>
      <c r="AY145" s="536"/>
      <c r="AZ145" s="1181" t="s">
        <v>1425</v>
      </c>
    </row>
    <row s="1619" customFormat="1" customHeight="1" ht="27.75">
      <c r="A146" s="1440"/>
      <c r="B146" s="924"/>
      <c r="C146" s="1440"/>
      <c r="D146" s="1440"/>
      <c r="E146" s="794">
        <v>28.5</v>
      </c>
      <c r="F146" s="919" cm="1" t="str">
        <f t="array" ref="F146:F146">F145</f>
        <v>2</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170" t="s">
        <v>1476</v>
      </c>
      <c r="AC146" s="630" t="s">
        <v>1447</v>
      </c>
      <c r="AD146" s="166" t="s">
        <v>1545</v>
      </c>
      <c r="AE146" s="626" t="s">
        <v>591</v>
      </c>
      <c r="AF146" s="1731"/>
      <c r="AG146" s="1731"/>
      <c r="AH146" s="536"/>
      <c r="AI146" s="536"/>
      <c r="AJ146" s="536"/>
      <c r="AK146" s="536"/>
      <c r="AL146" s="536"/>
      <c r="AM146" s="536"/>
      <c r="AN146" s="536"/>
      <c r="AO146" s="536"/>
      <c r="AP146" s="536"/>
      <c r="AQ146" s="536"/>
      <c r="AR146" s="536"/>
      <c r="AS146" s="536"/>
      <c r="AT146" s="536"/>
      <c r="AU146" s="536"/>
      <c r="AV146" s="536"/>
      <c r="AW146" s="536"/>
      <c r="AX146" s="536"/>
      <c r="AY146" s="536"/>
      <c r="AZ146" s="1181" t="s">
        <v>1477</v>
      </c>
    </row>
    <row s="1619" customFormat="1" customHeight="1" ht="21.75">
      <c r="A147" s="1440"/>
      <c r="B147" s="924"/>
      <c r="C147" s="1440"/>
      <c r="D147" s="1440"/>
      <c r="E147" s="794">
        <v>22.8</v>
      </c>
      <c r="F147" s="919" cm="1" t="str">
        <f t="array" ref="F147:F147">F146</f>
        <v>2</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170" t="s">
        <v>1478</v>
      </c>
      <c r="AC147" s="630" t="s">
        <v>1479</v>
      </c>
      <c r="AD147" s="166" t="s">
        <v>1546</v>
      </c>
      <c r="AE147" s="626" t="s">
        <v>895</v>
      </c>
      <c r="AF147" s="1731"/>
      <c r="AG147" s="1731"/>
      <c r="AH147" s="536"/>
      <c r="AI147" s="536"/>
      <c r="AJ147" s="536"/>
      <c r="AK147" s="536"/>
      <c r="AL147" s="536"/>
      <c r="AM147" s="536"/>
      <c r="AN147" s="536"/>
      <c r="AO147" s="536"/>
      <c r="AP147" s="536"/>
      <c r="AQ147" s="536"/>
      <c r="AR147" s="536"/>
      <c r="AS147" s="536"/>
      <c r="AT147" s="536"/>
      <c r="AU147" s="536"/>
      <c r="AV147" s="536"/>
      <c r="AW147" s="536"/>
      <c r="AX147" s="536"/>
      <c r="AY147" s="536"/>
      <c r="AZ147" s="1181" t="s">
        <v>1480</v>
      </c>
    </row>
    <row s="1619" customFormat="1" customHeight="1" ht="15.75">
      <c r="A148" s="1440"/>
      <c r="B148" s="924"/>
      <c r="C148" s="1440"/>
      <c r="D148" s="1440"/>
      <c r="E148" s="794">
        <v>16.5</v>
      </c>
      <c r="F148" s="919" cm="1" t="str">
        <f t="array" ref="F148:F148">F147</f>
        <v>2</v>
      </c>
      <c r="G148" s="736" t="s">
        <v>1003</v>
      </c>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170" t="s">
        <v>1481</v>
      </c>
      <c r="AC148" s="578" t="s">
        <v>1482</v>
      </c>
      <c r="AD148" s="628"/>
      <c r="AE148" s="626" t="s">
        <v>1400</v>
      </c>
      <c r="AF148" s="1731">
        <f>_xlfn.SUMIFS('Ресурсы (5.4)'!AF$26:AF$57,'Ресурсы (5.4)'!$F$26:$F$57,$F148,'Ресурсы (5.4)'!$G$26:$G$57,$G148)</f>
        <v>0</v>
      </c>
      <c r="AG148" s="1731">
        <f>_xlfn.SUMIFS('Ресурсы (5.4)'!AG$26:AG$57,'Ресурсы (5.4)'!$F$26:$F$57,$F148,'Ресурсы (5.4)'!$G$26:$G$57,$G148)</f>
        <v>0</v>
      </c>
      <c r="AH148" s="536"/>
      <c r="AI148" s="536"/>
      <c r="AJ148" s="536"/>
      <c r="AK148" s="536"/>
      <c r="AL148" s="536"/>
      <c r="AM148" s="536"/>
      <c r="AN148" s="536"/>
      <c r="AO148" s="536"/>
      <c r="AP148" s="536"/>
      <c r="AQ148" s="536"/>
      <c r="AR148" s="536"/>
      <c r="AS148" s="536"/>
      <c r="AT148" s="536"/>
      <c r="AU148" s="536"/>
      <c r="AV148" s="536"/>
      <c r="AW148" s="536"/>
      <c r="AX148" s="536"/>
      <c r="AY148" s="536"/>
      <c r="AZ148" s="1181" t="s">
        <v>1483</v>
      </c>
    </row>
    <row s="1619" customFormat="1" customHeight="1" ht="28.5">
      <c r="A149" s="1440"/>
      <c r="B149" s="924"/>
      <c r="C149" s="1440"/>
      <c r="D149" s="1440"/>
      <c r="E149" s="794">
        <v>29.3</v>
      </c>
      <c r="F149" s="919" cm="1" t="str">
        <f t="array" ref="F149:F149">F148</f>
        <v>2</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170" t="s">
        <v>1484</v>
      </c>
      <c r="AC149" s="630" t="s">
        <v>1485</v>
      </c>
      <c r="AD149" s="166" t="s">
        <v>1548</v>
      </c>
      <c r="AE149" s="626" t="s">
        <v>1460</v>
      </c>
      <c r="AF149" s="1731"/>
      <c r="AG149" s="1731"/>
      <c r="AH149" s="536"/>
      <c r="AI149" s="536"/>
      <c r="AJ149" s="536"/>
      <c r="AK149" s="536"/>
      <c r="AL149" s="536"/>
      <c r="AM149" s="536"/>
      <c r="AN149" s="536"/>
      <c r="AO149" s="536"/>
      <c r="AP149" s="536"/>
      <c r="AQ149" s="536"/>
      <c r="AR149" s="536"/>
      <c r="AS149" s="536"/>
      <c r="AT149" s="536"/>
      <c r="AU149" s="536"/>
      <c r="AV149" s="536"/>
      <c r="AW149" s="536"/>
      <c r="AX149" s="536"/>
      <c r="AY149" s="536"/>
      <c r="AZ149" s="1181" t="s">
        <v>1010</v>
      </c>
    </row>
    <row s="1619" customFormat="1" customHeight="1" ht="30">
      <c r="A150" s="1440"/>
      <c r="B150" s="924"/>
      <c r="C150" s="1440"/>
      <c r="D150" s="1440"/>
      <c r="E150" s="794">
        <v>31.5</v>
      </c>
      <c r="F150" s="919" cm="1" t="str">
        <f t="array" ref="F150:F150">F149</f>
        <v>2</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170" t="s">
        <v>1486</v>
      </c>
      <c r="AC150" s="630" t="s">
        <v>1443</v>
      </c>
      <c r="AD150" s="166" t="s">
        <v>1544</v>
      </c>
      <c r="AE150" s="626" t="s">
        <v>591</v>
      </c>
      <c r="AF150" s="1731"/>
      <c r="AG150" s="1731"/>
      <c r="AH150" s="536"/>
      <c r="AI150" s="536"/>
      <c r="AJ150" s="536"/>
      <c r="AK150" s="536"/>
      <c r="AL150" s="536"/>
      <c r="AM150" s="536"/>
      <c r="AN150" s="536"/>
      <c r="AO150" s="536"/>
      <c r="AP150" s="536"/>
      <c r="AQ150" s="536"/>
      <c r="AR150" s="536"/>
      <c r="AS150" s="536"/>
      <c r="AT150" s="536"/>
      <c r="AU150" s="536"/>
      <c r="AV150" s="536"/>
      <c r="AW150" s="536"/>
      <c r="AX150" s="536"/>
      <c r="AY150" s="536"/>
      <c r="AZ150" s="1181" t="s">
        <v>1487</v>
      </c>
    </row>
    <row s="1619" customFormat="1" customHeight="1" ht="27.75">
      <c r="A151" s="1440"/>
      <c r="B151" s="924"/>
      <c r="C151" s="1440"/>
      <c r="D151" s="1440"/>
      <c r="E151" s="794">
        <v>28.5</v>
      </c>
      <c r="F151" s="919" cm="1" t="str">
        <f t="array" ref="F151:F151">F150</f>
        <v>2</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170" t="s">
        <v>1488</v>
      </c>
      <c r="AC151" s="630" t="s">
        <v>1447</v>
      </c>
      <c r="AD151" s="166" t="s">
        <v>1545</v>
      </c>
      <c r="AE151" s="626" t="s">
        <v>591</v>
      </c>
      <c r="AF151" s="1731"/>
      <c r="AG151" s="1731"/>
      <c r="AH151" s="536"/>
      <c r="AI151" s="536"/>
      <c r="AJ151" s="536"/>
      <c r="AK151" s="536"/>
      <c r="AL151" s="536"/>
      <c r="AM151" s="536"/>
      <c r="AN151" s="536"/>
      <c r="AO151" s="536"/>
      <c r="AP151" s="536"/>
      <c r="AQ151" s="536"/>
      <c r="AR151" s="536"/>
      <c r="AS151" s="536"/>
      <c r="AT151" s="536"/>
      <c r="AU151" s="536"/>
      <c r="AV151" s="536"/>
      <c r="AW151" s="536"/>
      <c r="AX151" s="536"/>
      <c r="AY151" s="536"/>
      <c r="AZ151" s="1181" t="s">
        <v>1489</v>
      </c>
    </row>
    <row s="1619" customFormat="1" customHeight="1" ht="21.75">
      <c r="A152" s="1440"/>
      <c r="B152" s="924"/>
      <c r="C152" s="1440"/>
      <c r="D152" s="1440"/>
      <c r="E152" s="794">
        <v>22.8</v>
      </c>
      <c r="F152" s="919" cm="1" t="str">
        <f t="array" ref="F152:F152">F151</f>
        <v>2</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170" t="s">
        <v>1490</v>
      </c>
      <c r="AC152" s="630" t="s">
        <v>1491</v>
      </c>
      <c r="AD152" s="166" t="s">
        <v>1546</v>
      </c>
      <c r="AE152" s="626" t="s">
        <v>1467</v>
      </c>
      <c r="AF152" s="1731"/>
      <c r="AG152" s="1731"/>
      <c r="AH152" s="536"/>
      <c r="AI152" s="536"/>
      <c r="AJ152" s="536"/>
      <c r="AK152" s="536"/>
      <c r="AL152" s="536"/>
      <c r="AM152" s="536"/>
      <c r="AN152" s="536"/>
      <c r="AO152" s="536"/>
      <c r="AP152" s="536"/>
      <c r="AQ152" s="536"/>
      <c r="AR152" s="536"/>
      <c r="AS152" s="536"/>
      <c r="AT152" s="536"/>
      <c r="AU152" s="536"/>
      <c r="AV152" s="536"/>
      <c r="AW152" s="536"/>
      <c r="AX152" s="536"/>
      <c r="AY152" s="536"/>
      <c r="AZ152" s="1181" t="s">
        <v>1492</v>
      </c>
    </row>
    <row s="1619" customFormat="1" customHeight="1" ht="36.75">
      <c r="A153" s="1440"/>
      <c r="B153" s="924"/>
      <c r="C153" s="1440"/>
      <c r="D153" s="1440"/>
      <c r="E153" s="794">
        <v>38.3</v>
      </c>
      <c r="F153" s="919" cm="1" t="str">
        <f t="array" ref="F153:F153">F152</f>
        <v>2</v>
      </c>
      <c r="G153" s="736" t="s">
        <v>1350</v>
      </c>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170" t="s">
        <v>1493</v>
      </c>
      <c r="AC153" s="559" t="s">
        <v>1494</v>
      </c>
      <c r="AD153" s="628" t="s">
        <v>1495</v>
      </c>
      <c r="AE153" s="626" t="s">
        <v>805</v>
      </c>
      <c r="AF153" s="1731">
        <f>_xlfn.SUMIFS('Калькуляция (5.9)'!AF$26:AF$192,'Калькуляция (5.9)'!$F$26:$F$192,$F153,'Калькуляция (5.9)'!$G$26:$G$192,$G153)</f>
        <v>0</v>
      </c>
      <c r="AG153" s="1731">
        <f>_xlfn.SUMIFS('Калькуляция (5.9)'!AG$26:AG$192,'Калькуляция (5.9)'!$F$26:$F$192,$F153,'Калькуляция (5.9)'!$G$26:$G$192,$G153)</f>
        <v>0</v>
      </c>
      <c r="AH153" s="536"/>
      <c r="AI153" s="536"/>
      <c r="AJ153" s="536"/>
      <c r="AK153" s="536"/>
      <c r="AL153" s="536"/>
      <c r="AM153" s="536"/>
      <c r="AN153" s="536"/>
      <c r="AO153" s="536"/>
      <c r="AP153" s="536"/>
      <c r="AQ153" s="536"/>
      <c r="AR153" s="536"/>
      <c r="AS153" s="536"/>
      <c r="AT153" s="536"/>
      <c r="AU153" s="536"/>
      <c r="AV153" s="536"/>
      <c r="AW153" s="536"/>
      <c r="AX153" s="536"/>
      <c r="AY153" s="536"/>
      <c r="AZ153" s="1181" t="s">
        <v>1496</v>
      </c>
    </row>
    <row s="1619" customFormat="1" customHeight="1" ht="20.25">
      <c r="A154" s="1440"/>
      <c r="B154" s="924"/>
      <c r="C154" s="1440"/>
      <c r="D154" s="1440"/>
      <c r="E154" s="794">
        <v>21</v>
      </c>
      <c r="F154" s="919" cm="1" t="str">
        <f t="array" ref="F154:F154">F153</f>
        <v>2</v>
      </c>
      <c r="G154" s="736" t="s">
        <v>1497</v>
      </c>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170" t="s">
        <v>1498</v>
      </c>
      <c r="AC154" s="163" t="s">
        <v>1499</v>
      </c>
      <c r="AD154" s="626"/>
      <c r="AE154" s="626" t="s">
        <v>805</v>
      </c>
      <c r="AF154" s="1731">
        <f>_xlfn.SUMIFS('Калькуляция (5.9)'!AF$26:AF$192,'Калькуляция (5.9)'!$F$26:$F$192,$F154,'Калькуляция (5.9)'!$G$26:$G$192,$G154)</f>
        <v>0</v>
      </c>
      <c r="AG154" s="1731">
        <f>_xlfn.SUMIFS('Калькуляция (5.9)'!AG$26:AG$192,'Калькуляция (5.9)'!$F$26:$F$192,$F154,'Калькуляция (5.9)'!$G$26:$G$192,$G154)</f>
        <v>0</v>
      </c>
      <c r="AH154" s="536"/>
      <c r="AI154" s="536"/>
      <c r="AJ154" s="536"/>
      <c r="AK154" s="536"/>
      <c r="AL154" s="536"/>
      <c r="AM154" s="536"/>
      <c r="AN154" s="536"/>
      <c r="AO154" s="536"/>
      <c r="AP154" s="536"/>
      <c r="AQ154" s="536"/>
      <c r="AR154" s="536"/>
      <c r="AS154" s="536"/>
      <c r="AT154" s="536"/>
      <c r="AU154" s="536"/>
      <c r="AV154" s="536"/>
      <c r="AW154" s="536"/>
      <c r="AX154" s="536"/>
      <c r="AY154" s="536"/>
      <c r="AZ154" s="1181" t="s">
        <v>1500</v>
      </c>
    </row>
    <row s="1619" customFormat="1" customHeight="1" ht="20.25">
      <c r="A155" s="1440"/>
      <c r="B155" s="924"/>
      <c r="C155" s="1440"/>
      <c r="D155" s="1440"/>
      <c r="E155" s="794">
        <v>21</v>
      </c>
      <c r="F155" s="919" cm="1" t="str">
        <f t="array" ref="F155:F155">F154</f>
        <v>2</v>
      </c>
      <c r="G155" s="962"/>
      <c r="H155" s="962"/>
      <c r="I155" s="962"/>
      <c r="J155" s="962"/>
      <c r="K155" s="962"/>
      <c r="L155" s="962"/>
      <c r="M155" s="962"/>
      <c r="N155" s="962"/>
      <c r="O155" s="962"/>
      <c r="P155" s="962"/>
      <c r="Q155" s="925"/>
      <c r="R155" s="925"/>
      <c r="S155" s="962"/>
      <c r="T155" s="816" cm="1" t="str">
        <f t="array" ref="T155:T155">T154</f>
        <v>true</v>
      </c>
      <c r="U155" s="1440"/>
      <c r="V155" s="1440"/>
      <c r="W155" s="1440"/>
      <c r="X155" s="1440"/>
      <c r="Y155" s="1440"/>
      <c r="Z155" s="1440"/>
      <c r="AA155" s="934"/>
      <c r="AB155" s="170" t="s">
        <v>1501</v>
      </c>
      <c r="AC155" s="1064" t="s">
        <v>1502</v>
      </c>
      <c r="AD155" s="626"/>
      <c r="AE155" s="626" t="s">
        <v>490</v>
      </c>
      <c r="AF155" s="1922"/>
      <c r="AG155" s="1922"/>
      <c r="AH155" s="536"/>
      <c r="AI155" s="536"/>
      <c r="AJ155" s="536"/>
      <c r="AK155" s="536"/>
      <c r="AL155" s="536"/>
      <c r="AM155" s="536"/>
      <c r="AN155" s="536"/>
      <c r="AO155" s="536"/>
      <c r="AP155" s="536"/>
      <c r="AQ155" s="536"/>
      <c r="AR155" s="536"/>
      <c r="AS155" s="536"/>
      <c r="AT155" s="536"/>
      <c r="AU155" s="536"/>
      <c r="AV155" s="536"/>
      <c r="AW155" s="536"/>
      <c r="AX155" s="536"/>
      <c r="AY155" s="536"/>
      <c r="AZ155" s="1181" t="s">
        <v>1503</v>
      </c>
    </row>
    <row s="1619" customFormat="1" customHeight="1" ht="21.75">
      <c r="A156" s="1440"/>
      <c r="B156" s="924"/>
      <c r="C156" s="1440"/>
      <c r="D156" s="1440"/>
      <c r="E156" s="794">
        <v>22.5</v>
      </c>
      <c r="F156" s="919" cm="1" t="str">
        <f t="array" ref="F156:F156">F154</f>
        <v>2</v>
      </c>
      <c r="G156" s="736" t="s">
        <v>1504</v>
      </c>
      <c r="H156" s="962"/>
      <c r="I156" s="962"/>
      <c r="J156" s="962"/>
      <c r="K156" s="962"/>
      <c r="L156" s="962"/>
      <c r="M156" s="962"/>
      <c r="N156" s="962"/>
      <c r="O156" s="962"/>
      <c r="P156" s="962"/>
      <c r="Q156" s="925"/>
      <c r="R156" s="925"/>
      <c r="S156" s="962"/>
      <c r="T156" s="816" cm="1" t="str">
        <f t="array" ref="T156:T156">T154</f>
        <v>true</v>
      </c>
      <c r="U156" s="1440"/>
      <c r="V156" s="1440"/>
      <c r="W156" s="1440"/>
      <c r="X156" s="1440"/>
      <c r="Y156" s="1440"/>
      <c r="Z156" s="1440"/>
      <c r="AA156" s="934"/>
      <c r="AB156" s="170" t="s">
        <v>1505</v>
      </c>
      <c r="AC156" s="163" t="s">
        <v>1506</v>
      </c>
      <c r="AD156" s="626"/>
      <c r="AE156" s="626" t="s">
        <v>805</v>
      </c>
      <c r="AF156" s="1731">
        <f>_xlfn.SUMIFS('Калькуляция (5.9)'!AF$26:AF$192,'Калькуляция (5.9)'!$F$26:$F$192,$F156,'Калькуляция (5.9)'!$G$26:$G$192,$G156)</f>
        <v>0</v>
      </c>
      <c r="AG156" s="1731">
        <f>_xlfn.SUMIFS('Калькуляция (5.9)'!AG$26:AG$192,'Калькуляция (5.9)'!$F$26:$F$192,$F156,'Калькуляция (5.9)'!$G$26:$G$192,$G156)</f>
        <v>0</v>
      </c>
      <c r="AH156" s="536"/>
      <c r="AI156" s="536"/>
      <c r="AJ156" s="536"/>
      <c r="AK156" s="536"/>
      <c r="AL156" s="536"/>
      <c r="AM156" s="536"/>
      <c r="AN156" s="536"/>
      <c r="AO156" s="536"/>
      <c r="AP156" s="536"/>
      <c r="AQ156" s="536"/>
      <c r="AR156" s="536"/>
      <c r="AS156" s="536"/>
      <c r="AT156" s="536"/>
      <c r="AU156" s="536"/>
      <c r="AV156" s="536"/>
      <c r="AW156" s="536"/>
      <c r="AX156" s="536"/>
      <c r="AY156" s="536"/>
      <c r="AZ156" s="1181" t="s">
        <v>1507</v>
      </c>
    </row>
    <row s="1619" customFormat="1" customHeight="1" ht="21.75">
      <c r="A157" s="1440"/>
      <c r="B157" s="924"/>
      <c r="C157" s="1440"/>
      <c r="D157" s="1440"/>
      <c r="E157" s="794">
        <v>22.8</v>
      </c>
      <c r="F157" s="919" cm="1" t="str">
        <f t="array" ref="F157:F157">F156</f>
        <v>2</v>
      </c>
      <c r="G157" s="736" t="s">
        <v>632</v>
      </c>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170" t="s">
        <v>1508</v>
      </c>
      <c r="AC157" s="163" t="s">
        <v>1509</v>
      </c>
      <c r="AD157" s="626"/>
      <c r="AE157" s="626" t="s">
        <v>805</v>
      </c>
      <c r="AF157" s="1731">
        <f>_xlfn.SUMIFS('Калькуляция (5.9)'!AF$26:AF$192,'Калькуляция (5.9)'!$F$26:$F$192,$F157,'Калькуляция (5.9)'!$G$26:$G$192,$G157)</f>
        <v>0</v>
      </c>
      <c r="AG157" s="1731">
        <f>_xlfn.SUMIFS('Калькуляция (5.9)'!AG$26:AG$192,'Калькуляция (5.9)'!$F$26:$F$192,$F157,'Калькуляция (5.9)'!$G$26:$G$192,$G157)</f>
        <v>0</v>
      </c>
      <c r="AH157" s="536"/>
      <c r="AI157" s="536"/>
      <c r="AJ157" s="536"/>
      <c r="AK157" s="536"/>
      <c r="AL157" s="536"/>
      <c r="AM157" s="536"/>
      <c r="AN157" s="536"/>
      <c r="AO157" s="536"/>
      <c r="AP157" s="536"/>
      <c r="AQ157" s="536"/>
      <c r="AR157" s="536"/>
      <c r="AS157" s="536"/>
      <c r="AT157" s="536"/>
      <c r="AU157" s="536"/>
      <c r="AV157" s="536"/>
      <c r="AW157" s="536"/>
      <c r="AX157" s="536"/>
      <c r="AY157" s="536"/>
      <c r="AZ157" s="1181" t="s">
        <v>1510</v>
      </c>
    </row>
    <row s="1619" customFormat="1" customHeight="1" ht="29.25">
      <c r="A158" s="1440"/>
      <c r="B158" s="924"/>
      <c r="C158" s="1440"/>
      <c r="D158" s="1440"/>
      <c r="E158" s="794">
        <v>30</v>
      </c>
      <c r="F158" s="919" cm="1" t="str">
        <f t="array" ref="F158:F158">F157</f>
        <v>2</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170" t="s">
        <v>1511</v>
      </c>
      <c r="AC158" s="163" t="s">
        <v>1512</v>
      </c>
      <c r="AD158" s="629"/>
      <c r="AE158" s="626" t="s">
        <v>805</v>
      </c>
      <c r="AF158" s="1731"/>
      <c r="AG158" s="1731"/>
      <c r="AH158" s="536"/>
      <c r="AI158" s="536"/>
      <c r="AJ158" s="536"/>
      <c r="AK158" s="536"/>
      <c r="AL158" s="536"/>
      <c r="AM158" s="536"/>
      <c r="AN158" s="536"/>
      <c r="AO158" s="536"/>
      <c r="AP158" s="536"/>
      <c r="AQ158" s="536"/>
      <c r="AR158" s="536"/>
      <c r="AS158" s="536"/>
      <c r="AT158" s="536"/>
      <c r="AU158" s="536"/>
      <c r="AV158" s="536"/>
      <c r="AW158" s="536"/>
      <c r="AX158" s="536"/>
      <c r="AY158" s="536"/>
      <c r="AZ158" s="1181" t="s">
        <v>1513</v>
      </c>
    </row>
    <row s="1619" customFormat="1" customHeight="1" ht="36.75">
      <c r="A159" s="1440"/>
      <c r="B159" s="924"/>
      <c r="C159" s="1440"/>
      <c r="D159" s="1440"/>
      <c r="E159" s="794">
        <v>38.3</v>
      </c>
      <c r="F159" s="919" cm="1" t="str">
        <f t="array" ref="F159:F159">F158</f>
        <v>2</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170" t="s">
        <v>1514</v>
      </c>
      <c r="AC159" s="163" t="s">
        <v>1515</v>
      </c>
      <c r="AD159" s="626"/>
      <c r="AE159" s="626" t="s">
        <v>805</v>
      </c>
      <c r="AF159" s="1731"/>
      <c r="AG159" s="1731"/>
      <c r="AH159" s="536"/>
      <c r="AI159" s="536"/>
      <c r="AJ159" s="536"/>
      <c r="AK159" s="536"/>
      <c r="AL159" s="536"/>
      <c r="AM159" s="536"/>
      <c r="AN159" s="536"/>
      <c r="AO159" s="536"/>
      <c r="AP159" s="536"/>
      <c r="AQ159" s="536"/>
      <c r="AR159" s="536"/>
      <c r="AS159" s="536"/>
      <c r="AT159" s="536"/>
      <c r="AU159" s="536"/>
      <c r="AV159" s="536"/>
      <c r="AW159" s="536"/>
      <c r="AX159" s="536"/>
      <c r="AY159" s="536"/>
      <c r="AZ159" s="1181" t="s">
        <v>1516</v>
      </c>
    </row>
    <row s="1619" customFormat="1" customHeight="1" ht="72.75">
      <c r="A160" s="1440"/>
      <c r="B160" s="924"/>
      <c r="C160" s="1440"/>
      <c r="D160" s="1440"/>
      <c r="E160" s="794">
        <v>75</v>
      </c>
      <c r="F160" s="919" cm="1" t="str">
        <f t="array" ref="F160:F160">F159</f>
        <v>2</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170" t="s">
        <v>1517</v>
      </c>
      <c r="AC160" s="163" t="s">
        <v>1518</v>
      </c>
      <c r="AD160" s="626"/>
      <c r="AE160" s="626" t="s">
        <v>805</v>
      </c>
      <c r="AF160" s="1731"/>
      <c r="AG160" s="1731"/>
      <c r="AH160" s="536"/>
      <c r="AI160" s="536"/>
      <c r="AJ160" s="536"/>
      <c r="AK160" s="536"/>
      <c r="AL160" s="536"/>
      <c r="AM160" s="536"/>
      <c r="AN160" s="536"/>
      <c r="AO160" s="536"/>
      <c r="AP160" s="536"/>
      <c r="AQ160" s="536"/>
      <c r="AR160" s="536"/>
      <c r="AS160" s="536"/>
      <c r="AT160" s="536"/>
      <c r="AU160" s="536"/>
      <c r="AV160" s="536"/>
      <c r="AW160" s="536"/>
      <c r="AX160" s="536"/>
      <c r="AY160" s="536"/>
      <c r="AZ160" s="1181" t="s">
        <v>1519</v>
      </c>
    </row>
    <row s="1619" customFormat="1" customHeight="1" ht="72">
      <c r="A161" s="1440"/>
      <c r="B161" s="924"/>
      <c r="C161" s="1440"/>
      <c r="D161" s="1440"/>
      <c r="E161" s="794">
        <v>74.3</v>
      </c>
      <c r="F161" s="919" cm="1" t="str">
        <f t="array" ref="F161:F161">F160</f>
        <v>2</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170" t="s">
        <v>1520</v>
      </c>
      <c r="AC161" s="163" t="s">
        <v>1521</v>
      </c>
      <c r="AD161" s="626"/>
      <c r="AE161" s="626" t="s">
        <v>1400</v>
      </c>
      <c r="AF161" s="1731"/>
      <c r="AG161" s="1731"/>
      <c r="AH161" s="536"/>
      <c r="AI161" s="536"/>
      <c r="AJ161" s="536"/>
      <c r="AK161" s="536"/>
      <c r="AL161" s="536"/>
      <c r="AM161" s="536"/>
      <c r="AN161" s="536"/>
      <c r="AO161" s="536"/>
      <c r="AP161" s="536"/>
      <c r="AQ161" s="536"/>
      <c r="AR161" s="536"/>
      <c r="AS161" s="536"/>
      <c r="AT161" s="536"/>
      <c r="AU161" s="536"/>
      <c r="AV161" s="536"/>
      <c r="AW161" s="536"/>
      <c r="AX161" s="536"/>
      <c r="AY161" s="536"/>
      <c r="AZ161" s="1181" t="s">
        <v>1522</v>
      </c>
    </row>
    <row s="1619" customFormat="1" customHeight="1" ht="55.5">
      <c r="A162" s="1440"/>
      <c r="B162" s="924"/>
      <c r="C162" s="1440"/>
      <c r="D162" s="1440"/>
      <c r="E162" s="794">
        <v>57</v>
      </c>
      <c r="F162" s="919" cm="1" t="str">
        <f t="array" ref="F162:F162">F161</f>
        <v>2</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170" t="s">
        <v>343</v>
      </c>
      <c r="AC162" s="624" t="s">
        <v>1523</v>
      </c>
      <c r="AD162" s="166" t="s">
        <v>1549</v>
      </c>
      <c r="AE162" s="626" t="s">
        <v>1400</v>
      </c>
      <c r="AF162" s="1731"/>
      <c r="AG162" s="1731"/>
      <c r="AH162" s="536"/>
      <c r="AI162" s="536"/>
      <c r="AJ162" s="536"/>
      <c r="AK162" s="536"/>
      <c r="AL162" s="536"/>
      <c r="AM162" s="536"/>
      <c r="AN162" s="536"/>
      <c r="AO162" s="536"/>
      <c r="AP162" s="536"/>
      <c r="AQ162" s="536"/>
      <c r="AR162" s="536"/>
      <c r="AS162" s="536"/>
      <c r="AT162" s="536"/>
      <c r="AU162" s="536"/>
      <c r="AV162" s="536"/>
      <c r="AW162" s="536"/>
      <c r="AX162" s="536"/>
      <c r="AY162" s="536"/>
      <c r="AZ162" s="1181" t="s">
        <v>1525</v>
      </c>
    </row>
    <row s="1619" customFormat="1" customHeight="1" ht="10.5">
      <c r="A163" s="1440"/>
      <c r="B163" s="924"/>
      <c r="C163" s="1440"/>
      <c r="D163" s="1440"/>
      <c r="E163" s="794">
        <v>11.4</v>
      </c>
      <c r="F163" s="919" cm="1" t="str">
        <f t="array" ref="F163:F163">F162</f>
        <v>2</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969"/>
      <c r="AC163" s="969"/>
      <c r="AD163" s="969"/>
      <c r="AE163" s="969"/>
      <c r="AF163" s="969"/>
      <c r="AG163" s="969"/>
      <c r="AH163" s="536"/>
      <c r="AI163" s="536"/>
      <c r="AJ163" s="536"/>
      <c r="AK163" s="536"/>
      <c r="AL163" s="536"/>
      <c r="AM163" s="536"/>
      <c r="AN163" s="536"/>
      <c r="AO163" s="536"/>
      <c r="AP163" s="536"/>
      <c r="AQ163" s="536"/>
      <c r="AR163" s="536"/>
      <c r="AS163" s="536"/>
      <c r="AT163" s="536"/>
      <c r="AU163" s="536"/>
      <c r="AV163" s="536"/>
      <c r="AW163" s="536"/>
      <c r="AX163" s="536"/>
      <c r="AY163" s="536"/>
      <c r="AZ163" s="1244"/>
    </row>
    <row s="1619" customFormat="1" customHeight="1" ht="10.5">
      <c r="A164" s="1440"/>
      <c r="B164" s="924"/>
      <c r="C164" s="1440"/>
      <c r="D164" s="1440"/>
      <c r="E164" s="794">
        <v>11.3</v>
      </c>
      <c r="F164" s="919" cm="1" t="str">
        <f t="array" ref="F164:F164">F163</f>
        <v>2</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670" t="s">
        <v>1396</v>
      </c>
      <c r="AC164" s="1550" t="s">
        <v>488</v>
      </c>
      <c r="AD164" s="322" t="s">
        <v>1146</v>
      </c>
      <c r="AE164" s="154">
        <f>god-2</f>
        <v>2024</v>
      </c>
      <c r="AF164" s="154">
        <f>god-1</f>
        <v>2025</v>
      </c>
      <c r="AG164" s="322" t="s">
        <v>1526</v>
      </c>
      <c r="AH164" s="302" cm="1" t="str">
        <f t="array" ref="AH164:AH164">god</f>
        <v>2026</v>
      </c>
      <c r="AI164" s="154">
        <f>god+1</f>
        <v>2027</v>
      </c>
      <c r="AJ164" s="154">
        <f>god+2</f>
        <v>2028</v>
      </c>
      <c r="AK164" s="154">
        <f>god+3</f>
        <v>2029</v>
      </c>
      <c r="AL164" s="154">
        <f>god+4</f>
        <v>2030</v>
      </c>
      <c r="AM164" s="322" t="s">
        <v>1526</v>
      </c>
      <c r="AN164" s="302" cm="1" t="str">
        <f t="array" ref="AN164:AN164">god</f>
        <v>2026</v>
      </c>
      <c r="AO164" s="154">
        <f>god+1</f>
        <v>2027</v>
      </c>
      <c r="AP164" s="154">
        <f>god+2</f>
        <v>2028</v>
      </c>
      <c r="AQ164" s="154">
        <f>god+3</f>
        <v>2029</v>
      </c>
      <c r="AR164" s="154">
        <f>god+4</f>
        <v>2030</v>
      </c>
      <c r="AS164" s="536"/>
      <c r="AT164" s="536"/>
      <c r="AU164" s="124" t="s">
        <v>1527</v>
      </c>
      <c r="AV164" s="536"/>
      <c r="AW164" s="536"/>
      <c r="AX164" s="536"/>
      <c r="AY164" s="536"/>
      <c r="AZ164" s="1244"/>
    </row>
    <row s="1619" customFormat="1" customHeight="1" ht="21.75">
      <c r="A165" s="1440"/>
      <c r="B165" s="924"/>
      <c r="C165" s="1440"/>
      <c r="D165" s="1440"/>
      <c r="E165" s="794">
        <v>22.5</v>
      </c>
      <c r="F165" s="919" cm="1" t="str">
        <f t="array" ref="F165:F165">F164</f>
        <v>2</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1549"/>
      <c r="AC165" s="1551"/>
      <c r="AD165" s="322"/>
      <c r="AE165" s="170" t="s">
        <v>1528</v>
      </c>
      <c r="AF165" s="170" t="s">
        <v>1528</v>
      </c>
      <c r="AG165" s="322"/>
      <c r="AH165" s="170" t="s">
        <v>1529</v>
      </c>
      <c r="AI165" s="170" t="s">
        <v>1529</v>
      </c>
      <c r="AJ165" s="170" t="s">
        <v>1529</v>
      </c>
      <c r="AK165" s="170" t="s">
        <v>1529</v>
      </c>
      <c r="AL165" s="170" t="s">
        <v>1529</v>
      </c>
      <c r="AM165" s="322"/>
      <c r="AN165" s="170" t="s">
        <v>1530</v>
      </c>
      <c r="AO165" s="170" t="s">
        <v>1530</v>
      </c>
      <c r="AP165" s="170" t="s">
        <v>1530</v>
      </c>
      <c r="AQ165" s="170" t="s">
        <v>1530</v>
      </c>
      <c r="AR165" s="170" t="s">
        <v>1530</v>
      </c>
      <c r="AS165" s="536"/>
      <c r="AT165" s="536"/>
      <c r="AU165" s="124"/>
      <c r="AV165" s="536"/>
      <c r="AW165" s="536"/>
      <c r="AX165" s="536"/>
      <c r="AY165" s="536"/>
      <c r="AZ165" s="1244"/>
    </row>
    <row s="1619" customFormat="1" customHeight="1" ht="15">
      <c r="A166" s="1440"/>
      <c r="B166" s="924"/>
      <c r="C166" s="1440"/>
      <c r="D166" s="1440"/>
      <c r="E166" s="794">
        <v>15.8</v>
      </c>
      <c r="F166" s="919" cm="1" t="str">
        <f t="array" ref="F166:F166">F165</f>
        <v>2</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285" t="s">
        <v>614</v>
      </c>
      <c r="AC166" s="404" t="s">
        <v>1531</v>
      </c>
      <c r="AD166" s="626" t="s">
        <v>805</v>
      </c>
      <c r="AE166" s="818" t="s">
        <v>1532</v>
      </c>
      <c r="AF166" s="818" t="s">
        <v>1532</v>
      </c>
      <c r="AG166" s="419" cm="1" t="str">
        <f t="array" ref="AG166:AG166">AF123</f>
        <v>0</v>
      </c>
      <c r="AH166" s="1038">
        <v>5525</v>
      </c>
      <c r="AI166" s="1038"/>
      <c r="AJ166" s="1038"/>
      <c r="AK166" s="1038"/>
      <c r="AL166" s="1038"/>
      <c r="AM166" s="419" cm="1" t="str">
        <f t="array" ref="AM166:AM166">AG123</f>
        <v>0</v>
      </c>
      <c r="AN166" s="1039">
        <v>4955</v>
      </c>
      <c r="AO166" s="1039"/>
      <c r="AP166" s="1039"/>
      <c r="AQ166" s="1039"/>
      <c r="AR166" s="1039"/>
      <c r="AS166" s="536"/>
      <c r="AT166" s="536"/>
      <c r="AU166" s="125"/>
      <c r="AV166" s="536"/>
      <c r="AW166" s="536"/>
      <c r="AX166" s="536"/>
      <c r="AY166" s="536"/>
      <c r="AZ166" s="1181" t="s">
        <v>1533</v>
      </c>
    </row>
    <row s="1619" customFormat="1" customHeight="1" ht="27">
      <c r="A167" s="1440"/>
      <c r="B167" s="924"/>
      <c r="C167" s="1440"/>
      <c r="D167" s="1440"/>
      <c r="E167" s="794">
        <v>27.8</v>
      </c>
      <c r="F167" s="919" cm="1" t="str">
        <f t="array" ref="F167:F167">F166</f>
        <v>2</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285" t="s">
        <v>624</v>
      </c>
      <c r="AC167" s="632" t="s">
        <v>1534</v>
      </c>
      <c r="AD167" s="626" t="s">
        <v>805</v>
      </c>
      <c r="AE167" s="1925"/>
      <c r="AF167" s="1925"/>
      <c r="AG167" s="419">
        <f>SUM(AH167:AL167)</f>
        <v>0</v>
      </c>
      <c r="AH167" s="1038"/>
      <c r="AI167" s="1038"/>
      <c r="AJ167" s="1038"/>
      <c r="AK167" s="1038"/>
      <c r="AL167" s="1038"/>
      <c r="AM167" s="419">
        <f>SUM(AN167:AR167)</f>
        <v>0</v>
      </c>
      <c r="AN167" s="1039"/>
      <c r="AO167" s="1039"/>
      <c r="AP167" s="1039"/>
      <c r="AQ167" s="1039"/>
      <c r="AR167" s="1039"/>
      <c r="AS167" s="536"/>
      <c r="AT167" s="536"/>
      <c r="AU167" s="125"/>
      <c r="AV167" s="536"/>
      <c r="AW167" s="536"/>
      <c r="AX167" s="536"/>
      <c r="AY167" s="536"/>
      <c r="AZ167" s="1181" t="s">
        <v>1535</v>
      </c>
    </row>
    <row s="1619" customFormat="1" customHeight="1" ht="15">
      <c r="A168" s="1440"/>
      <c r="B168" s="924"/>
      <c r="C168" s="1440"/>
      <c r="D168" s="1440"/>
      <c r="E168" s="794">
        <v>15.8</v>
      </c>
      <c r="F168" s="919" cm="1" t="str">
        <f t="array" ref="F168:F168">F167</f>
        <v>2</v>
      </c>
      <c r="G168" s="736" t="s">
        <v>1536</v>
      </c>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311" t="s">
        <v>629</v>
      </c>
      <c r="AC168" s="624" t="s">
        <v>1537</v>
      </c>
      <c r="AD168" s="626" t="s">
        <v>805</v>
      </c>
      <c r="AE168" s="419" cm="1" t="str">
        <f t="array" ref="AE168:AE168">AE167</f>
        <v>0</v>
      </c>
      <c r="AF168" s="419" cm="1" t="str">
        <f t="array" ref="AF168:AF168">AF167</f>
        <v>0</v>
      </c>
      <c r="AG168" s="419">
        <f>AG166+AG167</f>
        <v>0</v>
      </c>
      <c r="AH168" s="419">
        <f>AH166+AH167</f>
        <v>5525</v>
      </c>
      <c r="AI168" s="419">
        <f>AI166+AI167</f>
        <v>0</v>
      </c>
      <c r="AJ168" s="419">
        <f>AJ166+AJ167</f>
        <v>0</v>
      </c>
      <c r="AK168" s="419">
        <f>AK166+AK167</f>
        <v>0</v>
      </c>
      <c r="AL168" s="419">
        <f>AL166+AL167</f>
        <v>0</v>
      </c>
      <c r="AM168" s="419">
        <f>AM166+AM167</f>
        <v>0</v>
      </c>
      <c r="AN168" s="419">
        <f>AN166+AN167</f>
        <v>4955</v>
      </c>
      <c r="AO168" s="419">
        <f>AO166+AO167</f>
        <v>0</v>
      </c>
      <c r="AP168" s="419">
        <f>AP166+AP167</f>
        <v>0</v>
      </c>
      <c r="AQ168" s="419">
        <f>AQ166+AQ167</f>
        <v>0</v>
      </c>
      <c r="AR168" s="419">
        <f>AR166+AR167</f>
        <v>0</v>
      </c>
      <c r="AS168" s="536"/>
      <c r="AT168" s="536"/>
      <c r="AU168" s="125"/>
      <c r="AV168" s="536"/>
      <c r="AW168" s="536"/>
      <c r="AX168" s="536"/>
      <c r="AY168" s="536"/>
      <c r="AZ168" s="1181" t="s">
        <v>1538</v>
      </c>
    </row>
    <row customHeight="1" ht="11.115">
      <c r="E169" s="794">
        <v>11.4</v>
      </c>
      <c r="U169" s="176" t="s">
        <v>235</v>
      </c>
      <c r="V169" s="168" t="s">
        <v>1550</v>
      </c>
      <c r="AB169" s="538"/>
      <c r="AC169" s="538"/>
      <c r="AD169" s="538"/>
      <c r="AE169" s="538"/>
      <c r="AF169" s="538"/>
      <c r="AG169" s="538"/>
      <c r="AH169" s="541"/>
      <c r="AI169" s="541"/>
      <c r="AJ169" s="541"/>
      <c r="AK169" s="536"/>
      <c r="AL169" s="536"/>
      <c r="AN169" s="536"/>
      <c r="AO169" s="536"/>
      <c r="AP169" s="536"/>
      <c r="AQ169" s="536"/>
      <c r="AR169" s="536"/>
      <c r="AV169" s="535"/>
    </row>
  </sheetData>
  <sheetProtection formatColumns="0" formatRows="0" insertRows="0" deleteColumns="0" deleteRows="0" sort="0" autoFilter="0" insertColumns="1"/>
  <mergeCells count="28">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 ref="AM164:AM165"/>
    <mergeCell ref="AU164:AU165"/>
    <mergeCell ref="AB164:AB165"/>
    <mergeCell ref="AC164:AC165"/>
    <mergeCell ref="AD164:AD165"/>
    <mergeCell ref="AG164:AG165"/>
    <mergeCell ref="X122:X168"/>
    <mergeCell ref="Z122:Z16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F65B77-71B8-D398-BD12-CDD93216CA41}"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1396</v>
      </c>
      <c r="AC25" s="1464" t="s">
        <v>433</v>
      </c>
      <c r="AD25" s="1464" t="s">
        <v>1398</v>
      </c>
      <c r="AE25" s="1360">
        <f>god-4</f>
        <v>2022</v>
      </c>
      <c r="AF25" s="1360">
        <f>god-3</f>
        <v>2023</v>
      </c>
      <c r="AG25" s="1360">
        <f>god-2</f>
        <v>2024</v>
      </c>
      <c r="AH25" s="302" t="s">
        <v>872</v>
      </c>
      <c r="AI25" s="302">
        <f>god-4</f>
        <v>2022</v>
      </c>
      <c r="AJ25" s="302">
        <f>god-3</f>
        <v>2023</v>
      </c>
      <c r="AK25" s="302">
        <f>god-2</f>
        <v>2024</v>
      </c>
      <c r="AL25" s="302" t="s">
        <v>872</v>
      </c>
    </row>
    <row customHeight="1" ht="33.0525">
      <c r="E26" s="794">
        <v>33.9</v>
      </c>
      <c r="AB26" s="1464"/>
      <c r="AC26" s="1464"/>
      <c r="AD26" s="1464"/>
      <c r="AE26" s="1362" t="s">
        <v>1551</v>
      </c>
      <c r="AF26" s="1362" t="s">
        <v>1551</v>
      </c>
      <c r="AG26" s="1362" t="s">
        <v>1551</v>
      </c>
      <c r="AH26" s="558" t="s">
        <v>1551</v>
      </c>
      <c r="AI26" s="558" t="s">
        <v>1552</v>
      </c>
      <c r="AJ26" s="558" t="s">
        <v>1552</v>
      </c>
      <c r="AK26" s="558" t="s">
        <v>1552</v>
      </c>
      <c r="AL26" s="558" t="s">
        <v>1552</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сведения'!$AG$169:$AG$218,MATCH($F28,'Общие сведения'!$Z$169:$Z$218,0))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1553</v>
      </c>
      <c r="AD29" s="692" t="s">
        <v>805</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442</v>
      </c>
      <c r="AC30" s="696" t="s">
        <v>1554</v>
      </c>
      <c r="AD30" s="695" t="s">
        <v>805</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931</v>
      </c>
      <c r="AC31" s="696" t="s">
        <v>1555</v>
      </c>
      <c r="AD31" s="695" t="s">
        <v>805</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933</v>
      </c>
      <c r="AC32" s="696" t="s">
        <v>1556</v>
      </c>
      <c r="AD32" s="695" t="s">
        <v>805</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937</v>
      </c>
      <c r="AC33" s="696" t="s">
        <v>1557</v>
      </c>
      <c r="AD33" s="695" t="s">
        <v>805</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1042</v>
      </c>
      <c r="AC34" s="696" t="s">
        <v>1262</v>
      </c>
      <c r="AD34" s="695" t="s">
        <v>805</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1558</v>
      </c>
      <c r="AD35" s="695" t="s">
        <v>805</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448</v>
      </c>
      <c r="AC36" s="696" t="s">
        <v>1554</v>
      </c>
      <c r="AD36" s="695" t="s">
        <v>805</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475</v>
      </c>
      <c r="AC37" s="696" t="s">
        <v>1555</v>
      </c>
      <c r="AD37" s="695" t="s">
        <v>805</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479</v>
      </c>
      <c r="AC38" s="696" t="s">
        <v>1556</v>
      </c>
      <c r="AD38" s="695" t="s">
        <v>805</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483</v>
      </c>
      <c r="AC39" s="696" t="s">
        <v>1557</v>
      </c>
      <c r="AD39" s="695" t="s">
        <v>805</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1559</v>
      </c>
      <c r="AC40" s="696" t="s">
        <v>1262</v>
      </c>
      <c r="AD40" s="695" t="s">
        <v>805</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614</v>
      </c>
      <c r="AC41" s="699" t="s">
        <v>1560</v>
      </c>
      <c r="AD41" s="695" t="s">
        <v>1561</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624</v>
      </c>
      <c r="AC42" s="699" t="s">
        <v>1562</v>
      </c>
      <c r="AD42" s="695" t="s">
        <v>1561</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629</v>
      </c>
      <c r="AC43" s="699" t="s">
        <v>1563</v>
      </c>
      <c r="AD43" s="695" t="s">
        <v>805</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751</v>
      </c>
      <c r="AC44" s="696" t="s">
        <v>1554</v>
      </c>
      <c r="AD44" s="695" t="s">
        <v>805</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1306</v>
      </c>
      <c r="AC45" s="696" t="s">
        <v>1555</v>
      </c>
      <c r="AD45" s="695" t="s">
        <v>805</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1309</v>
      </c>
      <c r="AC46" s="696" t="s">
        <v>1556</v>
      </c>
      <c r="AD46" s="695" t="s">
        <v>805</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1312</v>
      </c>
      <c r="AC47" s="696" t="s">
        <v>1557</v>
      </c>
      <c r="AD47" s="695" t="s">
        <v>805</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1315</v>
      </c>
      <c r="AC48" s="704" t="s">
        <v>1262</v>
      </c>
      <c r="AD48" s="702" t="s">
        <v>805</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1564</v>
      </c>
      <c r="AD49" s="311" t="s">
        <v>805</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1565</v>
      </c>
      <c r="AD50" s="311" t="s">
        <v>805</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E25528-E688-7AB8-CFF8-FCEABAAE03B2}" mc:Ignorable="x14ac xr xr2 xr3">
  <sheetPr>
    <tabColor rgb="FF92D050"/>
    <outlinePr summaryRight="0" summaryBelow="0"/>
    <pageSetUpPr fitToPage="1"/>
  </sheetPr>
  <dimension ref="A1:BX198"/>
  <sheetViews>
    <sheetView showGridLines="0" workbookViewId="0">
      <pane xSplit="30" ySplit="25" topLeftCell="AI164" activePane="bottomRight" state="frozen"/>
      <selection pane="bottomLeft" activeCell="A26" sqref="A26"/>
      <selection pane="topRight" activeCell="AE1" sqref="AE1"/>
      <selection pane="bottomRight" activeCell="AV175" sqref="AV175"/>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40" style="227" width="12.6328125" customWidth="1"/>
    <col min="41" max="45" style="227" width="12.6328125" hidden="1" customWidth="1"/>
    <col min="46" max="50" style="227" width="12.6328125" customWidth="1"/>
    <col min="51" max="55" style="227" width="12.6328125" hidden="1" customWidth="1"/>
    <col min="56" max="60" style="227" width="12.6328125" customWidth="1"/>
    <col min="61"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1566</v>
      </c>
      <c r="O1" s="1266" t="s">
        <v>1567</v>
      </c>
      <c r="P1" s="1266" t="s">
        <v>1568</v>
      </c>
      <c r="Q1" s="1266" t="s">
        <v>1569</v>
      </c>
      <c r="R1" s="1266"/>
      <c r="S1" s="0"/>
      <c r="T1" s="805" t="s">
        <v>86</v>
      </c>
      <c r="U1" s="805" t="s">
        <v>91</v>
      </c>
      <c r="V1" s="805" t="s">
        <v>87</v>
      </c>
      <c r="W1" s="805" t="s">
        <v>88</v>
      </c>
      <c r="X1" s="805" t="s">
        <v>89</v>
      </c>
      <c r="Y1" s="816" t="s">
        <v>376</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377</v>
      </c>
      <c r="BT1" s="1232" t="s">
        <v>378</v>
      </c>
      <c r="BU1" s="1232" t="s">
        <v>379</v>
      </c>
      <c r="BV1" s="1233" t="s">
        <v>382</v>
      </c>
      <c r="BW1" s="1233" t="s">
        <v>383</v>
      </c>
      <c r="BX1" s="1328" t="s">
        <v>1570</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1</v>
      </c>
      <c r="AL2" s="806">
        <f>AL6&lt;=last_year_vis</f>
        <v>1</v>
      </c>
      <c r="AM2" s="806">
        <f>AM6&lt;=last_year_vis</f>
        <v>1</v>
      </c>
      <c r="AN2" s="806">
        <f>AN6&lt;=last_year_vis</f>
        <v>1</v>
      </c>
      <c r="AO2" s="806">
        <f>AO6&lt;=last_year_vis</f>
        <v>0</v>
      </c>
      <c r="AP2" s="806">
        <f>AP6&lt;=last_year_vis</f>
        <v>0</v>
      </c>
      <c r="AQ2" s="806">
        <f>AQ6&lt;=last_year_vis</f>
        <v>0</v>
      </c>
      <c r="AR2" s="806">
        <f>AR6&lt;=last_year_vis</f>
        <v>0</v>
      </c>
      <c r="AS2" s="806">
        <f>AS6&lt;=last_year_vis</f>
        <v>0</v>
      </c>
      <c r="AT2" s="806">
        <f>AT6&lt;=last_year_vis</f>
        <v>1</v>
      </c>
      <c r="AU2" s="806">
        <f>AU6&lt;=last_year_vis</f>
        <v>1</v>
      </c>
      <c r="AV2" s="806">
        <f>AV6&lt;=last_year_vis</f>
        <v>1</v>
      </c>
      <c r="AW2" s="806">
        <f>AW6&lt;=last_year_vis</f>
        <v>1</v>
      </c>
      <c r="AX2" s="806">
        <f>AX6&lt;=last_year_vis</f>
        <v>1</v>
      </c>
      <c r="AY2" s="806">
        <f>AY6&lt;=last_year_vis</f>
        <v>0</v>
      </c>
      <c r="AZ2" s="806">
        <f>AZ6&lt;=last_year_vis</f>
        <v>0</v>
      </c>
      <c r="BA2" s="806">
        <f>BA6&lt;=last_year_vis</f>
        <v>0</v>
      </c>
      <c r="BB2" s="806">
        <f>BB6&lt;=last_year_vis</f>
        <v>0</v>
      </c>
      <c r="BC2" s="806">
        <f>BC6&lt;=last_year_vis</f>
        <v>0</v>
      </c>
      <c r="BD2" s="806">
        <f>BD6&lt;=last_year_vis</f>
        <v>1</v>
      </c>
      <c r="BE2" s="806">
        <f>BE6&lt;=last_year_vis</f>
        <v>1</v>
      </c>
      <c r="BF2" s="806">
        <f>BF6&lt;=last_year_vis</f>
        <v>1</v>
      </c>
      <c r="BG2" s="806">
        <f>BG6&lt;=last_year_vis</f>
        <v>1</v>
      </c>
      <c r="BH2" s="806">
        <f>BH6&lt;=last_year_vis</f>
        <v>1</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430</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431</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432</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388</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379</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1571</v>
      </c>
      <c r="AF13" s="1266" t="s">
        <v>1571</v>
      </c>
      <c r="AG13" s="1266" t="s">
        <v>1571</v>
      </c>
      <c r="AH13" s="1266" t="s">
        <v>1571</v>
      </c>
      <c r="AI13" s="1266" t="s">
        <v>1571</v>
      </c>
      <c r="AJ13" s="1266" t="s">
        <v>1571</v>
      </c>
      <c r="AK13" s="1266" t="s">
        <v>1571</v>
      </c>
      <c r="AL13" s="1266" t="s">
        <v>1571</v>
      </c>
      <c r="AM13" s="1266" t="s">
        <v>1571</v>
      </c>
      <c r="AN13" s="1266" t="s">
        <v>1571</v>
      </c>
      <c r="AO13" s="1266" t="s">
        <v>1571</v>
      </c>
      <c r="AP13" s="1266" t="s">
        <v>1571</v>
      </c>
      <c r="AQ13" s="1266" t="s">
        <v>1571</v>
      </c>
      <c r="AR13" s="1266" t="s">
        <v>1571</v>
      </c>
      <c r="AS13" s="1266" t="s">
        <v>1571</v>
      </c>
      <c r="AT13" s="1266" t="s">
        <v>1571</v>
      </c>
      <c r="AU13" s="1266" t="s">
        <v>1571</v>
      </c>
      <c r="AV13" s="1266" t="s">
        <v>1571</v>
      </c>
      <c r="AW13" s="1266" t="s">
        <v>1571</v>
      </c>
      <c r="AX13" s="1266" t="s">
        <v>1571</v>
      </c>
      <c r="AY13" s="1266" t="s">
        <v>1571</v>
      </c>
      <c r="AZ13" s="1266" t="s">
        <v>1571</v>
      </c>
      <c r="BA13" s="1266" t="s">
        <v>1571</v>
      </c>
      <c r="BB13" s="1266" t="s">
        <v>1571</v>
      </c>
      <c r="BC13" s="1266" t="s">
        <v>1571</v>
      </c>
      <c r="BD13" s="1266" t="s">
        <v>1571</v>
      </c>
      <c r="BE13" s="1266" t="s">
        <v>1571</v>
      </c>
      <c r="BF13" s="1266" t="s">
        <v>1571</v>
      </c>
      <c r="BG13" s="1266" t="s">
        <v>1571</v>
      </c>
      <c r="BH13" s="1266" t="s">
        <v>1571</v>
      </c>
      <c r="BI13" s="1266" t="s">
        <v>1571</v>
      </c>
      <c r="BJ13" s="1266" t="s">
        <v>1571</v>
      </c>
      <c r="BK13" s="1266" t="s">
        <v>1571</v>
      </c>
      <c r="BL13" s="1266" t="s">
        <v>1571</v>
      </c>
      <c r="BM13" s="1266" t="s">
        <v>1571</v>
      </c>
      <c r="BS13" s="1272"/>
      <c r="BT13" s="1272"/>
      <c r="BU13" s="1272"/>
      <c r="BV13" s="1272"/>
      <c r="BW13" s="1272"/>
      <c r="BX13" s="1330"/>
    </row>
    <row s="1267" customFormat="1" customHeight="1" ht="12" hidden="1">
      <c r="A14" s="1273" t="s">
        <v>1572</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1573</v>
      </c>
      <c r="B15" s="1255"/>
      <c r="C15" s="1307"/>
      <c r="D15" s="1264"/>
      <c r="E15" s="1255"/>
      <c r="G15" s="1268"/>
      <c r="H15" s="1268"/>
      <c r="I15" s="1268"/>
      <c r="J15" s="1268"/>
      <c r="K15" s="1268"/>
      <c r="L15" s="1269"/>
      <c r="S15" s="1270"/>
      <c r="T15" s="1270"/>
      <c r="U15" s="1270"/>
      <c r="V15" s="1270"/>
      <c r="W15" s="1270"/>
      <c r="X15" s="1270"/>
      <c r="Y15" s="1270"/>
      <c r="Z15" s="1270"/>
      <c r="AC15" s="1271"/>
      <c r="AE15" s="1266" t="s">
        <v>1574</v>
      </c>
      <c r="AF15" s="1266" t="s">
        <v>1575</v>
      </c>
      <c r="AG15" s="1266" t="s">
        <v>1574</v>
      </c>
      <c r="AH15" s="1266" t="s">
        <v>1576</v>
      </c>
      <c r="AI15" s="1266" t="s">
        <v>1574</v>
      </c>
      <c r="AJ15" s="1266" t="s">
        <v>1575</v>
      </c>
      <c r="AK15" s="1266" t="s">
        <v>1575</v>
      </c>
      <c r="AL15" s="1266" t="s">
        <v>1575</v>
      </c>
      <c r="AM15" s="1266" t="s">
        <v>1575</v>
      </c>
      <c r="AN15" s="1266" t="s">
        <v>1575</v>
      </c>
      <c r="AO15" s="1266" t="s">
        <v>1575</v>
      </c>
      <c r="AP15" s="1266" t="s">
        <v>1575</v>
      </c>
      <c r="AQ15" s="1266" t="s">
        <v>1575</v>
      </c>
      <c r="AR15" s="1266" t="s">
        <v>1575</v>
      </c>
      <c r="AS15" s="1266" t="s">
        <v>1575</v>
      </c>
      <c r="AT15" s="1266" t="s">
        <v>1574</v>
      </c>
      <c r="AU15" s="1266" t="s">
        <v>1574</v>
      </c>
      <c r="AV15" s="1266" t="s">
        <v>1574</v>
      </c>
      <c r="AW15" s="1266" t="s">
        <v>1574</v>
      </c>
      <c r="AX15" s="1266" t="s">
        <v>1574</v>
      </c>
      <c r="AY15" s="1266" t="s">
        <v>1574</v>
      </c>
      <c r="AZ15" s="1266" t="s">
        <v>1574</v>
      </c>
      <c r="BA15" s="1266" t="s">
        <v>1574</v>
      </c>
      <c r="BB15" s="1266" t="s">
        <v>1574</v>
      </c>
      <c r="BC15" s="1266" t="s">
        <v>1574</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1577</v>
      </c>
      <c r="B16" s="1255"/>
      <c r="C16" s="1307"/>
      <c r="D16" s="1264"/>
      <c r="E16" s="1255"/>
      <c r="G16" s="1268"/>
      <c r="H16" s="1268"/>
      <c r="I16" s="1268"/>
      <c r="J16" s="1268"/>
      <c r="K16" s="1268"/>
      <c r="L16" s="1269"/>
      <c r="S16" s="1270"/>
      <c r="T16" s="1270"/>
      <c r="U16" s="1270"/>
      <c r="V16" s="1270"/>
      <c r="W16" s="1270"/>
      <c r="X16" s="1270"/>
      <c r="Y16" s="1270"/>
      <c r="Z16" s="1270"/>
      <c r="AC16" s="1271"/>
      <c r="AE16" s="1266" t="s">
        <v>1578</v>
      </c>
      <c r="AF16" s="1266" t="s">
        <v>1579</v>
      </c>
      <c r="AG16" s="1266" t="s">
        <v>1579</v>
      </c>
      <c r="AH16" s="1266" t="s">
        <v>1580</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1581</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1582</v>
      </c>
      <c r="BO17" s="1266" t="s">
        <v>1583</v>
      </c>
      <c r="BP17" s="1266" t="s">
        <v>1584</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1585</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390</v>
      </c>
      <c r="AC24" s="1544" t="s">
        <v>433</v>
      </c>
      <c r="AD24" s="1544" t="s">
        <v>434</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1288</v>
      </c>
      <c r="BO24" s="1543" t="s">
        <v>587</v>
      </c>
      <c r="BP24" s="1543" t="s">
        <v>1289</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407</v>
      </c>
      <c r="AF25" s="1355" t="s">
        <v>588</v>
      </c>
      <c r="AG25" s="166" t="s">
        <v>589</v>
      </c>
      <c r="AH25" s="258" t="s">
        <v>1290</v>
      </c>
      <c r="AI25" s="166" t="s">
        <v>407</v>
      </c>
      <c r="AJ25" s="1354" t="s">
        <v>408</v>
      </c>
      <c r="AK25" s="1354" t="s">
        <v>408</v>
      </c>
      <c r="AL25" s="1354" t="s">
        <v>408</v>
      </c>
      <c r="AM25" s="1354" t="s">
        <v>408</v>
      </c>
      <c r="AN25" s="1354" t="s">
        <v>408</v>
      </c>
      <c r="AO25" s="1354" t="s">
        <v>408</v>
      </c>
      <c r="AP25" s="1354" t="s">
        <v>408</v>
      </c>
      <c r="AQ25" s="1354" t="s">
        <v>408</v>
      </c>
      <c r="AR25" s="1354" t="s">
        <v>408</v>
      </c>
      <c r="AS25" s="1354" t="s">
        <v>408</v>
      </c>
      <c r="AT25" s="410" t="s">
        <v>407</v>
      </c>
      <c r="AU25" s="410" t="s">
        <v>407</v>
      </c>
      <c r="AV25" s="410" t="s">
        <v>407</v>
      </c>
      <c r="AW25" s="410" t="s">
        <v>407</v>
      </c>
      <c r="AX25" s="410" t="s">
        <v>407</v>
      </c>
      <c r="AY25" s="410" t="s">
        <v>407</v>
      </c>
      <c r="AZ25" s="410" t="s">
        <v>407</v>
      </c>
      <c r="BA25" s="410" t="s">
        <v>407</v>
      </c>
      <c r="BB25" s="410" t="s">
        <v>407</v>
      </c>
      <c r="BC25" s="410" t="s">
        <v>407</v>
      </c>
      <c r="BD25" s="1543" t="s">
        <v>1291</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K27" s="210" cm="1" t="str">
        <f t="array" ref="K27:K27">INDEX('Общие сведения'!$AL$169:$AL$218,MATCH($F27,'Общие сведения'!$Z$169:$Z$218,0))</f>
        <v>0</v>
      </c>
      <c r="M27" s="1270"/>
      <c r="N27" s="1270"/>
      <c r="O27" s="1280"/>
      <c r="P27" s="1280"/>
      <c r="Q27" s="1280"/>
      <c r="R27" s="1280"/>
      <c r="T27" s="805">
        <f>X27&gt;0</f>
        <v>0</v>
      </c>
      <c r="V27" s="172" t="s">
        <v>309</v>
      </c>
      <c r="X27" s="172">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1586</v>
      </c>
      <c r="D28" s="1257" t="s">
        <v>1587</v>
      </c>
      <c r="E28" s="794">
        <v>17.1</v>
      </c>
      <c r="F28" s="919" cm="1" t="str">
        <f t="array" ref="F28:F28">OFFSET(G28,-1,-1)</f>
        <v>0</v>
      </c>
      <c r="G28" s="190" t="s">
        <v>1292</v>
      </c>
      <c r="M28" s="1281"/>
      <c r="N28" s="1281" cm="1" t="str">
        <f t="array" ref="N28:N28">INDEX('Общие сведения'!$N$169:$N$218,MATCH($F28,'Общие сведения'!$Z$169:$Z$218,0)+1)</f>
        <v>0</v>
      </c>
      <c r="O28" s="1282"/>
      <c r="P28" s="1282"/>
      <c r="Q28" s="1282"/>
      <c r="R28" s="1282"/>
      <c r="T28" s="805" cm="1" t="str">
        <f t="array" ref="T28:T28">T27</f>
        <v>false</v>
      </c>
      <c r="AB28" s="157" t="s">
        <v>335</v>
      </c>
      <c r="AC28" s="738" t="s">
        <v>1344</v>
      </c>
      <c r="AD28" s="485" t="s">
        <v>1019</v>
      </c>
      <c r="AE28" s="612">
        <f>_xlfn.SUMIFS('Операционные (5.1)'!AE$26:AE$99,'Операционные (5.1)'!$F$26:$F$99,$F28,'Операционные (5.1)'!$G$26:$G$99,$G28)</f>
        <v>0</v>
      </c>
      <c r="AF28" s="612">
        <f>_xlfn.SUMIFS('Операционные (5.1)'!AF$26:AF$99,'Операционные (5.1)'!$F$26:$F$99,$F28,'Операционные (5.1)'!$G$26:$G$99,$G28)</f>
        <v>0</v>
      </c>
      <c r="AG28" s="612">
        <f>_xlfn.SUMIFS('Операционные (5.1)'!AG$26:AG$99,'Операционные (5.1)'!$F$26:$F$99,$F28,'Операционные (5.1)'!$G$26:$G$99,$G28)</f>
        <v>0</v>
      </c>
      <c r="AH28" s="307">
        <f>AG28-AF28</f>
        <v>0</v>
      </c>
      <c r="AI28" s="612">
        <f>_xlfn.SUMIFS('Операционные (5.1)'!AI$26:AI$99,'Операционные (5.1)'!$F$26:$F$99,$F28,'Операционные (5.1)'!$G$26:$G$99,$G28)</f>
        <v>0</v>
      </c>
      <c r="AJ28" s="737">
        <f>_xlfn.SUMIFS(INDEX('Операционные (5.2)'!$AJ$26:$BC$54,,MATCH(AJ$8,'Операционные (5.2)'!$AJ$8:$BC$8,0)),'Операционные (5.2)'!$F$26:$F$54,$F28,'Операционные (5.2)'!$G$26:$G$54,$G28)</f>
        <v>0</v>
      </c>
      <c r="AK28" s="737">
        <f>_xlfn.SUMIFS(INDEX('Операционные (5.2)'!$AJ$26:$BC$54,,MATCH(AK$8,'Операционные (5.2)'!$AJ$8:$BC$8,0)),'Операционные (5.2)'!$F$26:$F$54,$F28,'Операционные (5.2)'!$G$26:$G$54,$G28)</f>
        <v>0</v>
      </c>
      <c r="AL28" s="737">
        <f>_xlfn.SUMIFS(INDEX('Операционные (5.2)'!$AJ$26:$BC$54,,MATCH(AL$8,'Операционные (5.2)'!$AJ$8:$BC$8,0)),'Операционные (5.2)'!$F$26:$F$54,$F28,'Операционные (5.2)'!$G$26:$G$54,$G28)</f>
        <v>0</v>
      </c>
      <c r="AM28" s="737">
        <f>_xlfn.SUMIFS(INDEX('Операционные (5.2)'!$AJ$26:$BC$54,,MATCH(AM$8,'Операционные (5.2)'!$AJ$8:$BC$8,0)),'Операционные (5.2)'!$F$26:$F$54,$F28,'Операционные (5.2)'!$G$26:$G$54,$G28)</f>
        <v>0</v>
      </c>
      <c r="AN28" s="737">
        <f>_xlfn.SUMIFS(INDEX('Операционные (5.2)'!$AJ$26:$BC$54,,MATCH(AN$8,'Операционные (5.2)'!$AJ$8:$BC$8,0)),'Операционные (5.2)'!$F$26:$F$54,$F28,'Операционные (5.2)'!$G$26:$G$54,$G28)</f>
        <v>0</v>
      </c>
      <c r="AO28" s="737">
        <f>_xlfn.SUMIFS(INDEX('Операционные (5.2)'!$AJ$26:$BC$54,,MATCH(AO$8,'Операционные (5.2)'!$AJ$8:$BC$8,0)),'Операционные (5.2)'!$F$26:$F$54,$F28,'Операционные (5.2)'!$G$26:$G$54,$G28)</f>
        <v>0</v>
      </c>
      <c r="AP28" s="737">
        <f>_xlfn.SUMIFS(INDEX('Операционные (5.2)'!$AJ$26:$BC$54,,MATCH(AP$8,'Операционные (5.2)'!$AJ$8:$BC$8,0)),'Операционные (5.2)'!$F$26:$F$54,$F28,'Операционные (5.2)'!$G$26:$G$54,$G28)</f>
        <v>0</v>
      </c>
      <c r="AQ28" s="737">
        <f>_xlfn.SUMIFS(INDEX('Операционные (5.2)'!$AJ$26:$BC$54,,MATCH(AQ$8,'Операционные (5.2)'!$AJ$8:$BC$8,0)),'Операционные (5.2)'!$F$26:$F$54,$F28,'Операционные (5.2)'!$G$26:$G$54,$G28)</f>
        <v>0</v>
      </c>
      <c r="AR28" s="737">
        <f>_xlfn.SUMIFS(INDEX('Операционные (5.2)'!$AJ$26:$BC$54,,MATCH(AR$8,'Операционные (5.2)'!$AJ$8:$BC$8,0)),'Операционные (5.2)'!$F$26:$F$54,$F28,'Операционные (5.2)'!$G$26:$G$54,$G28)</f>
        <v>0</v>
      </c>
      <c r="AS28" s="737">
        <f>_xlfn.SUMIFS(INDEX('Операционные (5.2)'!$AJ$26:$BC$54,,MATCH(AS$8,'Операционные (5.2)'!$AJ$8:$BC$8,0)),'Операционные (5.2)'!$F$26:$F$54,$F28,'Операционные (5.2)'!$G$26:$G$54,$G28)</f>
        <v>0</v>
      </c>
      <c r="AT28" s="737">
        <f>_xlfn.SUMIFS(INDEX('Операционные (5.2)'!$AJ$26:$BC$54,,MATCH(AT$8,'Операционные (5.2)'!$AJ$8:$BC$8,0)),'Операционные (5.2)'!$F$26:$F$54,$F28,'Операционные (5.2)'!$G$26:$G$54,$G28)</f>
        <v>0</v>
      </c>
      <c r="AU28" s="737">
        <f>_xlfn.SUMIFS(INDEX('Операционные (5.2)'!$AJ$26:$BC$54,,MATCH(AU$8,'Операционные (5.2)'!$AJ$8:$BC$8,0)),'Операционные (5.2)'!$F$26:$F$54,$F28,'Операционные (5.2)'!$G$26:$G$54,$G28)</f>
        <v>0</v>
      </c>
      <c r="AV28" s="737">
        <f>_xlfn.SUMIFS(INDEX('Операционные (5.2)'!$AJ$26:$BC$54,,MATCH(AV$8,'Операционные (5.2)'!$AJ$8:$BC$8,0)),'Операционные (5.2)'!$F$26:$F$54,$F28,'Операционные (5.2)'!$G$26:$G$54,$G28)</f>
        <v>0</v>
      </c>
      <c r="AW28" s="737">
        <f>_xlfn.SUMIFS(INDEX('Операционные (5.2)'!$AJ$26:$BC$54,,MATCH(AW$8,'Операционные (5.2)'!$AJ$8:$BC$8,0)),'Операционные (5.2)'!$F$26:$F$54,$F28,'Операционные (5.2)'!$G$26:$G$54,$G28)</f>
        <v>0</v>
      </c>
      <c r="AX28" s="737">
        <f>_xlfn.SUMIFS(INDEX('Операционные (5.2)'!$AJ$26:$BC$54,,MATCH(AX$8,'Операционные (5.2)'!$AJ$8:$BC$8,0)),'Операционные (5.2)'!$F$26:$F$54,$F28,'Операционные (5.2)'!$G$26:$G$54,$G28)</f>
        <v>0</v>
      </c>
      <c r="AY28" s="737">
        <f>_xlfn.SUMIFS(INDEX('Операционные (5.2)'!$AJ$26:$BC$54,,MATCH(AY$8,'Операционные (5.2)'!$AJ$8:$BC$8,0)),'Операционные (5.2)'!$F$26:$F$54,$F28,'Операционные (5.2)'!$G$26:$G$54,$G28)</f>
        <v>0</v>
      </c>
      <c r="AZ28" s="737">
        <f>_xlfn.SUMIFS(INDEX('Операционные (5.2)'!$AJ$26:$BC$54,,MATCH(AZ$8,'Операционные (5.2)'!$AJ$8:$BC$8,0)),'Операционные (5.2)'!$F$26:$F$54,$F28,'Операционные (5.2)'!$G$26:$G$54,$G28)</f>
        <v>0</v>
      </c>
      <c r="BA28" s="737">
        <f>_xlfn.SUMIFS(INDEX('Операционные (5.2)'!$AJ$26:$BC$54,,MATCH(BA$8,'Операционные (5.2)'!$AJ$8:$BC$8,0)),'Операционные (5.2)'!$F$26:$F$54,$F28,'Операционные (5.2)'!$G$26:$G$54,$G28)</f>
        <v>0</v>
      </c>
      <c r="BB28" s="737">
        <f>_xlfn.SUMIFS(INDEX('Операционные (5.2)'!$AJ$26:$BC$54,,MATCH(BB$8,'Операционные (5.2)'!$AJ$8:$BC$8,0)),'Операционные (5.2)'!$F$26:$F$54,$F28,'Операционные (5.2)'!$G$26:$G$54,$G28)</f>
        <v>0</v>
      </c>
      <c r="BC28" s="737">
        <f>_xlfn.SUMIFS(INDEX('Операционные (5.2)'!$AJ$26:$BC$54,,MATCH(BC$8,'Операционные (5.2)'!$AJ$8:$BC$8,0)),'Операционные (5.2)'!$F$26:$F$54,$F28,'Операционные (5.2)'!$G$26:$G$54,$G28)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3"/>
      <c r="BO28" s="73"/>
      <c r="BP28" s="73"/>
      <c r="BS28" s="1232" t="s">
        <v>1588</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1589</v>
      </c>
      <c r="D29" s="1257" t="s">
        <v>1590</v>
      </c>
      <c r="E29" s="794">
        <v>17.1</v>
      </c>
      <c r="F29" s="919" cm="1" t="str">
        <f t="array" ref="F29:F29">OFFSET(G29,-1,-1)</f>
        <v>0</v>
      </c>
      <c r="G29" s="190" t="s">
        <v>1350</v>
      </c>
      <c r="M29" s="1281"/>
      <c r="N29" s="1281" cm="1" t="str">
        <f t="array" ref="N29:N29">OFFSET(M29,-1,1)</f>
        <v>0</v>
      </c>
      <c r="O29" s="1282"/>
      <c r="P29" s="1282"/>
      <c r="Q29" s="1282"/>
      <c r="R29" s="1282"/>
      <c r="T29" s="805" cm="1" t="str">
        <f t="array" ref="T29:T29">T28</f>
        <v>false</v>
      </c>
      <c r="AB29" s="157" t="s">
        <v>343</v>
      </c>
      <c r="AC29" s="649" t="s">
        <v>1591</v>
      </c>
      <c r="AD29" s="485" t="s">
        <v>1019</v>
      </c>
      <c r="AE29" s="612">
        <f>_xlfn.SUMIFS('Неподконтрольные (5.3)'!AE$26:AE$87,'Неподконтрольные (5.3)'!$F$26:$F$87,$F29,'Неподконтрольные (5.3)'!$G$26:$G$87,$G29)</f>
        <v>0</v>
      </c>
      <c r="AF29" s="612">
        <f>_xlfn.SUMIFS('Неподконтрольные (5.3)'!AF$26:AF$87,'Неподконтрольные (5.3)'!$F$26:$F$87,$F29,'Неподконтрольные (5.3)'!$G$26:$G$87,$G29)</f>
        <v>0</v>
      </c>
      <c r="AG29" s="612">
        <f>_xlfn.SUMIFS('Неподконтрольные (5.3)'!AG$26:AG$87,'Неподконтрольные (5.3)'!$F$26:$F$87,$F29,'Неподконтрольные (5.3)'!$G$26:$G$87,$G29)</f>
        <v>0</v>
      </c>
      <c r="AH29" s="307">
        <f>AG29-AF29</f>
        <v>0</v>
      </c>
      <c r="AI29" s="612">
        <f>_xlfn.SUMIFS('Неподконтрольные (5.3)'!AI$26:AI$87,'Неподконтрольные (5.3)'!$F$26:$F$87,$F29,'Неподконтрольные (5.3)'!$G$26:$G$87,$G29)</f>
        <v>0</v>
      </c>
      <c r="AJ29" s="612">
        <f>_xlfn.SUMIFS('Неподконтрольные (5.3)'!AJ$26:AJ$87,'Неподконтрольные (5.3)'!$F$26:$F$87,$F29,'Неподконтрольные (5.3)'!$G$26:$G$87,$G29)</f>
        <v>0</v>
      </c>
      <c r="AK29" s="612">
        <f>_xlfn.SUMIFS('Неподконтрольные (5.3)'!AK$26:AK$87,'Неподконтрольные (5.3)'!$F$26:$F$87,$F29,'Неподконтрольные (5.3)'!$G$26:$G$87,$G29)</f>
        <v>0</v>
      </c>
      <c r="AL29" s="612">
        <f>_xlfn.SUMIFS('Неподконтрольные (5.3)'!AL$26:AL$87,'Неподконтрольные (5.3)'!$F$26:$F$87,$F29,'Неподконтрольные (5.3)'!$G$26:$G$87,$G29)</f>
        <v>0</v>
      </c>
      <c r="AM29" s="612">
        <f>_xlfn.SUMIFS('Неподконтрольные (5.3)'!AM$26:AM$87,'Неподконтрольные (5.3)'!$F$26:$F$87,$F29,'Неподконтрольные (5.3)'!$G$26:$G$87,$G29)</f>
        <v>0</v>
      </c>
      <c r="AN29" s="612">
        <f>_xlfn.SUMIFS('Неподконтрольные (5.3)'!AN$26:AN$87,'Неподконтрольные (5.3)'!$F$26:$F$87,$F29,'Неподконтрольные (5.3)'!$G$26:$G$87,$G29)</f>
        <v>0</v>
      </c>
      <c r="AO29" s="612">
        <f>_xlfn.SUMIFS('Неподконтрольные (5.3)'!AO$26:AO$87,'Неподконтрольные (5.3)'!$F$26:$F$87,$F29,'Неподконтрольные (5.3)'!$G$26:$G$87,$G29)</f>
        <v>0</v>
      </c>
      <c r="AP29" s="612">
        <f>_xlfn.SUMIFS('Неподконтрольные (5.3)'!AP$26:AP$87,'Неподконтрольные (5.3)'!$F$26:$F$87,$F29,'Неподконтрольные (5.3)'!$G$26:$G$87,$G29)</f>
        <v>0</v>
      </c>
      <c r="AQ29" s="612">
        <f>_xlfn.SUMIFS('Неподконтрольные (5.3)'!AQ$26:AQ$87,'Неподконтрольные (5.3)'!$F$26:$F$87,$F29,'Неподконтрольные (5.3)'!$G$26:$G$87,$G29)</f>
        <v>0</v>
      </c>
      <c r="AR29" s="612">
        <f>_xlfn.SUMIFS('Неподконтрольные (5.3)'!AR$26:AR$87,'Неподконтрольные (5.3)'!$F$26:$F$87,$F29,'Неподконтрольные (5.3)'!$G$26:$G$87,$G29)</f>
        <v>0</v>
      </c>
      <c r="AS29" s="612">
        <f>_xlfn.SUMIFS('Неподконтрольные (5.3)'!AS$26:AS$87,'Неподконтрольные (5.3)'!$F$26:$F$87,$F29,'Неподконтрольные (5.3)'!$G$26:$G$87,$G29)</f>
        <v>0</v>
      </c>
      <c r="AT29" s="612">
        <f>_xlfn.SUMIFS('Неподконтрольные (5.3)'!AT$26:AT$87,'Неподконтрольные (5.3)'!$F$26:$F$87,$F29,'Неподконтрольные (5.3)'!$G$26:$G$87,$G29)</f>
        <v>0</v>
      </c>
      <c r="AU29" s="612">
        <f>_xlfn.SUMIFS('Неподконтрольные (5.3)'!AU$26:AU$87,'Неподконтрольные (5.3)'!$F$26:$F$87,$F29,'Неподконтрольные (5.3)'!$G$26:$G$87,$G29)</f>
        <v>0</v>
      </c>
      <c r="AV29" s="612">
        <f>_xlfn.SUMIFS('Неподконтрольные (5.3)'!AV$26:AV$87,'Неподконтрольные (5.3)'!$F$26:$F$87,$F29,'Неподконтрольные (5.3)'!$G$26:$G$87,$G29)</f>
        <v>0</v>
      </c>
      <c r="AW29" s="612">
        <f>_xlfn.SUMIFS('Неподконтрольные (5.3)'!AW$26:AW$87,'Неподконтрольные (5.3)'!$F$26:$F$87,$F29,'Неподконтрольные (5.3)'!$G$26:$G$87,$G29)</f>
        <v>0</v>
      </c>
      <c r="AX29" s="612">
        <f>_xlfn.SUMIFS('Неподконтрольные (5.3)'!AX$26:AX$87,'Неподконтрольные (5.3)'!$F$26:$F$87,$F29,'Неподконтрольные (5.3)'!$G$26:$G$87,$G29)</f>
        <v>0</v>
      </c>
      <c r="AY29" s="612">
        <f>_xlfn.SUMIFS('Неподконтрольные (5.3)'!AY$26:AY$87,'Неподконтрольные (5.3)'!$F$26:$F$87,$F29,'Неподконтрольные (5.3)'!$G$26:$G$87,$G29)</f>
        <v>0</v>
      </c>
      <c r="AZ29" s="612">
        <f>_xlfn.SUMIFS('Неподконтрольные (5.3)'!AZ$26:AZ$87,'Неподконтрольные (5.3)'!$F$26:$F$87,$F29,'Неподконтрольные (5.3)'!$G$26:$G$87,$G29)</f>
        <v>0</v>
      </c>
      <c r="BA29" s="612">
        <f>_xlfn.SUMIFS('Неподконтрольные (5.3)'!BA$26:BA$87,'Неподконтрольные (5.3)'!$F$26:$F$87,$F29,'Неподконтрольные (5.3)'!$G$26:$G$87,$G29)</f>
        <v>0</v>
      </c>
      <c r="BB29" s="612">
        <f>_xlfn.SUMIFS('Неподконтрольные (5.3)'!BB$26:BB$87,'Неподконтрольные (5.3)'!$F$26:$F$87,$F29,'Неподконтрольные (5.3)'!$G$26:$G$87,$G29)</f>
        <v>0</v>
      </c>
      <c r="BC29" s="612">
        <f>_xlfn.SUMIFS('Неподконтрольные (5.3)'!BC$26:BC$87,'Неподконтрольные (5.3)'!$F$26:$F$87,$F29,'Неподконтрольные (5.3)'!$G$26:$G$87,$G29)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3"/>
      <c r="BO29" s="73"/>
      <c r="BP29" s="73"/>
      <c r="BS29" s="1232" t="s">
        <v>1592</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1593</v>
      </c>
      <c r="D30" s="1257" t="s">
        <v>1594</v>
      </c>
      <c r="E30" s="794">
        <v>26.3</v>
      </c>
      <c r="F30" s="919" cm="1" t="str">
        <f t="array" ref="F30:F30">OFFSET(G30,-1,-1)</f>
        <v>0</v>
      </c>
      <c r="G30" s="190" t="s">
        <v>1392</v>
      </c>
      <c r="M30" s="1281"/>
      <c r="N30" s="1281" cm="1" t="str">
        <f t="array" ref="N30:N30">OFFSET(M30,-1,1)</f>
        <v>0</v>
      </c>
      <c r="O30" s="1282"/>
      <c r="P30" s="1282"/>
      <c r="Q30" s="1282"/>
      <c r="R30" s="1282"/>
      <c r="T30" s="805" cm="1" t="str">
        <f t="array" ref="T30:T30">T29</f>
        <v>false</v>
      </c>
      <c r="AB30" s="157" t="s">
        <v>614</v>
      </c>
      <c r="AC30" s="649" t="s">
        <v>1595</v>
      </c>
      <c r="AD30" s="485" t="s">
        <v>1019</v>
      </c>
      <c r="AE30" s="612">
        <f>_xlfn.SUMIFS('Ресурсы (5.4)'!AE$26:AE$57,'Ресурсы (5.4)'!$F$26:$F$57,$F30,'Ресурсы (5.4)'!$G$26:$G$57,$G30)</f>
        <v>0</v>
      </c>
      <c r="AF30" s="612">
        <f>_xlfn.SUMIFS('Ресурсы (5.4)'!AF$26:AF$57,'Ресурсы (5.4)'!$F$26:$F$57,$F30,'Ресурсы (5.4)'!$G$26:$G$57,$G30)</f>
        <v>0</v>
      </c>
      <c r="AG30" s="612">
        <f>_xlfn.SUMIFS('Ресурсы (5.4)'!AG$26:AG$57,'Ресурсы (5.4)'!$F$26:$F$57,$F30,'Ресурсы (5.4)'!$G$26:$G$57,$G30)</f>
        <v>0</v>
      </c>
      <c r="AH30" s="307">
        <f>AG30-AF30</f>
        <v>0</v>
      </c>
      <c r="AI30" s="612">
        <f>_xlfn.SUMIFS('Ресурсы (5.4)'!AI$26:AI$57,'Ресурсы (5.4)'!$F$26:$F$57,$F30,'Ресурсы (5.4)'!$G$26:$G$57,$G30)</f>
        <v>0</v>
      </c>
      <c r="AJ30" s="612">
        <f>_xlfn.SUMIFS('Ресурсы (5.4)'!AJ$26:AJ$57,'Ресурсы (5.4)'!$F$26:$F$57,$F30,'Ресурсы (5.4)'!$G$26:$G$57,$G30)</f>
        <v>0</v>
      </c>
      <c r="AK30" s="612">
        <f>_xlfn.SUMIFS('Ресурсы (5.4)'!AK$26:AK$57,'Ресурсы (5.4)'!$F$26:$F$57,$F30,'Ресурсы (5.4)'!$G$26:$G$57,$G30)</f>
        <v>0</v>
      </c>
      <c r="AL30" s="612">
        <f>_xlfn.SUMIFS('Ресурсы (5.4)'!AL$26:AL$57,'Ресурсы (5.4)'!$F$26:$F$57,$F30,'Ресурсы (5.4)'!$G$26:$G$57,$G30)</f>
        <v>0</v>
      </c>
      <c r="AM30" s="612">
        <f>_xlfn.SUMIFS('Ресурсы (5.4)'!AM$26:AM$57,'Ресурсы (5.4)'!$F$26:$F$57,$F30,'Ресурсы (5.4)'!$G$26:$G$57,$G30)</f>
        <v>0</v>
      </c>
      <c r="AN30" s="612">
        <f>_xlfn.SUMIFS('Ресурсы (5.4)'!AN$26:AN$57,'Ресурсы (5.4)'!$F$26:$F$57,$F30,'Ресурсы (5.4)'!$G$26:$G$57,$G30)</f>
        <v>0</v>
      </c>
      <c r="AO30" s="612">
        <f>_xlfn.SUMIFS('Ресурсы (5.4)'!AO$26:AO$57,'Ресурсы (5.4)'!$F$26:$F$57,$F30,'Ресурсы (5.4)'!$G$26:$G$57,$G30)</f>
        <v>0</v>
      </c>
      <c r="AP30" s="612">
        <f>_xlfn.SUMIFS('Ресурсы (5.4)'!AP$26:AP$57,'Ресурсы (5.4)'!$F$26:$F$57,$F30,'Ресурсы (5.4)'!$G$26:$G$57,$G30)</f>
        <v>0</v>
      </c>
      <c r="AQ30" s="612">
        <f>_xlfn.SUMIFS('Ресурсы (5.4)'!AQ$26:AQ$57,'Ресурсы (5.4)'!$F$26:$F$57,$F30,'Ресурсы (5.4)'!$G$26:$G$57,$G30)</f>
        <v>0</v>
      </c>
      <c r="AR30" s="612">
        <f>_xlfn.SUMIFS('Ресурсы (5.4)'!AR$26:AR$57,'Ресурсы (5.4)'!$F$26:$F$57,$F30,'Ресурсы (5.4)'!$G$26:$G$57,$G30)</f>
        <v>0</v>
      </c>
      <c r="AS30" s="612">
        <f>_xlfn.SUMIFS('Ресурсы (5.4)'!AS$26:AS$57,'Ресурсы (5.4)'!$F$26:$F$57,$F30,'Ресурсы (5.4)'!$G$26:$G$57,$G30)</f>
        <v>0</v>
      </c>
      <c r="AT30" s="612">
        <f>_xlfn.SUMIFS('Ресурсы (5.4)'!AT$26:AT$57,'Ресурсы (5.4)'!$F$26:$F$57,$F30,'Ресурсы (5.4)'!$G$26:$G$57,$G30)</f>
        <v>0</v>
      </c>
      <c r="AU30" s="612">
        <f>_xlfn.SUMIFS('Ресурсы (5.4)'!AU$26:AU$57,'Ресурсы (5.4)'!$F$26:$F$57,$F30,'Ресурсы (5.4)'!$G$26:$G$57,$G30)</f>
        <v>0</v>
      </c>
      <c r="AV30" s="612">
        <f>_xlfn.SUMIFS('Ресурсы (5.4)'!AV$26:AV$57,'Ресурсы (5.4)'!$F$26:$F$57,$F30,'Ресурсы (5.4)'!$G$26:$G$57,$G30)</f>
        <v>0</v>
      </c>
      <c r="AW30" s="612">
        <f>_xlfn.SUMIFS('Ресурсы (5.4)'!AW$26:AW$57,'Ресурсы (5.4)'!$F$26:$F$57,$F30,'Ресурсы (5.4)'!$G$26:$G$57,$G30)</f>
        <v>0</v>
      </c>
      <c r="AX30" s="612">
        <f>_xlfn.SUMIFS('Ресурсы (5.4)'!AX$26:AX$57,'Ресурсы (5.4)'!$F$26:$F$57,$F30,'Ресурсы (5.4)'!$G$26:$G$57,$G30)</f>
        <v>0</v>
      </c>
      <c r="AY30" s="612">
        <f>_xlfn.SUMIFS('Ресурсы (5.4)'!AY$26:AY$57,'Ресурсы (5.4)'!$F$26:$F$57,$F30,'Ресурсы (5.4)'!$G$26:$G$57,$G30)</f>
        <v>0</v>
      </c>
      <c r="AZ30" s="612">
        <f>_xlfn.SUMIFS('Ресурсы (5.4)'!AZ$26:AZ$57,'Ресурсы (5.4)'!$F$26:$F$57,$F30,'Ресурсы (5.4)'!$G$26:$G$57,$G30)</f>
        <v>0</v>
      </c>
      <c r="BA30" s="612">
        <f>_xlfn.SUMIFS('Ресурсы (5.4)'!BA$26:BA$57,'Ресурсы (5.4)'!$F$26:$F$57,$F30,'Ресурсы (5.4)'!$G$26:$G$57,$G30)</f>
        <v>0</v>
      </c>
      <c r="BB30" s="612">
        <f>_xlfn.SUMIFS('Ресурсы (5.4)'!BB$26:BB$57,'Ресурсы (5.4)'!$F$26:$F$57,$F30,'Ресурсы (5.4)'!$G$26:$G$57,$G30)</f>
        <v>0</v>
      </c>
      <c r="BC30" s="612">
        <f>_xlfn.SUMIFS('Ресурсы (5.4)'!BC$26:BC$57,'Ресурсы (5.4)'!$F$26:$F$57,$F30,'Ресурсы (5.4)'!$G$26:$G$57,$G30)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3"/>
      <c r="BO30" s="73"/>
      <c r="BP30" s="73"/>
      <c r="BS30" s="1232" t="s">
        <v>1596</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1597</v>
      </c>
      <c r="D31" s="1257" t="s">
        <v>1598</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624</v>
      </c>
      <c r="AC31" s="839" t="s">
        <v>1599</v>
      </c>
      <c r="AD31" s="309" t="s">
        <v>805</v>
      </c>
      <c r="AE31" s="121"/>
      <c r="AF31" s="121"/>
      <c r="AG31" s="121"/>
      <c r="AH31" s="307">
        <f>AG31-AF31</f>
        <v>0</v>
      </c>
      <c r="AI31" s="121"/>
      <c r="AJ31" s="614"/>
      <c r="AK31" s="614"/>
      <c r="AL31" s="614"/>
      <c r="AM31" s="614"/>
      <c r="AN31" s="614"/>
      <c r="AO31" s="121"/>
      <c r="AP31" s="121"/>
      <c r="AQ31" s="121"/>
      <c r="AR31" s="121"/>
      <c r="AS31" s="121"/>
      <c r="AT31" s="614"/>
      <c r="AU31" s="614"/>
      <c r="AV31" s="614"/>
      <c r="AW31" s="614"/>
      <c r="AX31" s="614"/>
      <c r="AY31" s="121"/>
      <c r="AZ31" s="121"/>
      <c r="BA31" s="121"/>
      <c r="BB31" s="121"/>
      <c r="BC31" s="121"/>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3"/>
      <c r="BO31" s="73"/>
      <c r="BP31" s="73"/>
      <c r="BS31" s="1232" t="s">
        <v>1600</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1601</v>
      </c>
      <c r="D32" s="1257" t="s">
        <v>1602</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746</v>
      </c>
      <c r="AC32" s="312" t="s">
        <v>1603</v>
      </c>
      <c r="AD32" s="309" t="s">
        <v>805</v>
      </c>
      <c r="AE32" s="121"/>
      <c r="AF32" s="121"/>
      <c r="AG32" s="121"/>
      <c r="AH32" s="307">
        <f>AG32-AF32</f>
        <v>0</v>
      </c>
      <c r="AI32" s="121"/>
      <c r="AJ32" s="614"/>
      <c r="AK32" s="614"/>
      <c r="AL32" s="614"/>
      <c r="AM32" s="614"/>
      <c r="AN32" s="614"/>
      <c r="AO32" s="121"/>
      <c r="AP32" s="121"/>
      <c r="AQ32" s="121"/>
      <c r="AR32" s="121"/>
      <c r="AS32" s="121"/>
      <c r="AT32" s="614"/>
      <c r="AU32" s="614"/>
      <c r="AV32" s="614"/>
      <c r="AW32" s="614"/>
      <c r="AX32" s="614"/>
      <c r="AY32" s="121"/>
      <c r="AZ32" s="121"/>
      <c r="BA32" s="121"/>
      <c r="BB32" s="121"/>
      <c r="BC32" s="121"/>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3"/>
      <c r="BO32" s="73"/>
      <c r="BP32" s="73"/>
      <c r="BS32" s="1232" t="s">
        <v>1604</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1605</v>
      </c>
      <c r="D33" s="1257" t="s">
        <v>1606</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1607</v>
      </c>
      <c r="AC33" s="312" t="s">
        <v>1608</v>
      </c>
      <c r="AD33" s="309" t="s">
        <v>1609</v>
      </c>
      <c r="AE33" s="121"/>
      <c r="AF33" s="121"/>
      <c r="AG33" s="121"/>
      <c r="AH33" s="307">
        <f>AG33-AF33</f>
        <v>0</v>
      </c>
      <c r="AI33" s="121"/>
      <c r="AJ33" s="614"/>
      <c r="AK33" s="614"/>
      <c r="AL33" s="614"/>
      <c r="AM33" s="614"/>
      <c r="AN33" s="614"/>
      <c r="AO33" s="121"/>
      <c r="AP33" s="121"/>
      <c r="AQ33" s="121"/>
      <c r="AR33" s="121"/>
      <c r="AS33" s="121"/>
      <c r="AT33" s="614"/>
      <c r="AU33" s="614"/>
      <c r="AV33" s="614"/>
      <c r="AW33" s="614"/>
      <c r="AX33" s="614"/>
      <c r="AY33" s="121"/>
      <c r="AZ33" s="121"/>
      <c r="BA33" s="121"/>
      <c r="BB33" s="121"/>
      <c r="BC33" s="121"/>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3"/>
      <c r="BO33" s="73"/>
      <c r="BP33" s="73"/>
      <c r="BS33" s="1232" t="s">
        <v>1610</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1611</v>
      </c>
      <c r="D34" s="1257" t="s">
        <v>1612</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629</v>
      </c>
      <c r="AC34" s="839" t="s">
        <v>1613</v>
      </c>
      <c r="AD34" s="309" t="s">
        <v>805</v>
      </c>
      <c r="AE34" s="121"/>
      <c r="AF34" s="121"/>
      <c r="AG34" s="121"/>
      <c r="AH34" s="307">
        <f>AG34-AF34</f>
        <v>0</v>
      </c>
      <c r="AI34" s="121"/>
      <c r="AJ34" s="614"/>
      <c r="AK34" s="614"/>
      <c r="AL34" s="614"/>
      <c r="AM34" s="614"/>
      <c r="AN34" s="614"/>
      <c r="AO34" s="121"/>
      <c r="AP34" s="121"/>
      <c r="AQ34" s="121"/>
      <c r="AR34" s="121"/>
      <c r="AS34" s="121"/>
      <c r="AT34" s="614"/>
      <c r="AU34" s="614"/>
      <c r="AV34" s="614"/>
      <c r="AW34" s="614"/>
      <c r="AX34" s="614"/>
      <c r="AY34" s="121"/>
      <c r="AZ34" s="121"/>
      <c r="BA34" s="121"/>
      <c r="BB34" s="121"/>
      <c r="BC34" s="121"/>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3"/>
      <c r="BO34" s="73"/>
      <c r="BP34" s="73"/>
      <c r="BS34" s="1232" t="s">
        <v>1614</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1615</v>
      </c>
      <c r="D35" s="1257" t="s">
        <v>1616</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751</v>
      </c>
      <c r="AC35" s="312" t="s">
        <v>1617</v>
      </c>
      <c r="AD35" s="309" t="s">
        <v>805</v>
      </c>
      <c r="AE35" s="121"/>
      <c r="AF35" s="121"/>
      <c r="AG35" s="121"/>
      <c r="AH35" s="307">
        <f>AG35-AF35</f>
        <v>0</v>
      </c>
      <c r="AI35" s="121"/>
      <c r="AJ35" s="614"/>
      <c r="AK35" s="614"/>
      <c r="AL35" s="614"/>
      <c r="AM35" s="614"/>
      <c r="AN35" s="614"/>
      <c r="AO35" s="121"/>
      <c r="AP35" s="121"/>
      <c r="AQ35" s="121"/>
      <c r="AR35" s="121"/>
      <c r="AS35" s="121"/>
      <c r="AT35" s="614"/>
      <c r="AU35" s="614"/>
      <c r="AV35" s="614"/>
      <c r="AW35" s="614"/>
      <c r="AX35" s="614"/>
      <c r="AY35" s="121"/>
      <c r="AZ35" s="121"/>
      <c r="BA35" s="121"/>
      <c r="BB35" s="121"/>
      <c r="BC35" s="121"/>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3"/>
      <c r="BO35" s="73"/>
      <c r="BP35" s="73"/>
      <c r="BS35" s="1232" t="s">
        <v>1618</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1619</v>
      </c>
      <c r="D36" s="1257" t="s">
        <v>1620</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1306</v>
      </c>
      <c r="AC36" s="312" t="s">
        <v>1621</v>
      </c>
      <c r="AD36" s="309" t="s">
        <v>490</v>
      </c>
      <c r="AE36" s="121"/>
      <c r="AF36" s="121"/>
      <c r="AG36" s="121"/>
      <c r="AH36" s="307">
        <f>AG36-AF36</f>
        <v>0</v>
      </c>
      <c r="AI36" s="121"/>
      <c r="AJ36" s="614"/>
      <c r="AK36" s="614"/>
      <c r="AL36" s="614"/>
      <c r="AM36" s="614"/>
      <c r="AN36" s="614"/>
      <c r="AO36" s="121"/>
      <c r="AP36" s="121"/>
      <c r="AQ36" s="121"/>
      <c r="AR36" s="121"/>
      <c r="AS36" s="121"/>
      <c r="AT36" s="614"/>
      <c r="AU36" s="614"/>
      <c r="AV36" s="614"/>
      <c r="AW36" s="614"/>
      <c r="AX36" s="614"/>
      <c r="AY36" s="121"/>
      <c r="AZ36" s="121"/>
      <c r="BA36" s="121"/>
      <c r="BB36" s="121"/>
      <c r="BC36" s="121"/>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3"/>
      <c r="BO36" s="73"/>
      <c r="BP36" s="73"/>
      <c r="BS36" s="1232" t="s">
        <v>1622</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1623</v>
      </c>
      <c r="D37" s="1257" t="s">
        <v>1624</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1309</v>
      </c>
      <c r="AC37" s="127" t="s">
        <v>1625</v>
      </c>
      <c r="AD37" s="309" t="s">
        <v>805</v>
      </c>
      <c r="AE37" s="121"/>
      <c r="AF37" s="121"/>
      <c r="AG37" s="121"/>
      <c r="AH37" s="307">
        <f>AG37-AF37</f>
        <v>0</v>
      </c>
      <c r="AI37" s="121"/>
      <c r="AJ37" s="614"/>
      <c r="AK37" s="614"/>
      <c r="AL37" s="614"/>
      <c r="AM37" s="614"/>
      <c r="AN37" s="614"/>
      <c r="AO37" s="121"/>
      <c r="AP37" s="121"/>
      <c r="AQ37" s="121"/>
      <c r="AR37" s="121"/>
      <c r="AS37" s="121"/>
      <c r="AT37" s="614"/>
      <c r="AU37" s="614"/>
      <c r="AV37" s="614"/>
      <c r="AW37" s="614"/>
      <c r="AX37" s="614"/>
      <c r="AY37" s="121"/>
      <c r="AZ37" s="121"/>
      <c r="BA37" s="121"/>
      <c r="BB37" s="121"/>
      <c r="BC37" s="121"/>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3"/>
      <c r="BO37" s="73"/>
      <c r="BP37" s="73"/>
      <c r="BS37" s="1232" t="s">
        <v>1626</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1627</v>
      </c>
      <c r="D38" s="1257" t="s">
        <v>1628</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1312</v>
      </c>
      <c r="AC38" s="127" t="s">
        <v>1629</v>
      </c>
      <c r="AD38" s="309" t="s">
        <v>805</v>
      </c>
      <c r="AE38" s="121"/>
      <c r="AF38" s="121"/>
      <c r="AG38" s="121"/>
      <c r="AH38" s="307">
        <f>AG38-AF38</f>
        <v>0</v>
      </c>
      <c r="AI38" s="121"/>
      <c r="AJ38" s="614"/>
      <c r="AK38" s="614"/>
      <c r="AL38" s="614"/>
      <c r="AM38" s="614"/>
      <c r="AN38" s="614"/>
      <c r="AO38" s="121"/>
      <c r="AP38" s="121"/>
      <c r="AQ38" s="121"/>
      <c r="AR38" s="121"/>
      <c r="AS38" s="121"/>
      <c r="AT38" s="614"/>
      <c r="AU38" s="614"/>
      <c r="AV38" s="614"/>
      <c r="AW38" s="614"/>
      <c r="AX38" s="614"/>
      <c r="AY38" s="121"/>
      <c r="AZ38" s="121"/>
      <c r="BA38" s="121"/>
      <c r="BB38" s="121"/>
      <c r="BC38" s="121"/>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3"/>
      <c r="BO38" s="73"/>
      <c r="BP38" s="73"/>
      <c r="BS38" s="1232" t="s">
        <v>1630</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1631</v>
      </c>
      <c r="D39" s="1257" t="s">
        <v>1632</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1633</v>
      </c>
      <c r="AC39" s="128" t="s">
        <v>1634</v>
      </c>
      <c r="AD39" s="309" t="s">
        <v>490</v>
      </c>
      <c r="AE39" s="121"/>
      <c r="AF39" s="121"/>
      <c r="AG39" s="121"/>
      <c r="AH39" s="307">
        <f>AG39-AF39</f>
        <v>0</v>
      </c>
      <c r="AI39" s="121"/>
      <c r="AJ39" s="614"/>
      <c r="AK39" s="614"/>
      <c r="AL39" s="614"/>
      <c r="AM39" s="614"/>
      <c r="AN39" s="614"/>
      <c r="AO39" s="121"/>
      <c r="AP39" s="121"/>
      <c r="AQ39" s="121"/>
      <c r="AR39" s="121"/>
      <c r="AS39" s="121"/>
      <c r="AT39" s="614"/>
      <c r="AU39" s="614"/>
      <c r="AV39" s="614"/>
      <c r="AW39" s="614"/>
      <c r="AX39" s="614"/>
      <c r="AY39" s="121"/>
      <c r="AZ39" s="121"/>
      <c r="BA39" s="121"/>
      <c r="BB39" s="121"/>
      <c r="BC39" s="121"/>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3"/>
      <c r="BO39" s="73"/>
      <c r="BP39" s="73"/>
      <c r="BS39" s="1232" t="s">
        <v>1635</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1636</v>
      </c>
      <c r="D40" s="1257" t="s">
        <v>1637</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1315</v>
      </c>
      <c r="AC40" s="127" t="s">
        <v>1638</v>
      </c>
      <c r="AD40" s="309" t="s">
        <v>490</v>
      </c>
      <c r="AE40" s="121"/>
      <c r="AF40" s="121"/>
      <c r="AG40" s="121"/>
      <c r="AH40" s="307">
        <f>AG40-AF40</f>
        <v>0</v>
      </c>
      <c r="AI40" s="121"/>
      <c r="AJ40" s="614"/>
      <c r="AK40" s="614"/>
      <c r="AL40" s="614"/>
      <c r="AM40" s="614"/>
      <c r="AN40" s="614"/>
      <c r="AO40" s="121"/>
      <c r="AP40" s="121"/>
      <c r="AQ40" s="121"/>
      <c r="AR40" s="121"/>
      <c r="AS40" s="121"/>
      <c r="AT40" s="614"/>
      <c r="AU40" s="614"/>
      <c r="AV40" s="614"/>
      <c r="AW40" s="614"/>
      <c r="AX40" s="614"/>
      <c r="AY40" s="121"/>
      <c r="AZ40" s="121"/>
      <c r="BA40" s="121"/>
      <c r="BB40" s="121"/>
      <c r="BC40" s="121"/>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3"/>
      <c r="BO40" s="73"/>
      <c r="BP40" s="73"/>
      <c r="BS40" s="1232" t="s">
        <v>1639</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1640</v>
      </c>
      <c r="D41" s="1257" t="s">
        <v>1641</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1642</v>
      </c>
      <c r="AC41" s="128" t="s">
        <v>1643</v>
      </c>
      <c r="AD41" s="309" t="s">
        <v>490</v>
      </c>
      <c r="AE41" s="121"/>
      <c r="AF41" s="121"/>
      <c r="AG41" s="121"/>
      <c r="AH41" s="307">
        <f>AG41-AF41</f>
        <v>0</v>
      </c>
      <c r="AI41" s="121"/>
      <c r="AJ41" s="614"/>
      <c r="AK41" s="614"/>
      <c r="AL41" s="614"/>
      <c r="AM41" s="614"/>
      <c r="AN41" s="614"/>
      <c r="AO41" s="121"/>
      <c r="AP41" s="121"/>
      <c r="AQ41" s="121"/>
      <c r="AR41" s="121"/>
      <c r="AS41" s="121"/>
      <c r="AT41" s="614"/>
      <c r="AU41" s="614"/>
      <c r="AV41" s="614"/>
      <c r="AW41" s="614"/>
      <c r="AX41" s="614"/>
      <c r="AY41" s="121"/>
      <c r="AZ41" s="121"/>
      <c r="BA41" s="121"/>
      <c r="BB41" s="121"/>
      <c r="BC41" s="121"/>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3"/>
      <c r="BO41" s="73"/>
      <c r="BP41" s="73"/>
      <c r="BS41" s="1232" t="s">
        <v>1644</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1645</v>
      </c>
      <c r="D42" s="1257" t="s">
        <v>1646</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1647</v>
      </c>
      <c r="AC42" s="128" t="s">
        <v>1648</v>
      </c>
      <c r="AD42" s="309" t="s">
        <v>490</v>
      </c>
      <c r="AE42" s="121"/>
      <c r="AF42" s="121"/>
      <c r="AG42" s="121"/>
      <c r="AH42" s="307">
        <f>AG42-AF42</f>
        <v>0</v>
      </c>
      <c r="AI42" s="121"/>
      <c r="AJ42" s="614"/>
      <c r="AK42" s="614"/>
      <c r="AL42" s="614"/>
      <c r="AM42" s="614"/>
      <c r="AN42" s="614"/>
      <c r="AO42" s="121"/>
      <c r="AP42" s="121"/>
      <c r="AQ42" s="121"/>
      <c r="AR42" s="121"/>
      <c r="AS42" s="121"/>
      <c r="AT42" s="614"/>
      <c r="AU42" s="614"/>
      <c r="AV42" s="614"/>
      <c r="AW42" s="614"/>
      <c r="AX42" s="614"/>
      <c r="AY42" s="121"/>
      <c r="AZ42" s="121"/>
      <c r="BA42" s="121"/>
      <c r="BB42" s="121"/>
      <c r="BC42" s="121"/>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3"/>
      <c r="BO42" s="73"/>
      <c r="BP42" s="73"/>
      <c r="BS42" s="1232" t="s">
        <v>1649</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1650</v>
      </c>
      <c r="D43" s="1257" t="s">
        <v>1651</v>
      </c>
      <c r="E43" s="794">
        <v>17.1</v>
      </c>
      <c r="F43" s="919" cm="1" t="str">
        <f t="array" ref="F43:F43">OFFSET(G43,-1,-1)</f>
        <v>0</v>
      </c>
      <c r="G43" s="190" t="s">
        <v>1497</v>
      </c>
      <c r="M43" s="1281"/>
      <c r="N43" s="1281" cm="1" t="str">
        <f t="array" ref="N43:N43">OFFSET(M43,-1,1)</f>
        <v>0</v>
      </c>
      <c r="O43" s="1282"/>
      <c r="P43" s="1282"/>
      <c r="Q43" s="1282"/>
      <c r="R43" s="1282"/>
      <c r="T43" s="805">
        <f>AND(F43&gt;0,method_reg="Метод индексации")</f>
        <v>0</v>
      </c>
      <c r="AB43" s="157" t="s">
        <v>624</v>
      </c>
      <c r="AC43" s="610" t="s">
        <v>1499</v>
      </c>
      <c r="AD43" s="485" t="s">
        <v>1019</v>
      </c>
      <c r="AE43" s="121">
        <f>AE44+AE45+AE46</f>
        <v>0</v>
      </c>
      <c r="AF43" s="121">
        <f>AF44+AF45+AF46</f>
        <v>0</v>
      </c>
      <c r="AG43" s="121">
        <f>AG44+AG45+AG46</f>
        <v>0</v>
      </c>
      <c r="AH43" s="307">
        <f>AG43-AF43</f>
        <v>0</v>
      </c>
      <c r="AI43" s="121">
        <f>AI44+AI45+AI46</f>
        <v>0</v>
      </c>
      <c r="AJ43" s="614">
        <f>AJ44+AJ45+AJ46</f>
        <v>0</v>
      </c>
      <c r="AK43" s="614">
        <f>AK44+AK45+AK46</f>
        <v>0</v>
      </c>
      <c r="AL43" s="614">
        <f>AL44+AL45+AL46</f>
        <v>0</v>
      </c>
      <c r="AM43" s="614">
        <f>AM44+AM45+AM46</f>
        <v>0</v>
      </c>
      <c r="AN43" s="614">
        <f>AN44+AN45+AN46</f>
        <v>0</v>
      </c>
      <c r="AO43" s="121">
        <f>AO44+AO45+AO46</f>
        <v>0</v>
      </c>
      <c r="AP43" s="121">
        <f>AP44+AP45+AP46</f>
        <v>0</v>
      </c>
      <c r="AQ43" s="121">
        <f>AQ44+AQ45+AQ46</f>
        <v>0</v>
      </c>
      <c r="AR43" s="121">
        <f>AR44+AR45+AR46</f>
        <v>0</v>
      </c>
      <c r="AS43" s="121">
        <f>AS44+AS45+AS46</f>
        <v>0</v>
      </c>
      <c r="AT43" s="614">
        <f>AT44+AT45+AT46</f>
        <v>0</v>
      </c>
      <c r="AU43" s="614">
        <f>AU44+AU45+AU46</f>
        <v>0</v>
      </c>
      <c r="AV43" s="614">
        <f>AV44+AV45+AV46</f>
        <v>0</v>
      </c>
      <c r="AW43" s="614">
        <f>AW44+AW45+AW46</f>
        <v>0</v>
      </c>
      <c r="AX43" s="614">
        <f>AX44+AX45+AX46</f>
        <v>0</v>
      </c>
      <c r="AY43" s="121">
        <f>AY44+AY45+AY46</f>
        <v>0</v>
      </c>
      <c r="AZ43" s="121">
        <f>AZ44+AZ45+AZ46</f>
        <v>0</v>
      </c>
      <c r="BA43" s="121">
        <f>BA44+BA45+BA46</f>
        <v>0</v>
      </c>
      <c r="BB43" s="121">
        <f>BB44+BB45+BB46</f>
        <v>0</v>
      </c>
      <c r="BC43" s="121">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3"/>
      <c r="BO43" s="73"/>
      <c r="BP43" s="73"/>
      <c r="BS43" s="1232" t="s">
        <v>1500</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1652</v>
      </c>
      <c r="D44" s="1257" t="s">
        <v>1653</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746</v>
      </c>
      <c r="AC44" s="1022" t="s">
        <v>1654</v>
      </c>
      <c r="AD44" s="485" t="s">
        <v>1400</v>
      </c>
      <c r="AE44" s="121"/>
      <c r="AF44" s="121"/>
      <c r="AG44" s="121"/>
      <c r="AH44" s="307">
        <f>AG44-AF44</f>
        <v>0</v>
      </c>
      <c r="AI44" s="121"/>
      <c r="AJ44" s="614"/>
      <c r="AK44" s="614"/>
      <c r="AL44" s="614"/>
      <c r="AM44" s="614"/>
      <c r="AN44" s="614"/>
      <c r="AO44" s="121"/>
      <c r="AP44" s="121"/>
      <c r="AQ44" s="121"/>
      <c r="AR44" s="121"/>
      <c r="AS44" s="121"/>
      <c r="AT44" s="614"/>
      <c r="AU44" s="614"/>
      <c r="AV44" s="614"/>
      <c r="AW44" s="614"/>
      <c r="AX44" s="614"/>
      <c r="AY44" s="121"/>
      <c r="AZ44" s="121"/>
      <c r="BA44" s="121"/>
      <c r="BB44" s="121"/>
      <c r="BC44" s="121"/>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3"/>
      <c r="BO44" s="73"/>
      <c r="BP44" s="73"/>
      <c r="BS44" s="1232" t="s">
        <v>1655</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1656</v>
      </c>
      <c r="D45" s="1257" t="s">
        <v>1657</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1607</v>
      </c>
      <c r="AC45" s="610" t="s">
        <v>1658</v>
      </c>
      <c r="AD45" s="485" t="s">
        <v>1400</v>
      </c>
      <c r="AE45" s="121"/>
      <c r="AF45" s="121"/>
      <c r="AG45" s="121"/>
      <c r="AH45" s="307">
        <f>AG45-AF45</f>
        <v>0</v>
      </c>
      <c r="AI45" s="121"/>
      <c r="AJ45" s="614"/>
      <c r="AK45" s="614"/>
      <c r="AL45" s="614"/>
      <c r="AM45" s="614"/>
      <c r="AN45" s="614"/>
      <c r="AO45" s="121"/>
      <c r="AP45" s="121"/>
      <c r="AQ45" s="121"/>
      <c r="AR45" s="121"/>
      <c r="AS45" s="121"/>
      <c r="AT45" s="614"/>
      <c r="AU45" s="614"/>
      <c r="AV45" s="614"/>
      <c r="AW45" s="614"/>
      <c r="AX45" s="614"/>
      <c r="AY45" s="121"/>
      <c r="AZ45" s="121"/>
      <c r="BA45" s="121"/>
      <c r="BB45" s="121"/>
      <c r="BC45" s="121"/>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3"/>
      <c r="BO45" s="73"/>
      <c r="BP45" s="73"/>
      <c r="BS45" s="1232" t="s">
        <v>1659</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1660</v>
      </c>
      <c r="D46" s="1257" t="s">
        <v>1661</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1662</v>
      </c>
      <c r="AC46" s="610" t="s">
        <v>1663</v>
      </c>
      <c r="AD46" s="485" t="s">
        <v>1400</v>
      </c>
      <c r="AE46" s="121"/>
      <c r="AF46" s="121"/>
      <c r="AG46" s="121"/>
      <c r="AH46" s="307">
        <f>AG46-AF46</f>
        <v>0</v>
      </c>
      <c r="AI46" s="121"/>
      <c r="AJ46" s="614"/>
      <c r="AK46" s="614"/>
      <c r="AL46" s="614"/>
      <c r="AM46" s="614"/>
      <c r="AN46" s="614"/>
      <c r="AO46" s="121"/>
      <c r="AP46" s="121"/>
      <c r="AQ46" s="121"/>
      <c r="AR46" s="121"/>
      <c r="AS46" s="121"/>
      <c r="AT46" s="614"/>
      <c r="AU46" s="614"/>
      <c r="AV46" s="614"/>
      <c r="AW46" s="614"/>
      <c r="AX46" s="614"/>
      <c r="AY46" s="121"/>
      <c r="AZ46" s="121"/>
      <c r="BA46" s="121"/>
      <c r="BB46" s="121"/>
      <c r="BC46" s="121"/>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232" t="s">
        <v>1664</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1665</v>
      </c>
      <c r="D47" s="1257" t="s">
        <v>1666</v>
      </c>
      <c r="E47" s="794">
        <v>15</v>
      </c>
      <c r="F47" s="919" cm="1" t="str">
        <f t="array" ref="F47:F47">OFFSET(G47,-1,-1)</f>
        <v>0</v>
      </c>
      <c r="G47" s="190" t="s">
        <v>1504</v>
      </c>
      <c r="M47" s="1281"/>
      <c r="N47" s="1281" cm="1" t="str">
        <f t="array" ref="N47:N47">OFFSET(M47,-1,1)</f>
        <v>0</v>
      </c>
      <c r="O47" s="1282"/>
      <c r="P47" s="1282"/>
      <c r="Q47" s="1282"/>
      <c r="R47" s="1282"/>
      <c r="T47" s="805">
        <f>AND(F47&gt;0,method_reg="Метод индексации")</f>
        <v>0</v>
      </c>
      <c r="AB47" s="157" t="s">
        <v>629</v>
      </c>
      <c r="AC47" s="610" t="s">
        <v>1506</v>
      </c>
      <c r="AD47" s="485" t="s">
        <v>1019</v>
      </c>
      <c r="AE47" s="121"/>
      <c r="AF47" s="121"/>
      <c r="AG47" s="121"/>
      <c r="AH47" s="307">
        <f>AG47-AF47</f>
        <v>0</v>
      </c>
      <c r="AI47" s="121"/>
      <c r="AJ47" s="614"/>
      <c r="AK47" s="614"/>
      <c r="AL47" s="614"/>
      <c r="AM47" s="614"/>
      <c r="AN47" s="614"/>
      <c r="AO47" s="121"/>
      <c r="AP47" s="121"/>
      <c r="AQ47" s="121"/>
      <c r="AR47" s="121"/>
      <c r="AS47" s="121"/>
      <c r="AT47" s="614"/>
      <c r="AU47" s="614"/>
      <c r="AV47" s="614"/>
      <c r="AW47" s="614"/>
      <c r="AX47" s="614"/>
      <c r="AY47" s="121"/>
      <c r="AZ47" s="121"/>
      <c r="BA47" s="121"/>
      <c r="BB47" s="121"/>
      <c r="BC47" s="121"/>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3"/>
      <c r="BO47" s="73"/>
      <c r="BP47" s="73"/>
      <c r="BS47" s="1232" t="s">
        <v>1667</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1668</v>
      </c>
      <c r="D48" s="1257" t="s">
        <v>1669</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751</v>
      </c>
      <c r="AC48" s="162" t="s">
        <v>1502</v>
      </c>
      <c r="AD48" s="485" t="s">
        <v>490</v>
      </c>
      <c r="AE48" s="117"/>
      <c r="AF48" s="117"/>
      <c r="AG48" s="117"/>
      <c r="AH48" s="307">
        <f>AG48-AF48</f>
        <v>0</v>
      </c>
      <c r="AI48" s="117"/>
      <c r="AJ48" s="1132"/>
      <c r="AK48" s="1132"/>
      <c r="AL48" s="1132"/>
      <c r="AM48" s="1132"/>
      <c r="AN48" s="1132"/>
      <c r="AO48" s="117"/>
      <c r="AP48" s="117"/>
      <c r="AQ48" s="117"/>
      <c r="AR48" s="117"/>
      <c r="AS48" s="117"/>
      <c r="AT48" s="1132"/>
      <c r="AU48" s="1132"/>
      <c r="AV48" s="1132"/>
      <c r="AW48" s="1132"/>
      <c r="AX48" s="1132"/>
      <c r="AY48" s="117"/>
      <c r="AZ48" s="117"/>
      <c r="BA48" s="117"/>
      <c r="BB48" s="117"/>
      <c r="BC48" s="117"/>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3"/>
      <c r="BO48" s="73"/>
      <c r="BP48" s="73"/>
      <c r="BS48" s="1232" t="s">
        <v>1670</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1671</v>
      </c>
      <c r="D49" s="1257" t="s">
        <v>1672</v>
      </c>
      <c r="E49" s="794">
        <v>29.3</v>
      </c>
      <c r="F49" s="919" cm="1" t="str">
        <f t="array" ref="F49:F49">OFFSET(G49,-1,-1)</f>
        <v>0</v>
      </c>
      <c r="G49" s="190">
        <v>6</v>
      </c>
      <c r="M49" s="1281"/>
      <c r="N49" s="1281" cm="1" t="str">
        <f t="array" ref="N49:N49">OFFSET(M49,-1,1)</f>
        <v>0</v>
      </c>
      <c r="O49" s="1282"/>
      <c r="P49" s="1282"/>
      <c r="Q49" s="1282"/>
      <c r="R49" s="1282"/>
      <c r="T49" s="805">
        <f>F49&gt;0</f>
        <v>0</v>
      </c>
      <c r="AB49" s="157" t="s">
        <v>632</v>
      </c>
      <c r="AC49" s="610" t="s">
        <v>1509</v>
      </c>
      <c r="AD49" s="485" t="s">
        <v>1019</v>
      </c>
      <c r="AE49" s="121"/>
      <c r="AF49" s="121"/>
      <c r="AG49" s="121"/>
      <c r="AH49" s="307">
        <f>AG49-AF49</f>
        <v>0</v>
      </c>
      <c r="AI49" s="121"/>
      <c r="AJ49" s="614"/>
      <c r="AK49" s="614"/>
      <c r="AL49" s="614"/>
      <c r="AM49" s="614"/>
      <c r="AN49" s="614"/>
      <c r="AO49" s="121"/>
      <c r="AP49" s="121"/>
      <c r="AQ49" s="121"/>
      <c r="AR49" s="121"/>
      <c r="AS49" s="121"/>
      <c r="AT49" s="614"/>
      <c r="AU49" s="614"/>
      <c r="AV49" s="614"/>
      <c r="AW49" s="614"/>
      <c r="AX49" s="614"/>
      <c r="AY49" s="121"/>
      <c r="AZ49" s="121"/>
      <c r="BA49" s="121"/>
      <c r="BB49" s="121"/>
      <c r="BC49" s="121"/>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3"/>
      <c r="BO49" s="73"/>
      <c r="BP49" s="73"/>
      <c r="BS49" s="1232" t="s">
        <v>1673</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1674</v>
      </c>
      <c r="D50" s="1257" t="s">
        <v>1675</v>
      </c>
      <c r="E50" s="794">
        <v>29.3</v>
      </c>
      <c r="F50" s="919" cm="1" t="str">
        <f t="array" ref="F50:F50">OFFSET(G50,-1,-1)</f>
        <v>0</v>
      </c>
      <c r="G50" s="190" t="s">
        <v>1536</v>
      </c>
      <c r="M50" s="1281"/>
      <c r="N50" s="1281" cm="1" t="str">
        <f t="array" ref="N50:N50">OFFSET(M50,-1,1)</f>
        <v>0</v>
      </c>
      <c r="O50" s="1282"/>
      <c r="P50" s="1282"/>
      <c r="Q50" s="1282"/>
      <c r="R50" s="1282"/>
      <c r="T50" s="805" cm="1" t="str">
        <f t="array" ref="T50:T50">T49</f>
        <v>false</v>
      </c>
      <c r="AB50" s="157" t="s">
        <v>651</v>
      </c>
      <c r="AC50" s="738" t="s">
        <v>1676</v>
      </c>
      <c r="AD50" s="485" t="s">
        <v>1019</v>
      </c>
      <c r="AE50" s="121"/>
      <c r="AF50" s="121"/>
      <c r="AG50" s="121"/>
      <c r="AH50" s="307">
        <f>AG50-AF50</f>
        <v>0</v>
      </c>
      <c r="AI50" s="121"/>
      <c r="AJ50" s="614">
        <f>_xlfn.SUMIFS('Корр Факт'!AH$27:AH$169,'Корр Факт'!$F$27:$F$169,$F50,'Корр Факт'!$G$27:$G$169,$G50)</f>
        <v>0</v>
      </c>
      <c r="AK50" s="614"/>
      <c r="AL50" s="614"/>
      <c r="AM50" s="614"/>
      <c r="AN50" s="614"/>
      <c r="AO50" s="121"/>
      <c r="AP50" s="121"/>
      <c r="AQ50" s="121"/>
      <c r="AR50" s="121"/>
      <c r="AS50" s="121"/>
      <c r="AT50" s="614">
        <f>_xlfn.SUMIFS('Корр Факт'!AN$27:AN$169,'Корр Факт'!$F$27:$F$169,$F50,'Корр Факт'!$G$27:$G$169,$G50)</f>
        <v>0</v>
      </c>
      <c r="AU50" s="614"/>
      <c r="AV50" s="614"/>
      <c r="AW50" s="614"/>
      <c r="AX50" s="614"/>
      <c r="AY50" s="121"/>
      <c r="AZ50" s="121"/>
      <c r="BA50" s="121"/>
      <c r="BB50" s="121"/>
      <c r="BC50" s="121"/>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3"/>
      <c r="BO50" s="73"/>
      <c r="BP50" s="73"/>
      <c r="BS50" s="1232" t="s">
        <v>1677</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1678</v>
      </c>
      <c r="D51" s="1257" t="s">
        <v>1679</v>
      </c>
      <c r="E51" s="794">
        <v>66</v>
      </c>
      <c r="F51" s="919" cm="1" t="str">
        <f t="array" ref="F51:F51">OFFSET(G51,-1,-1)</f>
        <v>0</v>
      </c>
      <c r="M51" s="1281"/>
      <c r="N51" s="1281" cm="1" t="str">
        <f t="array" ref="N51:N51">OFFSET(M51,-1,1)</f>
        <v>0</v>
      </c>
      <c r="O51" s="1283"/>
      <c r="P51" s="1283"/>
      <c r="Q51" s="1283"/>
      <c r="R51" s="1283"/>
      <c r="T51" s="805" cm="1" t="str">
        <f t="array" ref="T51:T51">T50</f>
        <v>false</v>
      </c>
      <c r="AB51" s="157" t="s">
        <v>656</v>
      </c>
      <c r="AC51" s="610" t="s">
        <v>1680</v>
      </c>
      <c r="AD51" s="485" t="s">
        <v>1019</v>
      </c>
      <c r="AE51" s="121"/>
      <c r="AF51" s="121"/>
      <c r="AG51" s="121"/>
      <c r="AH51" s="307">
        <f>AG51-AF51</f>
        <v>0</v>
      </c>
      <c r="AI51" s="121"/>
      <c r="AJ51" s="614"/>
      <c r="AK51" s="614"/>
      <c r="AL51" s="614"/>
      <c r="AM51" s="614"/>
      <c r="AN51" s="614"/>
      <c r="AO51" s="121"/>
      <c r="AP51" s="121"/>
      <c r="AQ51" s="121"/>
      <c r="AR51" s="121"/>
      <c r="AS51" s="121"/>
      <c r="AT51" s="614"/>
      <c r="AU51" s="614"/>
      <c r="AV51" s="614"/>
      <c r="AW51" s="614"/>
      <c r="AX51" s="614"/>
      <c r="AY51" s="121"/>
      <c r="AZ51" s="121"/>
      <c r="BA51" s="121"/>
      <c r="BB51" s="121"/>
      <c r="BC51" s="121"/>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3"/>
      <c r="BO51" s="73"/>
      <c r="BP51" s="73"/>
      <c r="BS51" s="1232" t="s">
        <v>1513</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1681</v>
      </c>
      <c r="D52" s="1257" t="s">
        <v>1682</v>
      </c>
      <c r="E52" s="794">
        <v>33.8</v>
      </c>
      <c r="F52" s="919" cm="1" t="str">
        <f t="array" ref="F52:F52">OFFSET(G52,-1,-1)</f>
        <v>0</v>
      </c>
      <c r="M52" s="1281"/>
      <c r="N52" s="1281" cm="1" t="str">
        <f t="array" ref="N52:N52">OFFSET(M52,-1,1)</f>
        <v>0</v>
      </c>
      <c r="O52" s="1283"/>
      <c r="P52" s="1283"/>
      <c r="Q52" s="1283"/>
      <c r="R52" s="1283"/>
      <c r="T52" s="805" cm="1" t="str">
        <f t="array" ref="T52:T52">T51</f>
        <v>false</v>
      </c>
      <c r="AB52" s="157" t="s">
        <v>664</v>
      </c>
      <c r="AC52" s="610" t="s">
        <v>1683</v>
      </c>
      <c r="AD52" s="485" t="s">
        <v>1019</v>
      </c>
      <c r="AE52" s="121"/>
      <c r="AF52" s="121"/>
      <c r="AG52" s="121"/>
      <c r="AH52" s="307">
        <f>AG52-AF52</f>
        <v>0</v>
      </c>
      <c r="AI52" s="121"/>
      <c r="AJ52" s="614"/>
      <c r="AK52" s="614"/>
      <c r="AL52" s="614"/>
      <c r="AM52" s="614"/>
      <c r="AN52" s="614"/>
      <c r="AO52" s="121"/>
      <c r="AP52" s="121"/>
      <c r="AQ52" s="121"/>
      <c r="AR52" s="121"/>
      <c r="AS52" s="121"/>
      <c r="AT52" s="614"/>
      <c r="AU52" s="614"/>
      <c r="AV52" s="614"/>
      <c r="AW52" s="614"/>
      <c r="AX52" s="614"/>
      <c r="AY52" s="121"/>
      <c r="AZ52" s="121"/>
      <c r="BA52" s="121"/>
      <c r="BB52" s="121"/>
      <c r="BC52" s="121"/>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3"/>
      <c r="BO52" s="73"/>
      <c r="BP52" s="73"/>
      <c r="BS52" s="1232" t="s">
        <v>1684</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1685</v>
      </c>
      <c r="D53" s="1257" t="s">
        <v>1686</v>
      </c>
      <c r="E53" s="794">
        <v>63.8</v>
      </c>
      <c r="F53" s="919" cm="1" t="str">
        <f t="array" ref="F53:F53">OFFSET(G53,-1,-1)</f>
        <v>0</v>
      </c>
      <c r="M53" s="1281"/>
      <c r="N53" s="1281" cm="1" t="str">
        <f t="array" ref="N53:N53">OFFSET(M53,-1,1)</f>
        <v>0</v>
      </c>
      <c r="O53" s="1282"/>
      <c r="P53" s="1282"/>
      <c r="Q53" s="1282"/>
      <c r="R53" s="1282"/>
      <c r="T53" s="805" cm="1" t="str">
        <f t="array" ref="T53:T53">T52</f>
        <v>false</v>
      </c>
      <c r="AB53" s="639" t="s">
        <v>688</v>
      </c>
      <c r="AC53" s="641" t="s">
        <v>1687</v>
      </c>
      <c r="AD53" s="496" t="s">
        <v>1019</v>
      </c>
      <c r="AE53" s="129"/>
      <c r="AF53" s="121"/>
      <c r="AG53" s="121"/>
      <c r="AH53" s="307">
        <f>AG53-AF53</f>
        <v>0</v>
      </c>
      <c r="AI53" s="121"/>
      <c r="AJ53" s="614"/>
      <c r="AK53" s="614"/>
      <c r="AL53" s="614"/>
      <c r="AM53" s="614"/>
      <c r="AN53" s="614"/>
      <c r="AO53" s="121"/>
      <c r="AP53" s="121"/>
      <c r="AQ53" s="121"/>
      <c r="AR53" s="121"/>
      <c r="AS53" s="121"/>
      <c r="AT53" s="614"/>
      <c r="AU53" s="614"/>
      <c r="AV53" s="614"/>
      <c r="AW53" s="614"/>
      <c r="AX53" s="614"/>
      <c r="AY53" s="121"/>
      <c r="AZ53" s="121"/>
      <c r="BA53" s="121"/>
      <c r="BB53" s="121"/>
      <c r="BC53" s="121"/>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1688</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1689</v>
      </c>
      <c r="D54" s="1257" t="s">
        <v>1690</v>
      </c>
      <c r="E54" s="794">
        <v>17.1</v>
      </c>
      <c r="F54" s="919" cm="1" t="str">
        <f t="array" ref="F54:F54">OFFSET(G54,-1,-1)</f>
        <v>0</v>
      </c>
      <c r="M54" s="1281"/>
      <c r="N54" s="1281" cm="1" t="str">
        <f t="array" ref="N54:N54">OFFSET(M54,-1,1)</f>
        <v>0</v>
      </c>
      <c r="O54" s="1282"/>
      <c r="P54" s="1282"/>
      <c r="Q54" s="1282"/>
      <c r="R54" s="1282"/>
      <c r="T54" s="805" cm="1" t="str">
        <f t="array" ref="T54:T54">T53</f>
        <v>false</v>
      </c>
      <c r="AB54" s="157" t="s">
        <v>696</v>
      </c>
      <c r="AC54" s="610" t="s">
        <v>1691</v>
      </c>
      <c r="AD54" s="651" t="s">
        <v>1019</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9"/>
      <c r="BO54" s="79"/>
      <c r="BP54" s="79"/>
      <c r="BS54" s="1232" t="s">
        <v>1268</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1689</v>
      </c>
      <c r="D56" s="1257" t="s">
        <v>1690</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233</v>
      </c>
      <c r="Y56" s="172">
        <v>0</v>
      </c>
      <c r="AA56" s="1120" t="s">
        <v>217</v>
      </c>
      <c r="AB56" s="639" t="str">
        <f>"11."&amp;Y56</f>
        <v>11.0</v>
      </c>
      <c r="AC56" s="131"/>
      <c r="AD56" s="651" t="s">
        <v>1019</v>
      </c>
      <c r="AE56" s="121"/>
      <c r="AF56" s="121"/>
      <c r="AG56" s="132"/>
      <c r="AH56" s="307">
        <f>AG56-AF56</f>
        <v>0</v>
      </c>
      <c r="AI56" s="133"/>
      <c r="AJ56" s="614"/>
      <c r="AK56" s="614"/>
      <c r="AL56" s="614"/>
      <c r="AM56" s="614"/>
      <c r="AN56" s="614"/>
      <c r="AO56" s="121"/>
      <c r="AP56" s="121"/>
      <c r="AQ56" s="121"/>
      <c r="AR56" s="121"/>
      <c r="AS56" s="121"/>
      <c r="AT56" s="614"/>
      <c r="AU56" s="614"/>
      <c r="AV56" s="614"/>
      <c r="AW56" s="614"/>
      <c r="AX56" s="614"/>
      <c r="AY56" s="121"/>
      <c r="AZ56" s="121"/>
      <c r="BA56" s="121"/>
      <c r="BB56" s="121"/>
      <c r="BC56" s="121"/>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9"/>
      <c r="BO56" s="79"/>
      <c r="BP56" s="79"/>
      <c r="BS56" s="1232" t="s">
        <v>1268</v>
      </c>
      <c r="BT56" s="1232" t="s">
        <v>1196</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1692</v>
      </c>
      <c r="AB57" s="299"/>
      <c r="AC57" s="732" t="s">
        <v>235</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1196</v>
      </c>
      <c r="BW57" s="1246"/>
      <c r="BX57" s="1268"/>
    </row>
    <row customHeight="1" ht="14.625" hidden="1">
      <c r="C58" s="1298" t="s">
        <v>1693</v>
      </c>
      <c r="D58" s="1257" t="s">
        <v>1694</v>
      </c>
      <c r="E58" s="794">
        <v>15</v>
      </c>
      <c r="F58" s="919" cm="1" t="str">
        <f t="array" ref="F58:F58">OFFSET(G58,-1,-1)</f>
        <v>0</v>
      </c>
      <c r="M58" s="1281"/>
      <c r="N58" s="1281" cm="1" t="str">
        <f t="array" ref="N58:N58">OFFSET(M58,-1,1)</f>
        <v>0</v>
      </c>
      <c r="O58" s="1282"/>
      <c r="P58" s="1282"/>
      <c r="Q58" s="1282"/>
      <c r="R58" s="1282"/>
      <c r="T58" s="805" cm="1" t="str">
        <f t="array" ref="T58:T58">T57</f>
        <v>false</v>
      </c>
      <c r="AB58" s="646" t="s">
        <v>1695</v>
      </c>
      <c r="AC58" s="647" t="s">
        <v>1696</v>
      </c>
      <c r="AD58" s="661" t="s">
        <v>1019</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0"/>
      <c r="BO58" s="80"/>
      <c r="BP58" s="80"/>
      <c r="BS58" s="1232" t="s">
        <v>1697</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1698</v>
      </c>
      <c r="D59" s="1257" t="s">
        <v>1699</v>
      </c>
      <c r="E59" s="794">
        <v>50</v>
      </c>
      <c r="F59" s="919" cm="1" t="str">
        <f t="array" ref="F59:F59">OFFSET(G59,-1,-1)</f>
        <v>0</v>
      </c>
      <c r="M59" s="1281"/>
      <c r="N59" s="1281" cm="1" t="str">
        <f t="array" ref="N59:N59">OFFSET(M59,-1,1)</f>
        <v>0</v>
      </c>
      <c r="O59" s="1282"/>
      <c r="P59" s="1282"/>
      <c r="Q59" s="1282"/>
      <c r="R59" s="1282"/>
      <c r="T59" s="805" cm="1" t="str">
        <f t="array" ref="T59:T59">T58</f>
        <v>false</v>
      </c>
      <c r="AB59" s="640" t="s">
        <v>1700</v>
      </c>
      <c r="AC59" s="1083" t="s">
        <v>1698</v>
      </c>
      <c r="AD59" s="651" t="s">
        <v>1019</v>
      </c>
      <c r="AE59" s="134"/>
      <c r="AF59" s="134"/>
      <c r="AG59" s="134"/>
      <c r="AH59" s="307">
        <f>AG59-AF59</f>
        <v>0</v>
      </c>
      <c r="AI59" s="134"/>
      <c r="AJ59" s="665"/>
      <c r="AK59" s="665"/>
      <c r="AL59" s="665"/>
      <c r="AM59" s="665"/>
      <c r="AN59" s="665"/>
      <c r="AO59" s="134"/>
      <c r="AP59" s="134"/>
      <c r="AQ59" s="134"/>
      <c r="AR59" s="134"/>
      <c r="AS59" s="134"/>
      <c r="AT59" s="665"/>
      <c r="AU59" s="665"/>
      <c r="AV59" s="665"/>
      <c r="AW59" s="665"/>
      <c r="AX59" s="665"/>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0"/>
      <c r="BO59" s="80"/>
      <c r="BP59" s="80"/>
      <c r="BS59" s="1232" t="s">
        <v>1701</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1702</v>
      </c>
      <c r="D60" s="1257" t="s">
        <v>1703</v>
      </c>
      <c r="E60" s="794">
        <v>15</v>
      </c>
      <c r="F60" s="919" cm="1" t="str">
        <f t="array" ref="F60:F60">OFFSET(G60,-1,-1)</f>
        <v>0</v>
      </c>
      <c r="G60" s="190" t="s">
        <v>1704</v>
      </c>
      <c r="M60" s="1281"/>
      <c r="N60" s="1281" cm="1" t="str">
        <f t="array" ref="N60:N60">OFFSET(M60,-1,1)</f>
        <v>0</v>
      </c>
      <c r="O60" s="1286"/>
      <c r="P60" s="1282"/>
      <c r="Q60" s="1282"/>
      <c r="R60" s="1286"/>
      <c r="T60" s="805" cm="1" t="str">
        <f t="array" ref="T60:T60">T59</f>
        <v>false</v>
      </c>
      <c r="AB60" s="646" t="s">
        <v>1705</v>
      </c>
      <c r="AC60" s="1070" t="s">
        <v>1706</v>
      </c>
      <c r="AD60" s="651" t="s">
        <v>1019</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0"/>
      <c r="BO60" s="80"/>
      <c r="BP60" s="80"/>
      <c r="BS60" s="1232" t="s">
        <v>1707</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1708</v>
      </c>
      <c r="D61" s="1257" t="s">
        <v>1709</v>
      </c>
      <c r="E61" s="794">
        <v>15</v>
      </c>
      <c r="F61" s="919" cm="1" t="str">
        <f t="array" ref="F61:F61">OFFSET(G61,-1,-1)</f>
        <v>0</v>
      </c>
      <c r="G61" s="190" t="s">
        <v>962</v>
      </c>
      <c r="L61" s="190" t="s">
        <v>1710</v>
      </c>
      <c r="M61" s="1281"/>
      <c r="N61" s="1281" cm="1" t="str">
        <f t="array" ref="N61:N61">OFFSET(M61,-1,1)</f>
        <v>0</v>
      </c>
      <c r="O61" s="1286"/>
      <c r="P61" s="1282"/>
      <c r="Q61" s="1282"/>
      <c r="R61" s="1286"/>
      <c r="T61" s="805">
        <f>AND(F61&gt;0,G27="двухставочный")</f>
        <v>0</v>
      </c>
      <c r="AB61" s="660" t="str">
        <f>AB60&amp;".1"</f>
        <v>14.1</v>
      </c>
      <c r="AC61" s="616" t="s">
        <v>1711</v>
      </c>
      <c r="AD61" s="309" t="s">
        <v>805</v>
      </c>
      <c r="AE61" s="121">
        <f>_xlfn.SUMIFS('Ресурсы (5.4)'!AE$26:AE$57,'Ресурсы (5.4)'!$F$26:$F$57,$F61,'Ресурсы (5.4)'!$AB$26:$AB$57,"6.1")</f>
        <v>0</v>
      </c>
      <c r="AF61" s="121">
        <f>_xlfn.SUMIFS('Ресурсы (5.4)'!AF$26:AF$57,'Ресурсы (5.4)'!$F$26:$F$57,$F61,'Ресурсы (5.4)'!$AB$26:$AB$57,"6.1")</f>
        <v>0</v>
      </c>
      <c r="AG61" s="121">
        <f>_xlfn.SUMIFS('Ресурсы (5.4)'!AG$26:AG$57,'Ресурсы (5.4)'!$F$26:$F$57,$F61,'Ресурсы (5.4)'!$AB$26:$AB$57,"6.1")</f>
        <v>0</v>
      </c>
      <c r="AH61" s="307">
        <f>AG61-AF61</f>
        <v>0</v>
      </c>
      <c r="AI61" s="121">
        <f>_xlfn.SUMIFS('Ресурсы (5.4)'!AI$26:AI$57,'Ресурсы (5.4)'!$F$26:$F$57,$F61,'Ресурсы (5.4)'!$AB$26:$AB$57,"6.1")</f>
        <v>0</v>
      </c>
      <c r="AJ61" s="614">
        <f>_xlfn.SUMIFS('Ресурсы (5.4)'!AJ$26:AJ$57,'Ресурсы (5.4)'!$F$26:$F$57,$F61,'Ресурсы (5.4)'!$AB$26:$AB$57,"6.1")</f>
        <v>0</v>
      </c>
      <c r="AK61" s="614">
        <f>_xlfn.SUMIFS('Ресурсы (5.4)'!AK$26:AK$57,'Ресурсы (5.4)'!$F$26:$F$57,$F61,'Ресурсы (5.4)'!$AB$26:$AB$57,"6.1")</f>
        <v>0</v>
      </c>
      <c r="AL61" s="614">
        <f>_xlfn.SUMIFS('Ресурсы (5.4)'!AL$26:AL$57,'Ресурсы (5.4)'!$F$26:$F$57,$F61,'Ресурсы (5.4)'!$AB$26:$AB$57,"6.1")</f>
        <v>0</v>
      </c>
      <c r="AM61" s="614">
        <f>_xlfn.SUMIFS('Ресурсы (5.4)'!AM$26:AM$57,'Ресурсы (5.4)'!$F$26:$F$57,$F61,'Ресурсы (5.4)'!$AB$26:$AB$57,"6.1")</f>
        <v>0</v>
      </c>
      <c r="AN61" s="614">
        <f>_xlfn.SUMIFS('Ресурсы (5.4)'!AN$26:AN$57,'Ресурсы (5.4)'!$F$26:$F$57,$F61,'Ресурсы (5.4)'!$AB$26:$AB$57,"6.1")</f>
        <v>0</v>
      </c>
      <c r="AO61" s="121">
        <f>_xlfn.SUMIFS('Ресурсы (5.4)'!AO$26:AO$57,'Ресурсы (5.4)'!$F$26:$F$57,$F61,'Ресурсы (5.4)'!$AB$26:$AB$57,"6.1")</f>
        <v>0</v>
      </c>
      <c r="AP61" s="121">
        <f>_xlfn.SUMIFS('Ресурсы (5.4)'!AP$26:AP$57,'Ресурсы (5.4)'!$F$26:$F$57,$F61,'Ресурсы (5.4)'!$AB$26:$AB$57,"6.1")</f>
        <v>0</v>
      </c>
      <c r="AQ61" s="121">
        <f>_xlfn.SUMIFS('Ресурсы (5.4)'!AQ$26:AQ$57,'Ресурсы (5.4)'!$F$26:$F$57,$F61,'Ресурсы (5.4)'!$AB$26:$AB$57,"6.1")</f>
        <v>0</v>
      </c>
      <c r="AR61" s="121">
        <f>_xlfn.SUMIFS('Ресурсы (5.4)'!AR$26:AR$57,'Ресурсы (5.4)'!$F$26:$F$57,$F61,'Ресурсы (5.4)'!$AB$26:$AB$57,"6.1")</f>
        <v>0</v>
      </c>
      <c r="AS61" s="121">
        <f>_xlfn.SUMIFS('Ресурсы (5.4)'!AS$26:AS$57,'Ресурсы (5.4)'!$F$26:$F$57,$F61,'Ресурсы (5.4)'!$AB$26:$AB$57,"6.1")</f>
        <v>0</v>
      </c>
      <c r="AT61" s="614">
        <f>_xlfn.SUMIFS('Ресурсы (5.4)'!AT$26:AT$57,'Ресурсы (5.4)'!$F$26:$F$57,$F61,'Ресурсы (5.4)'!$AB$26:$AB$57,"6.1")</f>
        <v>0</v>
      </c>
      <c r="AU61" s="614">
        <f>_xlfn.SUMIFS('Ресурсы (5.4)'!AU$26:AU$57,'Ресурсы (5.4)'!$F$26:$F$57,$F61,'Ресурсы (5.4)'!$AB$26:$AB$57,"6.1")</f>
        <v>0</v>
      </c>
      <c r="AV61" s="614">
        <f>_xlfn.SUMIFS('Ресурсы (5.4)'!AV$26:AV$57,'Ресурсы (5.4)'!$F$26:$F$57,$F61,'Ресурсы (5.4)'!$AB$26:$AB$57,"6.1")</f>
        <v>0</v>
      </c>
      <c r="AW61" s="614">
        <f>_xlfn.SUMIFS('Ресурсы (5.4)'!AW$26:AW$57,'Ресурсы (5.4)'!$F$26:$F$57,$F61,'Ресурсы (5.4)'!$AB$26:$AB$57,"6.1")</f>
        <v>0</v>
      </c>
      <c r="AX61" s="614">
        <f>_xlfn.SUMIFS('Ресурсы (5.4)'!AX$26:AX$57,'Ресурсы (5.4)'!$F$26:$F$57,$F61,'Ресурсы (5.4)'!$AB$26:$AB$57,"6.1")</f>
        <v>0</v>
      </c>
      <c r="AY61" s="121">
        <f>_xlfn.SUMIFS('Ресурсы (5.4)'!AY$26:AY$57,'Ресурсы (5.4)'!$F$26:$F$57,$F61,'Ресурсы (5.4)'!$AB$26:$AB$57,"6.1")</f>
        <v>0</v>
      </c>
      <c r="AZ61" s="121">
        <f>_xlfn.SUMIFS('Ресурсы (5.4)'!AZ$26:AZ$57,'Ресурсы (5.4)'!$F$26:$F$57,$F61,'Ресурсы (5.4)'!$AB$26:$AB$57,"6.1")</f>
        <v>0</v>
      </c>
      <c r="BA61" s="121">
        <f>_xlfn.SUMIFS('Ресурсы (5.4)'!BA$26:BA$57,'Ресурсы (5.4)'!$F$26:$F$57,$F61,'Ресурсы (5.4)'!$AB$26:$AB$57,"6.1")</f>
        <v>0</v>
      </c>
      <c r="BB61" s="121">
        <f>_xlfn.SUMIFS('Ресурсы (5.4)'!BB$26:BB$57,'Ресурсы (5.4)'!$F$26:$F$57,$F61,'Ресурсы (5.4)'!$AB$26:$AB$57,"6.1")</f>
        <v>0</v>
      </c>
      <c r="BC61" s="121">
        <f>_xlfn.SUMIFS('Ресурсы (5.4)'!BC$26:BC$57,'Ресурсы (5.4)'!$F$26:$F$57,$F61,'Ресурсы (5.4)'!$AB$26:$AB$57,"6.1")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3"/>
      <c r="BO61" s="73"/>
      <c r="BP61" s="73"/>
      <c r="BS61" s="1232" t="s">
        <v>1712</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1713</v>
      </c>
      <c r="D62" s="1257" t="s">
        <v>1714</v>
      </c>
      <c r="E62" s="794">
        <v>15</v>
      </c>
      <c r="F62" s="919" cm="1" t="str">
        <f t="array" ref="F62:F62">OFFSET(G62,-1,-1)</f>
        <v>0</v>
      </c>
      <c r="L62" s="190" t="s">
        <v>1710</v>
      </c>
      <c r="M62" s="1281"/>
      <c r="N62" s="1281" cm="1" t="str">
        <f t="array" ref="N62:N62">OFFSET(M62,-1,1)</f>
        <v>0</v>
      </c>
      <c r="O62" s="1286"/>
      <c r="P62" s="1282"/>
      <c r="Q62" s="1282"/>
      <c r="R62" s="1286"/>
      <c r="T62" s="805" cm="1" t="str">
        <f t="array" ref="T62:T62">T61</f>
        <v>false</v>
      </c>
      <c r="AB62" s="660" t="str">
        <f>AB60&amp;".2"</f>
        <v>14.2</v>
      </c>
      <c r="AC62" s="616" t="s">
        <v>1713</v>
      </c>
      <c r="AD62" s="309" t="s">
        <v>805</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3"/>
      <c r="BO62" s="73"/>
      <c r="BP62" s="73"/>
      <c r="BS62" s="1232" t="s">
        <v>1715</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1716</v>
      </c>
      <c r="D63" s="1257" t="s">
        <v>1717</v>
      </c>
      <c r="E63" s="794">
        <v>15</v>
      </c>
      <c r="F63" s="919" cm="1" t="str">
        <f t="array" ref="F63:F63">OFFSET(G63,-1,-1)</f>
        <v>0</v>
      </c>
      <c r="M63" s="1281"/>
      <c r="N63" s="1281" cm="1" t="str">
        <f t="array" ref="N63:N63">OFFSET(M63,-1,1)</f>
        <v>0</v>
      </c>
      <c r="O63" s="1282"/>
      <c r="P63" s="1282"/>
      <c r="Q63" s="1282"/>
      <c r="R63" s="1282"/>
      <c r="T63" s="805" cm="1" t="str">
        <f t="array" ref="T63:T63">T60</f>
        <v>false</v>
      </c>
      <c r="AB63" s="314" t="s">
        <v>1718</v>
      </c>
      <c r="AC63" s="310" t="s">
        <v>1719</v>
      </c>
      <c r="AD63" s="315" t="s">
        <v>591</v>
      </c>
      <c r="AE63" s="307">
        <f>IF($K27="передача тепловой энергии",_xlfn.SUMIFS('Баланс Тр'!AE$27:AE$50,'Баланс Тр'!$F$27:$F$50,$F63,'Баланс Тр'!$AB$27:$AB$50,"3"),_xlfn.SUMIFS('Баланс Пр'!AE$27:AE$233,'Баланс Пр'!$F$27:$F$233,$F63,'Баланс Пр'!$AB$27:$AB$233,"9.1"))</f>
        <v>0</v>
      </c>
      <c r="AF63" s="613"/>
      <c r="AG63" s="613"/>
      <c r="AH63" s="613"/>
      <c r="AI63" s="307">
        <f>IF($K27="передача тепловой энергии",_xlfn.SUMIFS('Баланс Тр'!AH$27:AH$50,'Баланс Тр'!$F$27:$F$50,$F63,'Баланс Тр'!$AB$27:$AB$50,"3"),_xlfn.SUMIFS('Баланс Пр'!AH$27:AH$233,'Баланс Пр'!$F$27:$F$233,$F63,'Баланс Пр'!$AB$27:$AB$233,"9.1"))</f>
        <v>0</v>
      </c>
      <c r="AJ63" s="307">
        <f>IF($K27="передача тепловой энергии",_xlfn.SUMIFS('Баланс Тр'!AI$27:AI$50,'Баланс Тр'!$F$27:$F$50,$F63,'Баланс Тр'!$AB$27:$AB$50,"3"),_xlfn.SUMIFS('Баланс Пр'!AI$27:AI$233,'Баланс Пр'!$F$27:$F$233,$F63,'Баланс Пр'!$AB$27:$AB$233,"9.1"))</f>
        <v>0</v>
      </c>
      <c r="AK63" s="307">
        <f>IF($K27="передача тепловой энергии",_xlfn.SUMIFS('Баланс Тр'!AJ$27:AJ$50,'Баланс Тр'!$F$27:$F$50,$F63,'Баланс Тр'!$AB$27:$AB$50,"3"),_xlfn.SUMIFS('Баланс Пр'!AJ$27:AJ$233,'Баланс Пр'!$F$27:$F$233,$F63,'Баланс Пр'!$AB$27:$AB$233,"9.1"))</f>
        <v>0</v>
      </c>
      <c r="AL63" s="307">
        <f>IF($K27="передача тепловой энергии",_xlfn.SUMIFS('Баланс Тр'!AK$27:AK$50,'Баланс Тр'!$F$27:$F$50,$F63,'Баланс Тр'!$AB$27:$AB$50,"3"),_xlfn.SUMIFS('Баланс Пр'!AK$27:AK$233,'Баланс Пр'!$F$27:$F$233,$F63,'Баланс Пр'!$AB$27:$AB$233,"9.1"))</f>
        <v>0</v>
      </c>
      <c r="AM63" s="307">
        <f>IF($K27="передача тепловой энергии",_xlfn.SUMIFS('Баланс Тр'!AL$27:AL$50,'Баланс Тр'!$F$27:$F$50,$F63,'Баланс Тр'!$AB$27:$AB$50,"3"),_xlfn.SUMIFS('Баланс Пр'!AL$27:AL$233,'Баланс Пр'!$F$27:$F$233,$F63,'Баланс Пр'!$AB$27:$AB$233,"9.1"))</f>
        <v>0</v>
      </c>
      <c r="AN63" s="307">
        <f>IF($K27="передача тепловой энергии",_xlfn.SUMIFS('Баланс Тр'!AM$27:AM$50,'Баланс Тр'!$F$27:$F$50,$F63,'Баланс Тр'!$AB$27:$AB$50,"3"),_xlfn.SUMIFS('Баланс Пр'!AM$27:AM$233,'Баланс Пр'!$F$27:$F$233,$F63,'Баланс Пр'!$AB$27:$AB$233,"9.1"))</f>
        <v>0</v>
      </c>
      <c r="AO63" s="307">
        <f>IF($K27="передача тепловой энергии",_xlfn.SUMIFS('Баланс Тр'!AN$27:AN$50,'Баланс Тр'!$F$27:$F$50,$F63,'Баланс Тр'!$AB$27:$AB$50,"3"),_xlfn.SUMIFS('Баланс Пр'!AN$27:AN$233,'Баланс Пр'!$F$27:$F$233,$F63,'Баланс Пр'!$AB$27:$AB$233,"9.1"))</f>
        <v>0</v>
      </c>
      <c r="AP63" s="307">
        <f>IF($K27="передача тепловой энергии",_xlfn.SUMIFS('Баланс Тр'!AO$27:AO$50,'Баланс Тр'!$F$27:$F$50,$F63,'Баланс Тр'!$AB$27:$AB$50,"3"),_xlfn.SUMIFS('Баланс Пр'!AO$27:AO$233,'Баланс Пр'!$F$27:$F$233,$F63,'Баланс Пр'!$AB$27:$AB$233,"9.1"))</f>
        <v>0</v>
      </c>
      <c r="AQ63" s="307">
        <f>IF($K27="передача тепловой энергии",_xlfn.SUMIFS('Баланс Тр'!AP$27:AP$50,'Баланс Тр'!$F$27:$F$50,$F63,'Баланс Тр'!$AB$27:$AB$50,"3"),_xlfn.SUMIFS('Баланс Пр'!AP$27:AP$233,'Баланс Пр'!$F$27:$F$233,$F63,'Баланс Пр'!$AB$27:$AB$233,"9.1"))</f>
        <v>0</v>
      </c>
      <c r="AR63" s="307">
        <f>IF($K27="передача тепловой энергии",_xlfn.SUMIFS('Баланс Тр'!AQ$27:AQ$50,'Баланс Тр'!$F$27:$F$50,$F63,'Баланс Тр'!$AB$27:$AB$50,"3"),_xlfn.SUMIFS('Баланс Пр'!AQ$27:AQ$233,'Баланс Пр'!$F$27:$F$233,$F63,'Баланс Пр'!$AB$27:$AB$233,"9.1"))</f>
        <v>0</v>
      </c>
      <c r="AS63" s="307">
        <f>IF($K27="передача тепловой энергии",_xlfn.SUMIFS('Баланс Тр'!AR$27:AR$50,'Баланс Тр'!$F$27:$F$50,$F63,'Баланс Тр'!$AB$27:$AB$50,"3"),_xlfn.SUMIFS('Баланс Пр'!AR$27:AR$233,'Баланс Пр'!$F$27:$F$233,$F63,'Баланс Пр'!$AB$27:$AB$233,"9.1"))</f>
        <v>0</v>
      </c>
      <c r="AT63" s="307">
        <f>IF($K27="передача тепловой энергии",_xlfn.SUMIFS('Баланс Тр'!AS$27:AS$50,'Баланс Тр'!$F$27:$F$50,$F63,'Баланс Тр'!$AB$27:$AB$50,"3"),_xlfn.SUMIFS('Баланс Пр'!AS$27:AS$233,'Баланс Пр'!$F$27:$F$233,$F63,'Баланс Пр'!$AB$27:$AB$233,"9.1"))</f>
        <v>0</v>
      </c>
      <c r="AU63" s="307">
        <f>IF($K27="передача тепловой энергии",_xlfn.SUMIFS('Баланс Тр'!AT$27:AT$50,'Баланс Тр'!$F$27:$F$50,$F63,'Баланс Тр'!$AB$27:$AB$50,"3"),_xlfn.SUMIFS('Баланс Пр'!AT$27:AT$233,'Баланс Пр'!$F$27:$F$233,$F63,'Баланс Пр'!$AB$27:$AB$233,"9.1"))</f>
        <v>0</v>
      </c>
      <c r="AV63" s="307">
        <f>IF($K27="передача тепловой энергии",_xlfn.SUMIFS('Баланс Тр'!AU$27:AU$50,'Баланс Тр'!$F$27:$F$50,$F63,'Баланс Тр'!$AB$27:$AB$50,"3"),_xlfn.SUMIFS('Баланс Пр'!AU$27:AU$233,'Баланс Пр'!$F$27:$F$233,$F63,'Баланс Пр'!$AB$27:$AB$233,"9.1"))</f>
        <v>0</v>
      </c>
      <c r="AW63" s="307">
        <f>IF($K27="передача тепловой энергии",_xlfn.SUMIFS('Баланс Тр'!AV$27:AV$50,'Баланс Тр'!$F$27:$F$50,$F63,'Баланс Тр'!$AB$27:$AB$50,"3"),_xlfn.SUMIFS('Баланс Пр'!AV$27:AV$233,'Баланс Пр'!$F$27:$F$233,$F63,'Баланс Пр'!$AB$27:$AB$233,"9.1"))</f>
        <v>0</v>
      </c>
      <c r="AX63" s="307">
        <f>IF($K27="передача тепловой энергии",_xlfn.SUMIFS('Баланс Тр'!AW$27:AW$50,'Баланс Тр'!$F$27:$F$50,$F63,'Баланс Тр'!$AB$27:$AB$50,"3"),_xlfn.SUMIFS('Баланс Пр'!AW$27:AW$233,'Баланс Пр'!$F$27:$F$233,$F63,'Баланс Пр'!$AB$27:$AB$233,"9.1"))</f>
        <v>0</v>
      </c>
      <c r="AY63" s="307">
        <f>IF($K27="передача тепловой энергии",_xlfn.SUMIFS('Баланс Тр'!AX$27:AX$50,'Баланс Тр'!$F$27:$F$50,$F63,'Баланс Тр'!$AB$27:$AB$50,"3"),_xlfn.SUMIFS('Баланс Пр'!AX$27:AX$233,'Баланс Пр'!$F$27:$F$233,$F63,'Баланс Пр'!$AB$27:$AB$233,"9.1"))</f>
        <v>0</v>
      </c>
      <c r="AZ63" s="307">
        <f>IF($K27="передача тепловой энергии",_xlfn.SUMIFS('Баланс Тр'!AY$27:AY$50,'Баланс Тр'!$F$27:$F$50,$F63,'Баланс Тр'!$AB$27:$AB$50,"3"),_xlfn.SUMIFS('Баланс Пр'!AY$27:AY$233,'Баланс Пр'!$F$27:$F$233,$F63,'Баланс Пр'!$AB$27:$AB$233,"9.1"))</f>
        <v>0</v>
      </c>
      <c r="BA63" s="307">
        <f>IF($K27="передача тепловой энергии",_xlfn.SUMIFS('Баланс Тр'!AZ$27:AZ$50,'Баланс Тр'!$F$27:$F$50,$F63,'Баланс Тр'!$AB$27:$AB$50,"3"),_xlfn.SUMIFS('Баланс Пр'!AZ$27:AZ$233,'Баланс Пр'!$F$27:$F$233,$F63,'Баланс Пр'!$AB$27:$AB$233,"9.1"))</f>
        <v>0</v>
      </c>
      <c r="BB63" s="307">
        <f>IF($K27="передача тепловой энергии",_xlfn.SUMIFS('Баланс Тр'!BA$27:BA$50,'Баланс Тр'!$F$27:$F$50,$F63,'Баланс Тр'!$AB$27:$AB$50,"3"),_xlfn.SUMIFS('Баланс Пр'!BA$27:BA$233,'Баланс Пр'!$F$27:$F$233,$F63,'Баланс Пр'!$AB$27:$AB$233,"9.1"))</f>
        <v>0</v>
      </c>
      <c r="BC63" s="307">
        <f>IF($K27="передача тепловой энергии",_xlfn.SUMIFS('Баланс Тр'!BB$27:BB$50,'Баланс Тр'!$F$27:$F$50,$F63,'Баланс Тр'!$AB$27:$AB$50,"3"),_xlfn.SUMIFS('Баланс Пр'!BB$27:BB$233,'Баланс Пр'!$F$27:$F$233,$F63,'Баланс Пр'!$AB$27:$AB$233,"9.1"))</f>
        <v>0</v>
      </c>
      <c r="BD63" s="663"/>
      <c r="BE63" s="663"/>
      <c r="BF63" s="663"/>
      <c r="BG63" s="663"/>
      <c r="BH63" s="663"/>
      <c r="BI63" s="663"/>
      <c r="BJ63" s="663"/>
      <c r="BK63" s="663"/>
      <c r="BL63" s="663"/>
      <c r="BM63" s="663"/>
      <c r="BN63" s="73"/>
      <c r="BO63" s="73"/>
      <c r="BP63" s="73"/>
      <c r="BS63" s="1232" t="s">
        <v>1720</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1721</v>
      </c>
      <c r="D64" s="1257" t="s">
        <v>1722</v>
      </c>
      <c r="E64" s="794">
        <v>15</v>
      </c>
      <c r="F64" s="919" cm="1" t="str">
        <f t="array" ref="F64:F64">OFFSET(G64,-1,-1)</f>
        <v>0</v>
      </c>
      <c r="G64" s="190" t="s">
        <v>1723</v>
      </c>
      <c r="M64" s="1281"/>
      <c r="N64" s="1281" cm="1" t="str">
        <f t="array" ref="N64:N64">OFFSET(M64,-1,1)</f>
        <v>0</v>
      </c>
      <c r="O64" s="1282" t="s">
        <v>1724</v>
      </c>
      <c r="P64" s="1282"/>
      <c r="Q64" s="1282"/>
      <c r="R64" s="1282"/>
      <c r="T64" s="805" cm="1" t="str">
        <f t="array" ref="T64:T64">T63</f>
        <v>false</v>
      </c>
      <c r="AB64" s="660" t="str">
        <f>AB63&amp;".1"</f>
        <v>15.1</v>
      </c>
      <c r="AC64" s="286" t="s">
        <v>1725</v>
      </c>
      <c r="AD64" s="309" t="s">
        <v>591</v>
      </c>
      <c r="AE64" s="121"/>
      <c r="AF64" s="613"/>
      <c r="AG64" s="613"/>
      <c r="AH64" s="613"/>
      <c r="AI64" s="121"/>
      <c r="AJ64" s="614"/>
      <c r="AK64" s="614"/>
      <c r="AL64" s="614"/>
      <c r="AM64" s="614"/>
      <c r="AN64" s="614"/>
      <c r="AO64" s="121"/>
      <c r="AP64" s="121"/>
      <c r="AQ64" s="121"/>
      <c r="AR64" s="121"/>
      <c r="AS64" s="121"/>
      <c r="AT64" s="614"/>
      <c r="AU64" s="614"/>
      <c r="AV64" s="614"/>
      <c r="AW64" s="614"/>
      <c r="AX64" s="614"/>
      <c r="AY64" s="121"/>
      <c r="AZ64" s="121"/>
      <c r="BA64" s="121"/>
      <c r="BB64" s="121"/>
      <c r="BC64" s="121"/>
      <c r="BD64" s="374"/>
      <c r="BE64" s="374"/>
      <c r="BF64" s="374"/>
      <c r="BG64" s="374"/>
      <c r="BH64" s="374"/>
      <c r="BI64" s="374"/>
      <c r="BJ64" s="374"/>
      <c r="BK64" s="374"/>
      <c r="BL64" s="374"/>
      <c r="BM64" s="374"/>
      <c r="BN64" s="73"/>
      <c r="BO64" s="73"/>
      <c r="BP64" s="73"/>
      <c r="BS64" s="1232" t="s">
        <v>1726</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1727</v>
      </c>
      <c r="D65" s="1257" t="s">
        <v>1728</v>
      </c>
      <c r="E65" s="794">
        <v>15</v>
      </c>
      <c r="F65" s="919" cm="1" t="str">
        <f t="array" ref="F65:F65">OFFSET(G65,-1,-1)</f>
        <v>0</v>
      </c>
      <c r="G65" s="190" t="s">
        <v>1729</v>
      </c>
      <c r="M65" s="1281"/>
      <c r="N65" s="1281" cm="1" t="str">
        <f t="array" ref="N65:N65">OFFSET(M65,-1,1)</f>
        <v>0</v>
      </c>
      <c r="O65" s="1282" t="s">
        <v>1724</v>
      </c>
      <c r="P65" s="1282"/>
      <c r="Q65" s="1282"/>
      <c r="R65" s="1282"/>
      <c r="T65" s="805" cm="1" t="str">
        <f t="array" ref="T65:T65">T64</f>
        <v>false</v>
      </c>
      <c r="AB65" s="660" t="str">
        <f>AB63&amp;".2"</f>
        <v>15.2</v>
      </c>
      <c r="AC65" s="286" t="s">
        <v>1730</v>
      </c>
      <c r="AD65" s="309" t="s">
        <v>895</v>
      </c>
      <c r="AE65" s="121"/>
      <c r="AF65" s="613"/>
      <c r="AG65" s="613"/>
      <c r="AH65" s="613"/>
      <c r="AI65" s="121">
        <f>MIN(AE67,AI69)</f>
        <v>0</v>
      </c>
      <c r="AJ65" s="614">
        <f>MIN(AI67,AJ69)</f>
        <v>0</v>
      </c>
      <c r="AK65" s="614">
        <f>MIN(AJ67,AK69)</f>
        <v>0</v>
      </c>
      <c r="AL65" s="614">
        <f>MIN(AK67,AL69)</f>
        <v>0</v>
      </c>
      <c r="AM65" s="614">
        <f>MIN(AL67,AM69)</f>
        <v>0</v>
      </c>
      <c r="AN65" s="614">
        <f>MIN(AM67,AN69)</f>
        <v>0</v>
      </c>
      <c r="AO65" s="121">
        <f>MIN(AN67,AO69)</f>
        <v>0</v>
      </c>
      <c r="AP65" s="121">
        <f>MIN(AO67,AP69)</f>
        <v>0</v>
      </c>
      <c r="AQ65" s="121">
        <f>MIN(AP67,AQ69)</f>
        <v>0</v>
      </c>
      <c r="AR65" s="121">
        <f>MIN(AQ67,AR69)</f>
        <v>0</v>
      </c>
      <c r="AS65" s="121">
        <f>MIN(AR67,AS69)</f>
        <v>0</v>
      </c>
      <c r="AT65" s="614">
        <f>MIN(AI67,AT69)</f>
        <v>0</v>
      </c>
      <c r="AU65" s="614">
        <f>MIN(AT67,AU69)</f>
        <v>0</v>
      </c>
      <c r="AV65" s="614">
        <f>MIN(AU67,AV69)</f>
        <v>0</v>
      </c>
      <c r="AW65" s="614">
        <f>MIN(AV67,AW69)</f>
        <v>0</v>
      </c>
      <c r="AX65" s="614">
        <f>MIN(AW67,AX69)</f>
        <v>0</v>
      </c>
      <c r="AY65" s="121">
        <f>MIN(AX67,AY69)</f>
        <v>0</v>
      </c>
      <c r="AZ65" s="121">
        <f>MIN(AY67,AZ69)</f>
        <v>0</v>
      </c>
      <c r="BA65" s="121">
        <f>MIN(AZ67,BA69)</f>
        <v>0</v>
      </c>
      <c r="BB65" s="121">
        <f>MIN(BA67,BB69)</f>
        <v>0</v>
      </c>
      <c r="BC65" s="121">
        <f>MIN(BB67,BC69)</f>
        <v>0</v>
      </c>
      <c r="BD65" s="374"/>
      <c r="BE65" s="374"/>
      <c r="BF65" s="374"/>
      <c r="BG65" s="374"/>
      <c r="BH65" s="374"/>
      <c r="BI65" s="374"/>
      <c r="BJ65" s="374"/>
      <c r="BK65" s="374"/>
      <c r="BL65" s="374"/>
      <c r="BM65" s="374"/>
      <c r="BN65" s="73"/>
      <c r="BO65" s="73"/>
      <c r="BP65" s="73"/>
      <c r="BS65" s="1232" t="s">
        <v>1731</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1721</v>
      </c>
      <c r="D66" s="1257" t="s">
        <v>1722</v>
      </c>
      <c r="E66" s="794">
        <v>15</v>
      </c>
      <c r="F66" s="919" cm="1" t="str">
        <f t="array" ref="F66:F66">OFFSET(G66,-1,-1)</f>
        <v>0</v>
      </c>
      <c r="G66" s="190" t="s">
        <v>1732</v>
      </c>
      <c r="M66" s="1281"/>
      <c r="N66" s="1281" cm="1" t="str">
        <f t="array" ref="N66:N66">OFFSET(M66,-1,1)</f>
        <v>0</v>
      </c>
      <c r="O66" s="1282" t="s">
        <v>1733</v>
      </c>
      <c r="P66" s="1282"/>
      <c r="Q66" s="1282"/>
      <c r="R66" s="1282"/>
      <c r="T66" s="805" cm="1" t="str">
        <f t="array" ref="T66:T66">T65</f>
        <v>false</v>
      </c>
      <c r="AB66" s="660" t="str">
        <f>AB63&amp;".3"</f>
        <v>15.3</v>
      </c>
      <c r="AC66" s="286" t="s">
        <v>1734</v>
      </c>
      <c r="AD66" s="309" t="s">
        <v>591</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3"/>
      <c r="BO66" s="73"/>
      <c r="BP66" s="73"/>
      <c r="BS66" s="1232" t="s">
        <v>1735</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1727</v>
      </c>
      <c r="D67" s="1257" t="s">
        <v>1728</v>
      </c>
      <c r="E67" s="794">
        <v>15</v>
      </c>
      <c r="F67" s="919" cm="1" t="str">
        <f t="array" ref="F67:F67">OFFSET(G67,-1,-1)</f>
        <v>0</v>
      </c>
      <c r="G67" s="190" t="s">
        <v>1736</v>
      </c>
      <c r="M67" s="1281"/>
      <c r="N67" s="1281" cm="1" t="str">
        <f t="array" ref="N67:N67">OFFSET(M67,-1,1)</f>
        <v>0</v>
      </c>
      <c r="O67" s="1282" t="s">
        <v>1733</v>
      </c>
      <c r="P67" s="1282"/>
      <c r="Q67" s="1282"/>
      <c r="R67" s="1282"/>
      <c r="T67" s="805" cm="1" t="str">
        <f t="array" ref="T67:T67">T66</f>
        <v>false</v>
      </c>
      <c r="AB67" s="660" t="str">
        <f>AB63&amp;".4"</f>
        <v>15.4</v>
      </c>
      <c r="AC67" s="286" t="s">
        <v>1737</v>
      </c>
      <c r="AD67" s="309" t="s">
        <v>895</v>
      </c>
      <c r="AE67" s="121"/>
      <c r="AF67" s="613"/>
      <c r="AG67" s="613"/>
      <c r="AH67" s="613"/>
      <c r="AI67" s="121"/>
      <c r="AJ67" s="614">
        <f>_xlfn.IFERROR((AJ60*1000-AJ64*AJ65)/AJ66,0)</f>
        <v>0</v>
      </c>
      <c r="AK67" s="614">
        <f>_xlfn.IFERROR((AK60*1000-AK64*AK65)/AK66,0)</f>
        <v>0</v>
      </c>
      <c r="AL67" s="614">
        <f>_xlfn.IFERROR((AL60*1000-AL64*AL65)/AL66,0)</f>
        <v>0</v>
      </c>
      <c r="AM67" s="614">
        <f>_xlfn.IFERROR((AM60*1000-AM64*AM65)/AM66,0)</f>
        <v>0</v>
      </c>
      <c r="AN67" s="614">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4">
        <f>_xlfn.IFERROR((AT60*1000-AT64*AT65)/AT66,0)</f>
        <v>0</v>
      </c>
      <c r="AU67" s="614">
        <f>_xlfn.IFERROR((AU60*1000-AU64*AU65)/AU66,0)</f>
        <v>0</v>
      </c>
      <c r="AV67" s="614">
        <f>_xlfn.IFERROR((AV60*1000-AV64*AV65)/AV66,0)</f>
        <v>0</v>
      </c>
      <c r="AW67" s="614">
        <f>_xlfn.IFERROR((AW60*1000-AW64*AW65)/AW66,0)</f>
        <v>0</v>
      </c>
      <c r="AX67" s="614">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4"/>
      <c r="BE67" s="374"/>
      <c r="BF67" s="374"/>
      <c r="BG67" s="374"/>
      <c r="BH67" s="374"/>
      <c r="BI67" s="374"/>
      <c r="BJ67" s="374"/>
      <c r="BK67" s="374"/>
      <c r="BL67" s="374"/>
      <c r="BM67" s="374"/>
      <c r="BN67" s="73"/>
      <c r="BO67" s="73"/>
      <c r="BP67" s="73"/>
      <c r="BS67" s="1232" t="s">
        <v>1738</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1739</v>
      </c>
      <c r="D68" s="1257" t="s">
        <v>1740</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1741</v>
      </c>
      <c r="AD68" s="309" t="s">
        <v>490</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3"/>
      <c r="BO68" s="73"/>
      <c r="BP68" s="73"/>
      <c r="BS68" s="1232" t="s">
        <v>1742</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1743</v>
      </c>
      <c r="D69" s="1257" t="s">
        <v>1744</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1745</v>
      </c>
      <c r="AD69" s="309" t="s">
        <v>895</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3"/>
      <c r="BO69" s="73"/>
      <c r="BP69" s="73"/>
      <c r="BS69" s="1232" t="s">
        <v>1746</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1747</v>
      </c>
      <c r="D70" s="1257" t="s">
        <v>1748</v>
      </c>
      <c r="E70" s="794">
        <v>15</v>
      </c>
      <c r="F70" s="919" cm="1" t="str">
        <f t="array" ref="F70:F70">OFFSET(G70,-1,-1)</f>
        <v>0</v>
      </c>
      <c r="L70" s="190" t="s">
        <v>1710</v>
      </c>
      <c r="M70" s="1281"/>
      <c r="N70" s="1281" cm="1" t="str">
        <f t="array" ref="N70:N70">OFFSET(M70,-1,1)</f>
        <v>0</v>
      </c>
      <c r="O70" s="1282"/>
      <c r="P70" s="1282"/>
      <c r="Q70" s="1282"/>
      <c r="R70" s="1282"/>
      <c r="T70" s="805" cm="1" t="str">
        <f t="array" ref="T70:T70">T61</f>
        <v>false</v>
      </c>
      <c r="AB70" s="314" t="s">
        <v>1749</v>
      </c>
      <c r="AC70" s="886" t="s">
        <v>1750</v>
      </c>
      <c r="AD70" s="664" t="s">
        <v>690</v>
      </c>
      <c r="AE70" s="307">
        <f>_xlfn.SUMIFS('Баланс Пр'!AE$27:AE$233,'Баланс Пр'!$F$27:$F$233,$F70,'Баланс Пр'!$AB$27:$AB$233,"10")</f>
        <v>0</v>
      </c>
      <c r="AF70" s="613"/>
      <c r="AG70" s="613"/>
      <c r="AH70" s="613"/>
      <c r="AI70" s="307">
        <f>_xlfn.SUMIFS('Баланс Пр'!AH$27:AH$233,'Баланс Пр'!$F$27:$F$233,$F70,'Баланс Пр'!$AB$27:$AB$233,"10")</f>
        <v>0</v>
      </c>
      <c r="AJ70" s="307">
        <f>_xlfn.SUMIFS('Баланс Пр'!AI$27:AI$233,'Баланс Пр'!$F$27:$F$233,$F70,'Баланс Пр'!$AB$27:$AB$233,"10")</f>
        <v>0</v>
      </c>
      <c r="AK70" s="307">
        <f>_xlfn.SUMIFS('Баланс Пр'!AJ$27:AJ$233,'Баланс Пр'!$F$27:$F$233,$F70,'Баланс Пр'!$AB$27:$AB$233,"10")</f>
        <v>0</v>
      </c>
      <c r="AL70" s="307">
        <f>_xlfn.SUMIFS('Баланс Пр'!AK$27:AK$233,'Баланс Пр'!$F$27:$F$233,$F70,'Баланс Пр'!$AB$27:$AB$233,"10")</f>
        <v>0</v>
      </c>
      <c r="AM70" s="307">
        <f>_xlfn.SUMIFS('Баланс Пр'!AL$27:AL$233,'Баланс Пр'!$F$27:$F$233,$F70,'Баланс Пр'!$AB$27:$AB$233,"10")</f>
        <v>0</v>
      </c>
      <c r="AN70" s="307">
        <f>_xlfn.SUMIFS('Баланс Пр'!AM$27:AM$233,'Баланс Пр'!$F$27:$F$233,$F70,'Баланс Пр'!$AB$27:$AB$233,"10")</f>
        <v>0</v>
      </c>
      <c r="AO70" s="307">
        <f>_xlfn.SUMIFS('Баланс Пр'!AN$27:AN$233,'Баланс Пр'!$F$27:$F$233,$F70,'Баланс Пр'!$AB$27:$AB$233,"10")</f>
        <v>0</v>
      </c>
      <c r="AP70" s="307">
        <f>_xlfn.SUMIFS('Баланс Пр'!AO$27:AO$233,'Баланс Пр'!$F$27:$F$233,$F70,'Баланс Пр'!$AB$27:$AB$233,"10")</f>
        <v>0</v>
      </c>
      <c r="AQ70" s="307">
        <f>_xlfn.SUMIFS('Баланс Пр'!AP$27:AP$233,'Баланс Пр'!$F$27:$F$233,$F70,'Баланс Пр'!$AB$27:$AB$233,"10")</f>
        <v>0</v>
      </c>
      <c r="AR70" s="307">
        <f>_xlfn.SUMIFS('Баланс Пр'!AQ$27:AQ$233,'Баланс Пр'!$F$27:$F$233,$F70,'Баланс Пр'!$AB$27:$AB$233,"10")</f>
        <v>0</v>
      </c>
      <c r="AS70" s="307">
        <f>_xlfn.SUMIFS('Баланс Пр'!AR$27:AR$233,'Баланс Пр'!$F$27:$F$233,$F70,'Баланс Пр'!$AB$27:$AB$233,"10")</f>
        <v>0</v>
      </c>
      <c r="AT70" s="307">
        <f>_xlfn.SUMIFS('Баланс Пр'!AS$27:AS$233,'Баланс Пр'!$F$27:$F$233,$F70,'Баланс Пр'!$AB$27:$AB$233,"10")</f>
        <v>0</v>
      </c>
      <c r="AU70" s="307">
        <f>_xlfn.SUMIFS('Баланс Пр'!AT$27:AT$233,'Баланс Пр'!$F$27:$F$233,$F70,'Баланс Пр'!$AB$27:$AB$233,"10")</f>
        <v>0</v>
      </c>
      <c r="AV70" s="307">
        <f>_xlfn.SUMIFS('Баланс Пр'!AU$27:AU$233,'Баланс Пр'!$F$27:$F$233,$F70,'Баланс Пр'!$AB$27:$AB$233,"10")</f>
        <v>0</v>
      </c>
      <c r="AW70" s="307">
        <f>_xlfn.SUMIFS('Баланс Пр'!AV$27:AV$233,'Баланс Пр'!$F$27:$F$233,$F70,'Баланс Пр'!$AB$27:$AB$233,"10")</f>
        <v>0</v>
      </c>
      <c r="AX70" s="307">
        <f>_xlfn.SUMIFS('Баланс Пр'!AW$27:AW$233,'Баланс Пр'!$F$27:$F$233,$F70,'Баланс Пр'!$AB$27:$AB$233,"10")</f>
        <v>0</v>
      </c>
      <c r="AY70" s="307">
        <f>_xlfn.SUMIFS('Баланс Пр'!AX$27:AX$233,'Баланс Пр'!$F$27:$F$233,$F70,'Баланс Пр'!$AB$27:$AB$233,"10")</f>
        <v>0</v>
      </c>
      <c r="AZ70" s="307">
        <f>_xlfn.SUMIFS('Баланс Пр'!AY$27:AY$233,'Баланс Пр'!$F$27:$F$233,$F70,'Баланс Пр'!$AB$27:$AB$233,"10")</f>
        <v>0</v>
      </c>
      <c r="BA70" s="307">
        <f>_xlfn.SUMIFS('Баланс Пр'!AZ$27:AZ$233,'Баланс Пр'!$F$27:$F$233,$F70,'Баланс Пр'!$AB$27:$AB$233,"10")</f>
        <v>0</v>
      </c>
      <c r="BB70" s="307">
        <f>_xlfn.SUMIFS('Баланс Пр'!BA$27:BA$233,'Баланс Пр'!$F$27:$F$233,$F70,'Баланс Пр'!$AB$27:$AB$233,"10")</f>
        <v>0</v>
      </c>
      <c r="BC70" s="307">
        <f>_xlfn.SUMIFS('Баланс Пр'!BB$27:BB$233,'Баланс Пр'!$F$27:$F$233,$F70,'Баланс Пр'!$AB$27:$AB$233,"10")</f>
        <v>0</v>
      </c>
      <c r="BD70" s="374"/>
      <c r="BE70" s="374"/>
      <c r="BF70" s="374"/>
      <c r="BG70" s="374"/>
      <c r="BH70" s="374"/>
      <c r="BI70" s="374"/>
      <c r="BJ70" s="374"/>
      <c r="BK70" s="374"/>
      <c r="BL70" s="374"/>
      <c r="BM70" s="374"/>
      <c r="BN70" s="73"/>
      <c r="BO70" s="73"/>
      <c r="BP70" s="73"/>
      <c r="BS70" s="1232" t="s">
        <v>691</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1747</v>
      </c>
      <c r="D71" s="1257" t="s">
        <v>1748</v>
      </c>
      <c r="E71" s="794">
        <v>15</v>
      </c>
      <c r="F71" s="919" cm="1" t="str">
        <f t="array" ref="F71:F71">OFFSET(G71,-1,-1)</f>
        <v>0</v>
      </c>
      <c r="G71" s="190" t="s">
        <v>1751</v>
      </c>
      <c r="L71" s="190" t="s">
        <v>1710</v>
      </c>
      <c r="M71" s="1281"/>
      <c r="N71" s="1281" cm="1" t="str">
        <f t="array" ref="N71:N71">OFFSET(M71,-1,1)</f>
        <v>0</v>
      </c>
      <c r="O71" s="1282" t="s">
        <v>1724</v>
      </c>
      <c r="P71" s="1282"/>
      <c r="Q71" s="1282"/>
      <c r="R71" s="1282"/>
      <c r="T71" s="805" cm="1" t="str">
        <f t="array" ref="T71:T71">T70</f>
        <v>false</v>
      </c>
      <c r="AB71" s="660" t="str">
        <f>AB70&amp;".1"</f>
        <v>16.1</v>
      </c>
      <c r="AC71" s="720" t="s">
        <v>1752</v>
      </c>
      <c r="AD71" s="620" t="s">
        <v>690</v>
      </c>
      <c r="AE71" s="121" cm="1" t="str">
        <f t="array" ref="AE71:AE71">AE70</f>
        <v>0</v>
      </c>
      <c r="AF71" s="613"/>
      <c r="AG71" s="613"/>
      <c r="AH71" s="613"/>
      <c r="AI71" s="121" cm="1" t="str">
        <f t="array" ref="AI71:AI71">AI70</f>
        <v>0</v>
      </c>
      <c r="AJ71" s="614" cm="1" t="str">
        <f t="array" ref="AJ71:AJ71">AJ70</f>
        <v>0</v>
      </c>
      <c r="AK71" s="614" cm="1" t="str">
        <f t="array" ref="AK71:AK71">AK70</f>
        <v>0</v>
      </c>
      <c r="AL71" s="614" cm="1" t="str">
        <f t="array" ref="AL71:AL71">AL70</f>
        <v>0</v>
      </c>
      <c r="AM71" s="614" cm="1" t="str">
        <f t="array" ref="AM71:AM71">AM70</f>
        <v>0</v>
      </c>
      <c r="AN71" s="614"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4" cm="1" t="str">
        <f t="array" ref="AT71:AT71">AT70</f>
        <v>0</v>
      </c>
      <c r="AU71" s="614" cm="1" t="str">
        <f t="array" ref="AU71:AU71">AU70</f>
        <v>0</v>
      </c>
      <c r="AV71" s="614" cm="1" t="str">
        <f t="array" ref="AV71:AV71">AV70</f>
        <v>0</v>
      </c>
      <c r="AW71" s="614" cm="1" t="str">
        <f t="array" ref="AW71:AW71">AW70</f>
        <v>0</v>
      </c>
      <c r="AX71" s="614"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4"/>
      <c r="BE71" s="374"/>
      <c r="BF71" s="374"/>
      <c r="BG71" s="374"/>
      <c r="BH71" s="374"/>
      <c r="BI71" s="374"/>
      <c r="BJ71" s="374"/>
      <c r="BK71" s="374"/>
      <c r="BL71" s="374"/>
      <c r="BM71" s="374"/>
      <c r="BN71" s="73"/>
      <c r="BO71" s="73"/>
      <c r="BP71" s="73"/>
      <c r="BS71" s="1232" t="s">
        <v>1753</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1747</v>
      </c>
      <c r="D72" s="1257" t="s">
        <v>1748</v>
      </c>
      <c r="E72" s="794">
        <v>15</v>
      </c>
      <c r="F72" s="919" cm="1" t="str">
        <f t="array" ref="F72:F72">OFFSET(G72,-1,-1)</f>
        <v>0</v>
      </c>
      <c r="G72" s="190" t="s">
        <v>1754</v>
      </c>
      <c r="L72" s="190" t="s">
        <v>1710</v>
      </c>
      <c r="M72" s="1281"/>
      <c r="N72" s="1281" cm="1" t="str">
        <f t="array" ref="N72:N72">OFFSET(M72,-1,1)</f>
        <v>0</v>
      </c>
      <c r="O72" s="1282" t="s">
        <v>1733</v>
      </c>
      <c r="P72" s="1282"/>
      <c r="Q72" s="1282"/>
      <c r="R72" s="1282"/>
      <c r="T72" s="805" cm="1" t="str">
        <f t="array" ref="T72:T72">T71</f>
        <v>false</v>
      </c>
      <c r="AB72" s="660" t="str">
        <f>AB70&amp;".2"</f>
        <v>16.2</v>
      </c>
      <c r="AC72" s="720" t="s">
        <v>1755</v>
      </c>
      <c r="AD72" s="620" t="s">
        <v>690</v>
      </c>
      <c r="AE72" s="121" cm="1" t="str">
        <f t="array" ref="AE72:AE72">AE70</f>
        <v>0</v>
      </c>
      <c r="AF72" s="613"/>
      <c r="AG72" s="613"/>
      <c r="AH72" s="613"/>
      <c r="AI72" s="121" cm="1" t="str">
        <f t="array" ref="AI72:AI72">AI70</f>
        <v>0</v>
      </c>
      <c r="AJ72" s="614" cm="1" t="str">
        <f t="array" ref="AJ72:AJ72">AJ70</f>
        <v>0</v>
      </c>
      <c r="AK72" s="614" cm="1" t="str">
        <f t="array" ref="AK72:AK72">AK70</f>
        <v>0</v>
      </c>
      <c r="AL72" s="614" cm="1" t="str">
        <f t="array" ref="AL72:AL72">AL70</f>
        <v>0</v>
      </c>
      <c r="AM72" s="614" cm="1" t="str">
        <f t="array" ref="AM72:AM72">AM70</f>
        <v>0</v>
      </c>
      <c r="AN72" s="614"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4" cm="1" t="str">
        <f t="array" ref="AT72:AT72">AT70</f>
        <v>0</v>
      </c>
      <c r="AU72" s="614" cm="1" t="str">
        <f t="array" ref="AU72:AU72">AU70</f>
        <v>0</v>
      </c>
      <c r="AV72" s="614" cm="1" t="str">
        <f t="array" ref="AV72:AV72">AV70</f>
        <v>0</v>
      </c>
      <c r="AW72" s="614" cm="1" t="str">
        <f t="array" ref="AW72:AW72">AW70</f>
        <v>0</v>
      </c>
      <c r="AX72" s="614"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4"/>
      <c r="BE72" s="374"/>
      <c r="BF72" s="374"/>
      <c r="BG72" s="374"/>
      <c r="BH72" s="374"/>
      <c r="BI72" s="374"/>
      <c r="BJ72" s="374"/>
      <c r="BK72" s="374"/>
      <c r="BL72" s="374"/>
      <c r="BM72" s="374"/>
      <c r="BN72" s="73"/>
      <c r="BO72" s="73"/>
      <c r="BP72" s="73"/>
      <c r="BS72" s="1232" t="s">
        <v>1756</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1710</v>
      </c>
      <c r="M73" s="1281"/>
      <c r="N73" s="1281" cm="1" t="str">
        <f t="array" ref="N73:N73">OFFSET(M73,-1,1)</f>
        <v>0</v>
      </c>
      <c r="O73" s="1282"/>
      <c r="P73" s="1282"/>
      <c r="Q73" s="1282"/>
      <c r="R73" s="1282"/>
      <c r="T73" s="805" cm="1" t="str">
        <f t="array" ref="T73:T73">T72</f>
        <v>false</v>
      </c>
      <c r="AB73" s="659" t="s">
        <v>1757</v>
      </c>
      <c r="AC73" s="618" t="s">
        <v>1758</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3"/>
      <c r="BO73" s="73"/>
      <c r="BP73" s="73"/>
      <c r="BS73" s="1232" t="s">
        <v>1759</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1760</v>
      </c>
      <c r="D74" s="1257" t="s">
        <v>1761</v>
      </c>
      <c r="E74" s="794">
        <v>15</v>
      </c>
      <c r="F74" s="919" cm="1" t="str">
        <f t="array" ref="F74:F74">OFFSET(G74,-1,-1)</f>
        <v>0</v>
      </c>
      <c r="G74" s="190" t="s">
        <v>1762</v>
      </c>
      <c r="L74" s="190" t="s">
        <v>1710</v>
      </c>
      <c r="M74" s="1281"/>
      <c r="N74" s="1281" cm="1" t="str">
        <f t="array" ref="N74:N74">OFFSET(M74,-1,1)</f>
        <v>0</v>
      </c>
      <c r="O74" s="1282" t="s">
        <v>1724</v>
      </c>
      <c r="P74" s="1282"/>
      <c r="Q74" s="1282"/>
      <c r="R74" s="1282"/>
      <c r="T74" s="805" cm="1" t="str">
        <f t="array" ref="T74:T74">T73</f>
        <v>false</v>
      </c>
      <c r="AB74" s="660" t="str">
        <f>AB73&amp;".1"</f>
        <v>17.1</v>
      </c>
      <c r="AC74" s="1346" t="s">
        <v>1763</v>
      </c>
      <c r="AD74" s="517" t="s">
        <v>895</v>
      </c>
      <c r="AE74" s="121"/>
      <c r="AF74" s="613"/>
      <c r="AG74" s="613"/>
      <c r="AH74" s="613"/>
      <c r="AI74" s="121">
        <f>MIN(AE75,_xlfn.IFERROR(AI61*1000/AI63,0))</f>
        <v>0</v>
      </c>
      <c r="AJ74" s="614">
        <f>MIN(AI75,_xlfn.IFERROR(AJ61*1000/AJ63,0))</f>
        <v>0</v>
      </c>
      <c r="AK74" s="614">
        <f>MIN(AJ75,_xlfn.IFERROR(AK61*1000/AK63,0))</f>
        <v>0</v>
      </c>
      <c r="AL74" s="614">
        <f>MIN(AK75,_xlfn.IFERROR(AL61*1000/AL63,0))</f>
        <v>0</v>
      </c>
      <c r="AM74" s="614">
        <f>MIN(AL75,_xlfn.IFERROR(AM61*1000/AM63,0))</f>
        <v>0</v>
      </c>
      <c r="AN74" s="614">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4">
        <f>MIN(AI75,_xlfn.IFERROR(AT61*1000/AT63,0))</f>
        <v>0</v>
      </c>
      <c r="AU74" s="614">
        <f>MIN(AT75,_xlfn.IFERROR(AU61*1000/AU63,0))</f>
        <v>0</v>
      </c>
      <c r="AV74" s="614">
        <f>MIN(AU75,_xlfn.IFERROR(AV61*1000/AV63,0))</f>
        <v>0</v>
      </c>
      <c r="AW74" s="614">
        <f>MIN(AV75,_xlfn.IFERROR(AW61*1000/AW63,0))</f>
        <v>0</v>
      </c>
      <c r="AX74" s="614">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4"/>
      <c r="BE74" s="374"/>
      <c r="BF74" s="374"/>
      <c r="BG74" s="374"/>
      <c r="BH74" s="374"/>
      <c r="BI74" s="374"/>
      <c r="BJ74" s="374"/>
      <c r="BK74" s="374"/>
      <c r="BL74" s="374"/>
      <c r="BM74" s="374"/>
      <c r="BN74" s="73"/>
      <c r="BO74" s="73"/>
      <c r="BP74" s="73"/>
      <c r="BS74" s="1232" t="s">
        <v>1764</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1760</v>
      </c>
      <c r="D75" s="1257" t="s">
        <v>1761</v>
      </c>
      <c r="E75" s="794">
        <v>15</v>
      </c>
      <c r="F75" s="919" cm="1" t="str">
        <f t="array" ref="F75:F75">OFFSET(G75,-1,-1)</f>
        <v>0</v>
      </c>
      <c r="G75" s="190" t="s">
        <v>1765</v>
      </c>
      <c r="L75" s="190" t="s">
        <v>1710</v>
      </c>
      <c r="M75" s="1281"/>
      <c r="N75" s="1281" cm="1" t="str">
        <f t="array" ref="N75:N75">OFFSET(M75,-1,1)</f>
        <v>0</v>
      </c>
      <c r="O75" s="1282" t="s">
        <v>1733</v>
      </c>
      <c r="P75" s="1282"/>
      <c r="Q75" s="1282"/>
      <c r="R75" s="1282"/>
      <c r="T75" s="805" cm="1" t="str">
        <f t="array" ref="T75:T75">T74</f>
        <v>false</v>
      </c>
      <c r="AB75" s="660" t="str">
        <f>AB73&amp;".2"</f>
        <v>17.2</v>
      </c>
      <c r="AC75" s="1346" t="s">
        <v>1766</v>
      </c>
      <c r="AD75" s="517" t="s">
        <v>895</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3"/>
      <c r="BO75" s="73"/>
      <c r="BP75" s="73"/>
      <c r="BS75" s="1232" t="s">
        <v>1767</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1768</v>
      </c>
      <c r="D76" s="1257" t="s">
        <v>1769</v>
      </c>
      <c r="E76" s="794">
        <v>15</v>
      </c>
      <c r="F76" s="919" cm="1" t="str">
        <f t="array" ref="F76:F76">OFFSET(G76,-1,-1)</f>
        <v>0</v>
      </c>
      <c r="L76" s="190" t="s">
        <v>1710</v>
      </c>
      <c r="M76" s="1281"/>
      <c r="N76" s="1281" cm="1" t="str">
        <f t="array" ref="N76:N76">OFFSET(M76,-1,1)</f>
        <v>0</v>
      </c>
      <c r="O76" s="1282"/>
      <c r="P76" s="1282" t="s">
        <v>1770</v>
      </c>
      <c r="Q76" s="1282"/>
      <c r="R76" s="1282"/>
      <c r="T76" s="805" cm="1" t="str">
        <f t="array" ref="T76:T76">T75</f>
        <v>false</v>
      </c>
      <c r="AB76" s="660" t="str">
        <f>AB73&amp;".3"</f>
        <v>17.3</v>
      </c>
      <c r="AC76" s="312" t="s">
        <v>1771</v>
      </c>
      <c r="AD76" s="517" t="s">
        <v>490</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3"/>
      <c r="BO76" s="73"/>
      <c r="BP76" s="73"/>
      <c r="BS76" s="1232" t="s">
        <v>1772</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1710</v>
      </c>
      <c r="M77" s="1281"/>
      <c r="N77" s="1281" cm="1" t="str">
        <f t="array" ref="N77:N77">OFFSET(M77,-1,1)</f>
        <v>0</v>
      </c>
      <c r="O77" s="1282"/>
      <c r="P77" s="1282"/>
      <c r="Q77" s="1282"/>
      <c r="R77" s="1282"/>
      <c r="T77" s="805" cm="1" t="str">
        <f t="array" ref="T77:T77">T76</f>
        <v>false</v>
      </c>
      <c r="AB77" s="283" t="s">
        <v>553</v>
      </c>
      <c r="AC77" s="618" t="s">
        <v>1773</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3"/>
      <c r="BO77" s="73"/>
      <c r="BP77" s="73"/>
      <c r="BS77" s="1232" t="s">
        <v>1774</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1775</v>
      </c>
      <c r="D78" s="1257" t="s">
        <v>1776</v>
      </c>
      <c r="E78" s="794">
        <v>33</v>
      </c>
      <c r="F78" s="919" cm="1" t="str">
        <f t="array" ref="F78:F78">OFFSET(G78,-1,-1)</f>
        <v>0</v>
      </c>
      <c r="G78" s="190" t="s">
        <v>1777</v>
      </c>
      <c r="L78" s="190" t="s">
        <v>1710</v>
      </c>
      <c r="M78" s="1281"/>
      <c r="N78" s="1281" cm="1" t="str">
        <f t="array" ref="N78:N78">OFFSET(M78,-1,1)</f>
        <v>0</v>
      </c>
      <c r="O78" s="1282" t="s">
        <v>1724</v>
      </c>
      <c r="P78" s="1282"/>
      <c r="Q78" s="1282"/>
      <c r="R78" s="1282"/>
      <c r="T78" s="805" cm="1" t="str">
        <f t="array" ref="T78:T78">T77</f>
        <v>false</v>
      </c>
      <c r="AB78" s="660" t="str">
        <f>AB77&amp;".1"</f>
        <v>18.1</v>
      </c>
      <c r="AC78" s="161" t="s">
        <v>1778</v>
      </c>
      <c r="AD78" s="517" t="s">
        <v>1779</v>
      </c>
      <c r="AE78" s="98"/>
      <c r="AF78" s="374"/>
      <c r="AG78" s="374"/>
      <c r="AH78" s="374"/>
      <c r="AI78" s="121">
        <f>MIN(AE79,_xlfn.IFERROR(AI62/AI70/12,0))</f>
        <v>0</v>
      </c>
      <c r="AJ78" s="614">
        <f>MIN(AI79,_xlfn.IFERROR(AJ62/AJ70/12,0))</f>
        <v>0</v>
      </c>
      <c r="AK78" s="614">
        <f>MIN(AJ79,_xlfn.IFERROR(AK62/AK70/12,0))</f>
        <v>0</v>
      </c>
      <c r="AL78" s="614">
        <f>MIN(AK79,_xlfn.IFERROR(AL62/AL70/12,0))</f>
        <v>0</v>
      </c>
      <c r="AM78" s="614">
        <f>MIN(AL79,_xlfn.IFERROR(AM62/AM70/12,0))</f>
        <v>0</v>
      </c>
      <c r="AN78" s="614">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4">
        <f>MIN(AI79,_xlfn.IFERROR(AT62/AT70/12,0))</f>
        <v>0</v>
      </c>
      <c r="AU78" s="614">
        <f>MIN(AT79,_xlfn.IFERROR(AU62/AU70/12,0))</f>
        <v>0</v>
      </c>
      <c r="AV78" s="614">
        <f>MIN(AU79,_xlfn.IFERROR(AV62/AV70/12,0))</f>
        <v>0</v>
      </c>
      <c r="AW78" s="614">
        <f>MIN(AV79,_xlfn.IFERROR(AW62/AW70/12,0))</f>
        <v>0</v>
      </c>
      <c r="AX78" s="614">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4"/>
      <c r="BE78" s="374"/>
      <c r="BF78" s="374"/>
      <c r="BG78" s="374"/>
      <c r="BH78" s="374"/>
      <c r="BI78" s="374"/>
      <c r="BJ78" s="374"/>
      <c r="BK78" s="374"/>
      <c r="BL78" s="374"/>
      <c r="BM78" s="374"/>
      <c r="BN78" s="73"/>
      <c r="BO78" s="73"/>
      <c r="BP78" s="73"/>
      <c r="BS78" s="1232" t="s">
        <v>1780</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1775</v>
      </c>
      <c r="D79" s="1257" t="s">
        <v>1776</v>
      </c>
      <c r="E79" s="794">
        <v>33</v>
      </c>
      <c r="F79" s="919" cm="1" t="str">
        <f t="array" ref="F79:F79">OFFSET(G79,-1,-1)</f>
        <v>0</v>
      </c>
      <c r="G79" s="190" t="s">
        <v>1781</v>
      </c>
      <c r="L79" s="190" t="s">
        <v>1710</v>
      </c>
      <c r="M79" s="1281"/>
      <c r="N79" s="1281" cm="1" t="str">
        <f t="array" ref="N79:N79">OFFSET(M79,-1,1)</f>
        <v>0</v>
      </c>
      <c r="O79" s="1282" t="s">
        <v>1733</v>
      </c>
      <c r="P79" s="1282"/>
      <c r="Q79" s="1282"/>
      <c r="R79" s="1282"/>
      <c r="T79" s="805" cm="1" t="str">
        <f t="array" ref="T79:T79">T78</f>
        <v>false</v>
      </c>
      <c r="AB79" s="660" t="str">
        <f>AB77&amp;".2"</f>
        <v>18.2</v>
      </c>
      <c r="AC79" s="161" t="s">
        <v>1782</v>
      </c>
      <c r="AD79" s="517" t="s">
        <v>1779</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3"/>
      <c r="BO79" s="73"/>
      <c r="BP79" s="73"/>
      <c r="BS79" s="1232" t="s">
        <v>1783</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1768</v>
      </c>
      <c r="D80" s="1257" t="s">
        <v>1769</v>
      </c>
      <c r="E80" s="794">
        <v>15</v>
      </c>
      <c r="F80" s="919" cm="1" t="str">
        <f t="array" ref="F80:F80">OFFSET(G80,-1,-1)</f>
        <v>0</v>
      </c>
      <c r="L80" s="190" t="s">
        <v>1710</v>
      </c>
      <c r="M80" s="1281"/>
      <c r="N80" s="1281" cm="1" t="str">
        <f t="array" ref="N80:N80">OFFSET(M80,-1,1)</f>
        <v>0</v>
      </c>
      <c r="O80" s="1282"/>
      <c r="P80" s="1282"/>
      <c r="Q80" s="1282" t="s">
        <v>1784</v>
      </c>
      <c r="R80" s="1282"/>
      <c r="T80" s="805" cm="1" t="str">
        <f t="array" ref="T80:T80">T79</f>
        <v>false</v>
      </c>
      <c r="AB80" s="660" t="str">
        <f>AB77&amp;".3"</f>
        <v>18.3</v>
      </c>
      <c r="AC80" s="312" t="s">
        <v>1785</v>
      </c>
      <c r="AD80" s="717" t="s">
        <v>490</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3"/>
      <c r="BO80" s="73"/>
      <c r="BP80" s="73"/>
      <c r="BS80" s="1232" t="s">
        <v>1786</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1787</v>
      </c>
      <c r="D81" s="1257" t="s">
        <v>1788</v>
      </c>
      <c r="E81" s="794">
        <v>30</v>
      </c>
      <c r="F81" s="919" cm="1" t="str">
        <f t="array" ref="F81:F81">OFFSET(G81,-1,-1)</f>
        <v>0</v>
      </c>
      <c r="M81" s="1281"/>
      <c r="N81" s="1281" cm="1" t="str">
        <f t="array" ref="N81:N81">OFFSET(M81,-1,1)</f>
        <v>0</v>
      </c>
      <c r="O81" s="1282"/>
      <c r="P81" s="1282"/>
      <c r="Q81" s="1282"/>
      <c r="R81" s="1282"/>
      <c r="T81" s="805" cm="1" t="str">
        <f t="array" ref="T81:T81">T60</f>
        <v>false</v>
      </c>
      <c r="AB81" s="285" t="s">
        <v>1789</v>
      </c>
      <c r="AC81" s="1059" t="s">
        <v>1790</v>
      </c>
      <c r="AD81" s="577" t="s">
        <v>1019</v>
      </c>
      <c r="AE81" s="98"/>
      <c r="AF81" s="98"/>
      <c r="AG81" s="135"/>
      <c r="AH81" s="307">
        <f>AG81-AF81</f>
        <v>0</v>
      </c>
      <c r="AI81" s="136"/>
      <c r="AJ81" s="1060"/>
      <c r="AK81" s="1060"/>
      <c r="AL81" s="1060"/>
      <c r="AM81" s="1060"/>
      <c r="AN81" s="1060"/>
      <c r="AO81" s="136"/>
      <c r="AP81" s="136"/>
      <c r="AQ81" s="136"/>
      <c r="AR81" s="136"/>
      <c r="AS81" s="136"/>
      <c r="AT81" s="1060"/>
      <c r="AU81" s="1060"/>
      <c r="AV81" s="1060"/>
      <c r="AW81" s="1060"/>
      <c r="AX81" s="1060"/>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3"/>
      <c r="BO81" s="73"/>
      <c r="BP81" s="73"/>
      <c r="BS81" s="1232" t="s">
        <v>1791</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30" customFormat="1" customHeight="1" ht="16.5">
      <c r="A82" s="217"/>
      <c r="B82" s="217"/>
      <c r="C82" s="1321"/>
      <c r="D82" s="1252"/>
      <c r="E82" s="794">
        <v>17.1</v>
      </c>
      <c r="F82" s="919" cm="1" t="str">
        <f t="array" ref="F82:F82">X82</f>
        <v>1</v>
      </c>
      <c r="G82" s="736" cm="1" t="str">
        <f t="array" ref="G82:G82">INDEX('Общие сведения'!$AK$169:$AK$218,MATCH($F82,'Общие сведения'!$Z$169:$Z$218,0))</f>
        <v>одноставочный</v>
      </c>
      <c r="H82" s="217"/>
      <c r="I82" s="210" cm="1" t="str">
        <f t="array" ref="I82:I82">INDEX('Общие сведения'!$AE$169:$AE$218,MATCH($F82,'Общие сведения'!$Z$169:$Z$218,0))</f>
        <v>Теплоснабжение</v>
      </c>
      <c r="J82" s="217"/>
      <c r="K82" s="210" cm="1" t="str">
        <f t="array" ref="K82:K82">INDEX('Общие сведения'!$AL$169:$AL$218,MATCH($F82,'Общие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W82" s="217"/>
      <c r="X82" s="172" t="s">
        <v>335</v>
      </c>
      <c r="Y82" s="217"/>
      <c r="Z82" s="217"/>
      <c r="AA82" s="217"/>
      <c r="AB82" s="327" cm="1" t="str">
        <f t="array" ref="AB82:AB82">IF(ISBLANK('Корр Факт'!$AB$75),"",'Корр Факт'!$AB$75)</f>
        <v>Тариф 1 (Теплоснабжение) - Тариф на тепловую энергию (мощность), поставляемую потребителям (Тариф: Носитель - горячая вода (Т); Носитель - горячая вода (Т))</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19" customFormat="1" customHeight="1" ht="16.5">
      <c r="A83" s="225"/>
      <c r="B83" s="924"/>
      <c r="C83" s="1298" t="s">
        <v>1586</v>
      </c>
      <c r="D83" s="1257" t="s">
        <v>1587</v>
      </c>
      <c r="E83" s="794">
        <v>17.1</v>
      </c>
      <c r="F83" s="919" cm="1" t="str">
        <f t="array" ref="F83:F83">OFFSET(G83,-1,-1)</f>
        <v>1</v>
      </c>
      <c r="G83" s="190" t="s">
        <v>1292</v>
      </c>
      <c r="H83" s="227"/>
      <c r="I83" s="227"/>
      <c r="J83" s="227"/>
      <c r="K83" s="227"/>
      <c r="L83" s="190"/>
      <c r="M83" s="1281"/>
      <c r="N83" s="1281" cm="1" t="str">
        <f t="array" ref="N83:N83">INDEX('Общие сведения'!$N$169:$N$218,MATCH($F83,'Общие сведения'!$Z$169:$Z$218,0)+1)</f>
        <v>ТЭ.42.26824396.0004</v>
      </c>
      <c r="O83" s="1282"/>
      <c r="P83" s="1282"/>
      <c r="Q83" s="1282"/>
      <c r="R83" s="1282"/>
      <c r="S83" s="1619"/>
      <c r="T83" s="805" cm="1" t="str">
        <f t="array" ref="T83:T83">T82</f>
        <v>true</v>
      </c>
      <c r="U83" s="1461"/>
      <c r="V83" s="1461"/>
      <c r="W83" s="1461"/>
      <c r="X83" s="1461"/>
      <c r="Y83" s="1461"/>
      <c r="Z83" s="1461"/>
      <c r="AA83" s="227"/>
      <c r="AB83" s="157" t="s">
        <v>335</v>
      </c>
      <c r="AC83" s="738" t="s">
        <v>1344</v>
      </c>
      <c r="AD83" s="485" t="s">
        <v>1019</v>
      </c>
      <c r="AE83" s="612">
        <f>_xlfn.SUMIFS('Операционные (5.1)'!AE$26:AE$99,'Операционные (5.1)'!$F$26:$F$99,$F83,'Операционные (5.1)'!$G$26:$G$99,$G83)</f>
        <v>0</v>
      </c>
      <c r="AF83" s="612">
        <f>_xlfn.SUMIFS('Операционные (5.1)'!AF$26:AF$99,'Операционные (5.1)'!$F$26:$F$99,$F83,'Операционные (5.1)'!$G$26:$G$99,$G83)</f>
        <v>0</v>
      </c>
      <c r="AG83" s="612">
        <f>_xlfn.SUMIFS('Операционные (5.1)'!AG$26:AG$99,'Операционные (5.1)'!$F$26:$F$99,$F83,'Операционные (5.1)'!$G$26:$G$99,$G83)</f>
        <v>0</v>
      </c>
      <c r="AH83" s="307">
        <f>AG83-AF83</f>
        <v>0</v>
      </c>
      <c r="AI83" s="612">
        <f>_xlfn.SUMIFS('Операционные (5.1)'!AI$26:AI$99,'Операционные (5.1)'!$F$26:$F$99,$F83,'Операционные (5.1)'!$G$26:$G$99,$G83)</f>
        <v>0</v>
      </c>
      <c r="AJ83" s="737">
        <f>_xlfn.SUMIFS(INDEX('Операционные (5.2)'!$AJ$26:$BC$54,,MATCH(AJ$8,'Операционные (5.2)'!$AJ$8:$BC$8,0)),'Операционные (5.2)'!$F$26:$F$54,$F83,'Операционные (5.2)'!$G$26:$G$54,$G83)</f>
        <v>2955.99992</v>
      </c>
      <c r="AK83" s="737">
        <f>_xlfn.SUMIFS(INDEX('Операционные (5.2)'!$AJ$26:$BC$54,,MATCH(AK$8,'Операционные (5.2)'!$AJ$8:$BC$8,0)),'Операционные (5.2)'!$F$26:$F$54,$F83,'Операционные (5.2)'!$G$26:$G$54,$G83)</f>
        <v>3043.497517632</v>
      </c>
      <c r="AL83" s="737">
        <f>_xlfn.SUMIFS(INDEX('Операционные (5.2)'!$AJ$26:$BC$54,,MATCH(AL$8,'Операционные (5.2)'!$AJ$8:$BC$8,0)),'Операционные (5.2)'!$F$26:$F$54,$F83,'Операционные (5.2)'!$G$26:$G$54,$G83)</f>
        <v>3133.58504415391</v>
      </c>
      <c r="AM83" s="737">
        <f>_xlfn.SUMIFS(INDEX('Операционные (5.2)'!$AJ$26:$BC$54,,MATCH(AM$8,'Операционные (5.2)'!$AJ$8:$BC$8,0)),'Операционные (5.2)'!$F$26:$F$54,$F83,'Операционные (5.2)'!$G$26:$G$54,$G83)</f>
        <v>3226.33916146087</v>
      </c>
      <c r="AN83" s="737">
        <f>_xlfn.SUMIFS(INDEX('Операционные (5.2)'!$AJ$26:$BC$54,,MATCH(AN$8,'Операционные (5.2)'!$AJ$8:$BC$8,0)),'Операционные (5.2)'!$F$26:$F$54,$F83,'Операционные (5.2)'!$G$26:$G$54,$G83)</f>
        <v>3321.83880064011</v>
      </c>
      <c r="AO83" s="737">
        <f>_xlfn.SUMIFS(INDEX('Операционные (5.2)'!$AJ$26:$BC$54,,MATCH(AO$8,'Операционные (5.2)'!$AJ$8:$BC$8,0)),'Операционные (5.2)'!$F$26:$F$54,$F83,'Операционные (5.2)'!$G$26:$G$54,$G83)</f>
        <v>3288.62041263371</v>
      </c>
      <c r="AP83" s="737">
        <f>_xlfn.SUMIFS(INDEX('Операционные (5.2)'!$AJ$26:$BC$54,,MATCH(AP$8,'Операционные (5.2)'!$AJ$8:$BC$8,0)),'Операционные (5.2)'!$F$26:$F$54,$F83,'Операционные (5.2)'!$G$26:$G$54,$G83)</f>
        <v>3255.73420850737</v>
      </c>
      <c r="AQ83" s="737">
        <f>_xlfn.SUMIFS(INDEX('Операционные (5.2)'!$AJ$26:$BC$54,,MATCH(AQ$8,'Операционные (5.2)'!$AJ$8:$BC$8,0)),'Операционные (5.2)'!$F$26:$F$54,$F83,'Операционные (5.2)'!$G$26:$G$54,$G83)</f>
        <v>3223.1768664223</v>
      </c>
      <c r="AR83" s="737">
        <f>_xlfn.SUMIFS(INDEX('Операционные (5.2)'!$AJ$26:$BC$54,,MATCH(AR$8,'Операционные (5.2)'!$AJ$8:$BC$8,0)),'Операционные (5.2)'!$F$26:$F$54,$F83,'Операционные (5.2)'!$G$26:$G$54,$G83)</f>
        <v>3190.94509775808</v>
      </c>
      <c r="AS83" s="737">
        <f>_xlfn.SUMIFS(INDEX('Операционные (5.2)'!$AJ$26:$BC$54,,MATCH(AS$8,'Операционные (5.2)'!$AJ$8:$BC$8,0)),'Операционные (5.2)'!$F$26:$F$54,$F83,'Операционные (5.2)'!$G$26:$G$54,$G83)</f>
        <v>3159.0356467805</v>
      </c>
      <c r="AT83" s="737">
        <f>_xlfn.SUMIFS(INDEX('Операционные (5.2)'!$AJ$26:$BC$54,,MATCH(AT$8,'Операционные (5.2)'!$AJ$8:$BC$8,0)),'Операционные (5.2)'!$F$26:$F$54,$F83,'Операционные (5.2)'!$G$26:$G$54,$G83)</f>
        <v>1635.99992</v>
      </c>
      <c r="AU83" s="737">
        <f>_xlfn.SUMIFS(INDEX('Операционные (5.2)'!$AJ$26:$BC$54,,MATCH(AU$8,'Операционные (5.2)'!$AJ$8:$BC$8,0)),'Операционные (5.2)'!$F$26:$F$54,$F83,'Операционные (5.2)'!$G$26:$G$54,$G83)</f>
        <v>1684.425517632</v>
      </c>
      <c r="AV83" s="737">
        <f>_xlfn.SUMIFS(INDEX('Операционные (5.2)'!$AJ$26:$BC$54,,MATCH(AV$8,'Операционные (5.2)'!$AJ$8:$BC$8,0)),'Операционные (5.2)'!$F$26:$F$54,$F83,'Операционные (5.2)'!$G$26:$G$54,$G83)</f>
        <v>1734.28451295391</v>
      </c>
      <c r="AW83" s="737">
        <f>_xlfn.SUMIFS(INDEX('Операционные (5.2)'!$AJ$26:$BC$54,,MATCH(AW$8,'Операционные (5.2)'!$AJ$8:$BC$8,0)),'Операционные (5.2)'!$F$26:$F$54,$F83,'Операционные (5.2)'!$G$26:$G$54,$G83)</f>
        <v>1785.61933453735</v>
      </c>
      <c r="AX83" s="737">
        <f>_xlfn.SUMIFS(INDEX('Операционные (5.2)'!$AJ$26:$BC$54,,MATCH(AX$8,'Операционные (5.2)'!$AJ$8:$BC$8,0)),'Операционные (5.2)'!$F$26:$F$54,$F83,'Операционные (5.2)'!$G$26:$G$54,$G83)</f>
        <v>1838.47366683966</v>
      </c>
      <c r="AY83" s="737">
        <f>_xlfn.SUMIFS(INDEX('Операционные (5.2)'!$AJ$26:$BC$54,,MATCH(AY$8,'Операционные (5.2)'!$AJ$8:$BC$8,0)),'Операционные (5.2)'!$F$26:$F$54,$F83,'Операционные (5.2)'!$G$26:$G$54,$G83)</f>
        <v>1820.08893017126</v>
      </c>
      <c r="AZ83" s="737">
        <f>_xlfn.SUMIFS(INDEX('Операционные (5.2)'!$AJ$26:$BC$54,,MATCH(AZ$8,'Операционные (5.2)'!$AJ$8:$BC$8,0)),'Операционные (5.2)'!$F$26:$F$54,$F83,'Операционные (5.2)'!$G$26:$G$54,$G83)</f>
        <v>1801.88804086955</v>
      </c>
      <c r="BA83" s="737">
        <f>_xlfn.SUMIFS(INDEX('Операционные (5.2)'!$AJ$26:$BC$54,,MATCH(BA$8,'Операционные (5.2)'!$AJ$8:$BC$8,0)),'Операционные (5.2)'!$F$26:$F$54,$F83,'Операционные (5.2)'!$G$26:$G$54,$G83)</f>
        <v>1783.86916046085</v>
      </c>
      <c r="BB83" s="737">
        <f>_xlfn.SUMIFS(INDEX('Операционные (5.2)'!$AJ$26:$BC$54,,MATCH(BB$8,'Операционные (5.2)'!$AJ$8:$BC$8,0)),'Операционные (5.2)'!$F$26:$F$54,$F83,'Операционные (5.2)'!$G$26:$G$54,$G83)</f>
        <v>1766.03046885624</v>
      </c>
      <c r="BC83" s="737">
        <f>_xlfn.SUMIFS(INDEX('Операционные (5.2)'!$AJ$26:$BC$54,,MATCH(BC$8,'Операционные (5.2)'!$AJ$8:$BC$8,0)),'Операционные (5.2)'!$F$26:$F$54,$F83,'Операционные (5.2)'!$G$26:$G$54,$G83)</f>
        <v>1748.37016416768</v>
      </c>
      <c r="BD83" s="307">
        <f>IF(AI83=0,0,(AT83-AI83)/AI83*100)</f>
        <v>0</v>
      </c>
      <c r="BE83" s="307">
        <f>IF(AT83=0,0,(AU83-AT83)/AT83*100)</f>
        <v>2.96</v>
      </c>
      <c r="BF83" s="307">
        <f>IF(AU83=0,0,(AV83-AU83)/AU83*100)</f>
        <v>2.96000000000017</v>
      </c>
      <c r="BG83" s="307">
        <f>IF(AV83=0,0,(AW83-AV83)/AV83*100)</f>
        <v>2.96000000000024</v>
      </c>
      <c r="BH83" s="307">
        <f>IF(AW83=0,0,(AX83-AW83)/AW83*100)</f>
        <v>2.96000000000025</v>
      </c>
      <c r="BI83" s="307">
        <f>IF(AX83=0,0,(AY83-AX83)/AX83*100)</f>
        <v>-1.0000000000002</v>
      </c>
      <c r="BJ83" s="307">
        <f>IF(AY83=0,0,(AZ83-AY83)/AY83*100)</f>
        <v>-0.99999999999986</v>
      </c>
      <c r="BK83" s="307">
        <f>IF(AZ83=0,0,(BA83-AZ83)/AZ83*100)</f>
        <v>-1.0000000000003</v>
      </c>
      <c r="BL83" s="307">
        <f>IF(BA83=0,0,(BB83-BA83)/BA83*100)</f>
        <v>-1.0000000000001</v>
      </c>
      <c r="BM83" s="307">
        <f>IF(BB83=0,0,(BC83-BB83)/BB83*100)</f>
        <v>-0.99999999999986</v>
      </c>
      <c r="BN83" s="1730"/>
      <c r="BO83" s="1730"/>
      <c r="BP83" s="1730"/>
      <c r="BQ83" s="227"/>
      <c r="BR83" s="227"/>
      <c r="BS83" s="1232" t="s">
        <v>1588</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M10746::ТЭ.42.26824396.0004::Неопределено::Неопределено::Неопределено::Неопределено::Неопределено</v>
      </c>
    </row>
    <row s="1619" customFormat="1" customHeight="1" ht="16.5">
      <c r="A84" s="225"/>
      <c r="B84" s="924"/>
      <c r="C84" s="1298" t="s">
        <v>1589</v>
      </c>
      <c r="D84" s="1257" t="s">
        <v>1590</v>
      </c>
      <c r="E84" s="794">
        <v>17.1</v>
      </c>
      <c r="F84" s="919" cm="1" t="str">
        <f t="array" ref="F84:F84">OFFSET(G84,-1,-1)</f>
        <v>1</v>
      </c>
      <c r="G84" s="190" t="s">
        <v>1350</v>
      </c>
      <c r="H84" s="227"/>
      <c r="I84" s="227"/>
      <c r="J84" s="227"/>
      <c r="K84" s="227"/>
      <c r="L84" s="190"/>
      <c r="M84" s="1281"/>
      <c r="N84" s="1281" cm="1" t="str">
        <f t="array" ref="N84:N84">OFFSET(M84,-1,1)</f>
        <v>ТЭ.42.26824396.0004</v>
      </c>
      <c r="O84" s="1282"/>
      <c r="P84" s="1282"/>
      <c r="Q84" s="1282"/>
      <c r="R84" s="1282"/>
      <c r="S84" s="1619"/>
      <c r="T84" s="805" cm="1" t="str">
        <f t="array" ref="T84:T84">T83</f>
        <v>true</v>
      </c>
      <c r="U84" s="1461"/>
      <c r="V84" s="1461"/>
      <c r="W84" s="1461"/>
      <c r="X84" s="1461"/>
      <c r="Y84" s="1461"/>
      <c r="Z84" s="1461"/>
      <c r="AA84" s="227"/>
      <c r="AB84" s="157" t="s">
        <v>343</v>
      </c>
      <c r="AC84" s="649" t="s">
        <v>1591</v>
      </c>
      <c r="AD84" s="485" t="s">
        <v>1019</v>
      </c>
      <c r="AE84" s="612">
        <f>_xlfn.SUMIFS('Неподконтрольные (5.3)'!AE$26:AE$87,'Неподконтрольные (5.3)'!$F$26:$F$87,$F84,'Неподконтрольные (5.3)'!$G$26:$G$87,$G84)</f>
        <v>0</v>
      </c>
      <c r="AF84" s="612">
        <f>_xlfn.SUMIFS('Неподконтрольные (5.3)'!AF$26:AF$87,'Неподконтрольные (5.3)'!$F$26:$F$87,$F84,'Неподконтрольные (5.3)'!$G$26:$G$87,$G84)</f>
        <v>0</v>
      </c>
      <c r="AG84" s="612">
        <f>_xlfn.SUMIFS('Неподконтрольные (5.3)'!AG$26:AG$87,'Неподконтрольные (5.3)'!$F$26:$F$87,$F84,'Неподконтрольные (5.3)'!$G$26:$G$87,$G84)</f>
        <v>0</v>
      </c>
      <c r="AH84" s="307">
        <f>AG84-AF84</f>
        <v>0</v>
      </c>
      <c r="AI84" s="612">
        <f>_xlfn.SUMIFS('Неподконтрольные (5.3)'!AI$26:AI$87,'Неподконтрольные (5.3)'!$F$26:$F$87,$F84,'Неподконтрольные (5.3)'!$G$26:$G$87,$G84)</f>
        <v>0</v>
      </c>
      <c r="AJ84" s="612">
        <f>_xlfn.SUMIFS('Неподконтрольные (5.3)'!AJ$26:AJ$87,'Неподконтрольные (5.3)'!$F$26:$F$87,$F84,'Неподконтрольные (5.3)'!$G$26:$G$87,$G84)</f>
        <v>5755</v>
      </c>
      <c r="AK84" s="612">
        <f>_xlfn.SUMIFS('Неподконтрольные (5.3)'!AK$26:AK$87,'Неподконтрольные (5.3)'!$F$26:$F$87,$F84,'Неподконтрольные (5.3)'!$G$26:$G$87,$G84)</f>
        <v>5380</v>
      </c>
      <c r="AL84" s="612">
        <f>_xlfn.SUMIFS('Неподконтрольные (5.3)'!AL$26:AL$87,'Неподконтрольные (5.3)'!$F$26:$F$87,$F84,'Неподконтрольные (5.3)'!$G$26:$G$87,$G84)</f>
        <v>5570</v>
      </c>
      <c r="AM84" s="612">
        <f>_xlfn.SUMIFS('Неподконтрольные (5.3)'!AM$26:AM$87,'Неподконтрольные (5.3)'!$F$26:$F$87,$F84,'Неподконтрольные (5.3)'!$G$26:$G$87,$G84)</f>
        <v>5725</v>
      </c>
      <c r="AN84" s="612">
        <f>_xlfn.SUMIFS('Неподконтрольные (5.3)'!AN$26:AN$87,'Неподконтрольные (5.3)'!$F$26:$F$87,$F84,'Неподконтрольные (5.3)'!$G$26:$G$87,$G84)</f>
        <v>5930</v>
      </c>
      <c r="AO84" s="612">
        <f>_xlfn.SUMIFS('Неподконтрольные (5.3)'!AO$26:AO$87,'Неподконтрольные (5.3)'!$F$26:$F$87,$F84,'Неподконтрольные (5.3)'!$G$26:$G$87,$G84)</f>
        <v>0</v>
      </c>
      <c r="AP84" s="612">
        <f>_xlfn.SUMIFS('Неподконтрольные (5.3)'!AP$26:AP$87,'Неподконтрольные (5.3)'!$F$26:$F$87,$F84,'Неподконтрольные (5.3)'!$G$26:$G$87,$G84)</f>
        <v>0</v>
      </c>
      <c r="AQ84" s="612">
        <f>_xlfn.SUMIFS('Неподконтрольные (5.3)'!AQ$26:AQ$87,'Неподконтрольные (5.3)'!$F$26:$F$87,$F84,'Неподконтрольные (5.3)'!$G$26:$G$87,$G84)</f>
        <v>0</v>
      </c>
      <c r="AR84" s="612">
        <f>_xlfn.SUMIFS('Неподконтрольные (5.3)'!AR$26:AR$87,'Неподконтрольные (5.3)'!$F$26:$F$87,$F84,'Неподконтрольные (5.3)'!$G$26:$G$87,$G84)</f>
        <v>0</v>
      </c>
      <c r="AS84" s="612">
        <f>_xlfn.SUMIFS('Неподконтрольные (5.3)'!AS$26:AS$87,'Неподконтрольные (5.3)'!$F$26:$F$87,$F84,'Неподконтрольные (5.3)'!$G$26:$G$87,$G84)</f>
        <v>0</v>
      </c>
      <c r="AT84" s="612">
        <f>_xlfn.SUMIFS('Неподконтрольные (5.3)'!AT$26:AT$87,'Неподконтрольные (5.3)'!$F$26:$F$87,$F84,'Неподконтрольные (5.3)'!$G$26:$G$87,$G84)</f>
        <v>4791.00116</v>
      </c>
      <c r="AU84" s="612">
        <f>_xlfn.SUMIFS('Неподконтрольные (5.3)'!AU$26:AU$87,'Неподконтрольные (5.3)'!$F$26:$F$87,$F84,'Неподконтрольные (5.3)'!$G$26:$G$87,$G84)</f>
        <v>4968</v>
      </c>
      <c r="AV84" s="612">
        <f>_xlfn.SUMIFS('Неподконтрольные (5.3)'!AV$26:AV$87,'Неподконтрольные (5.3)'!$F$26:$F$87,$F84,'Неподконтрольные (5.3)'!$G$26:$G$87,$G84)</f>
        <v>4836</v>
      </c>
      <c r="AW84" s="612">
        <f>_xlfn.SUMIFS('Неподконтрольные (5.3)'!AW$26:AW$87,'Неподконтрольные (5.3)'!$F$26:$F$87,$F84,'Неподконтрольные (5.3)'!$G$26:$G$87,$G84)</f>
        <v>5030.00000000001</v>
      </c>
      <c r="AX84" s="612">
        <f>_xlfn.SUMIFS('Неподконтрольные (5.3)'!AX$26:AX$87,'Неподконтрольные (5.3)'!$F$26:$F$87,$F84,'Неподконтрольные (5.3)'!$G$26:$G$87,$G84)</f>
        <v>5228.00000000002</v>
      </c>
      <c r="AY84" s="612">
        <f>_xlfn.SUMIFS('Неподконтрольные (5.3)'!AY$26:AY$87,'Неподконтрольные (5.3)'!$F$26:$F$87,$F84,'Неподконтрольные (5.3)'!$G$26:$G$87,$G84)</f>
        <v>0</v>
      </c>
      <c r="AZ84" s="612">
        <f>_xlfn.SUMIFS('Неподконтрольные (5.3)'!AZ$26:AZ$87,'Неподконтрольные (5.3)'!$F$26:$F$87,$F84,'Неподконтрольные (5.3)'!$G$26:$G$87,$G84)</f>
        <v>0</v>
      </c>
      <c r="BA84" s="612">
        <f>_xlfn.SUMIFS('Неподконтрольные (5.3)'!BA$26:BA$87,'Неподконтрольные (5.3)'!$F$26:$F$87,$F84,'Неподконтрольные (5.3)'!$G$26:$G$87,$G84)</f>
        <v>0</v>
      </c>
      <c r="BB84" s="612">
        <f>_xlfn.SUMIFS('Неподконтрольные (5.3)'!BB$26:BB$87,'Неподконтрольные (5.3)'!$F$26:$F$87,$F84,'Неподконтрольные (5.3)'!$G$26:$G$87,$G84)</f>
        <v>0</v>
      </c>
      <c r="BC84" s="612">
        <f>_xlfn.SUMIFS('Неподконтрольные (5.3)'!BC$26:BC$87,'Неподконтрольные (5.3)'!$F$26:$F$87,$F84,'Неподконтрольные (5.3)'!$G$26:$G$87,$G84)</f>
        <v>0</v>
      </c>
      <c r="BD84" s="307">
        <f>IF(AI84=0,0,(AT84-AI84)/AI84*100)</f>
        <v>0</v>
      </c>
      <c r="BE84" s="307">
        <f>IF(AT84=0,0,(AU84-AT84)/AT84*100)</f>
        <v>3.69440194416484</v>
      </c>
      <c r="BF84" s="307">
        <f>IF(AU84=0,0,(AV84-AU84)/AU84*100)</f>
        <v>-2.65700483091787</v>
      </c>
      <c r="BG84" s="307">
        <f>IF(AV84=0,0,(AW84-AV84)/AV84*100)</f>
        <v>4.01157981803164</v>
      </c>
      <c r="BH84" s="307">
        <f>IF(AW84=0,0,(AX84-AW84)/AW84*100)</f>
        <v>3.93638170974174</v>
      </c>
      <c r="BI84" s="307">
        <f>IF(AX84=0,0,(AY84-AX84)/AX84*100)</f>
        <v>-100</v>
      </c>
      <c r="BJ84" s="307">
        <f>IF(AY84=0,0,(AZ84-AY84)/AY84*100)</f>
        <v>0</v>
      </c>
      <c r="BK84" s="307">
        <f>IF(AZ84=0,0,(BA84-AZ84)/AZ84*100)</f>
        <v>0</v>
      </c>
      <c r="BL84" s="307">
        <f>IF(BA84=0,0,(BB84-BA84)/BA84*100)</f>
        <v>0</v>
      </c>
      <c r="BM84" s="307">
        <f>IF(BB84=0,0,(BC84-BB84)/BB84*100)</f>
        <v>0</v>
      </c>
      <c r="BN84" s="1730"/>
      <c r="BO84" s="1730"/>
      <c r="BP84" s="1730"/>
      <c r="BQ84" s="227"/>
      <c r="BR84" s="227"/>
      <c r="BS84" s="1232" t="s">
        <v>1592</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M10747::ТЭ.42.26824396.0004::Неопределено::Неопределено::Неопределено::Неопределено::Неопределено</v>
      </c>
    </row>
    <row s="1619" customFormat="1" customHeight="1" ht="25.5">
      <c r="A85" s="225"/>
      <c r="B85" s="924"/>
      <c r="C85" s="1298" t="s">
        <v>1593</v>
      </c>
      <c r="D85" s="1257" t="s">
        <v>1594</v>
      </c>
      <c r="E85" s="794">
        <v>26.3</v>
      </c>
      <c r="F85" s="919" cm="1" t="str">
        <f t="array" ref="F85:F85">OFFSET(G85,-1,-1)</f>
        <v>1</v>
      </c>
      <c r="G85" s="190" t="s">
        <v>1392</v>
      </c>
      <c r="H85" s="227"/>
      <c r="I85" s="227"/>
      <c r="J85" s="227"/>
      <c r="K85" s="227"/>
      <c r="L85" s="190"/>
      <c r="M85" s="1281"/>
      <c r="N85" s="1281" cm="1" t="str">
        <f t="array" ref="N85:N85">OFFSET(M85,-1,1)</f>
        <v>ТЭ.42.26824396.0004</v>
      </c>
      <c r="O85" s="1282"/>
      <c r="P85" s="1282"/>
      <c r="Q85" s="1282"/>
      <c r="R85" s="1282"/>
      <c r="S85" s="1619"/>
      <c r="T85" s="805" cm="1" t="str">
        <f t="array" ref="T85:T85">T84</f>
        <v>true</v>
      </c>
      <c r="U85" s="1461"/>
      <c r="V85" s="1461"/>
      <c r="W85" s="1461"/>
      <c r="X85" s="1461"/>
      <c r="Y85" s="1461"/>
      <c r="Z85" s="1461"/>
      <c r="AA85" s="227"/>
      <c r="AB85" s="157" t="s">
        <v>614</v>
      </c>
      <c r="AC85" s="649" t="s">
        <v>1595</v>
      </c>
      <c r="AD85" s="485" t="s">
        <v>1019</v>
      </c>
      <c r="AE85" s="612">
        <f>_xlfn.SUMIFS('Ресурсы (5.4)'!AE$26:AE$57,'Ресурсы (5.4)'!$F$26:$F$57,$F85,'Ресурсы (5.4)'!$G$26:$G$57,$G85)</f>
        <v>0</v>
      </c>
      <c r="AF85" s="612">
        <f>_xlfn.SUMIFS('Ресурсы (5.4)'!AF$26:AF$57,'Ресурсы (5.4)'!$F$26:$F$57,$F85,'Ресурсы (5.4)'!$G$26:$G$57,$G85)</f>
        <v>0</v>
      </c>
      <c r="AG85" s="612">
        <f>_xlfn.SUMIFS('Ресурсы (5.4)'!AG$26:AG$57,'Ресурсы (5.4)'!$F$26:$F$57,$F85,'Ресурсы (5.4)'!$G$26:$G$57,$G85)</f>
        <v>0</v>
      </c>
      <c r="AH85" s="307">
        <f>AG85-AF85</f>
        <v>0</v>
      </c>
      <c r="AI85" s="612">
        <f>_xlfn.SUMIFS('Ресурсы (5.4)'!AI$26:AI$57,'Ресурсы (5.4)'!$F$26:$F$57,$F85,'Ресурсы (5.4)'!$G$26:$G$57,$G85)</f>
        <v>0</v>
      </c>
      <c r="AJ85" s="612">
        <f>_xlfn.SUMIFS('Ресурсы (5.4)'!AJ$26:AJ$57,'Ресурсы (5.4)'!$F$26:$F$57,$F85,'Ресурсы (5.4)'!$G$26:$G$57,$G85)</f>
        <v>4941.9999935</v>
      </c>
      <c r="AK85" s="612">
        <f>_xlfn.SUMIFS('Ресурсы (5.4)'!AK$26:AK$57,'Ресурсы (5.4)'!$F$26:$F$57,$F85,'Ресурсы (5.4)'!$G$26:$G$57,$G85)</f>
        <v>5210.998484</v>
      </c>
      <c r="AL85" s="612">
        <f>_xlfn.SUMIFS('Ресурсы (5.4)'!AL$26:AL$57,'Ресурсы (5.4)'!$F$26:$F$57,$F85,'Ресурсы (5.4)'!$G$26:$G$57,$G85)</f>
        <v>5407.9996015</v>
      </c>
      <c r="AM85" s="612">
        <f>_xlfn.SUMIFS('Ресурсы (5.4)'!AM$26:AM$57,'Ресурсы (5.4)'!$F$26:$F$57,$F85,'Ресурсы (5.4)'!$G$26:$G$57,$G85)</f>
        <v>5613.9992955</v>
      </c>
      <c r="AN85" s="612">
        <f>_xlfn.SUMIFS('Ресурсы (5.4)'!AN$26:AN$57,'Ресурсы (5.4)'!$F$26:$F$57,$F85,'Ресурсы (5.4)'!$G$26:$G$57,$G85)</f>
        <v>5828.0043105</v>
      </c>
      <c r="AO85" s="612">
        <f>_xlfn.SUMIFS('Ресурсы (5.4)'!AO$26:AO$57,'Ресурсы (5.4)'!$F$26:$F$57,$F85,'Ресурсы (5.4)'!$G$26:$G$57,$G85)</f>
        <v>0</v>
      </c>
      <c r="AP85" s="612">
        <f>_xlfn.SUMIFS('Ресурсы (5.4)'!AP$26:AP$57,'Ресурсы (5.4)'!$F$26:$F$57,$F85,'Ресурсы (5.4)'!$G$26:$G$57,$G85)</f>
        <v>0</v>
      </c>
      <c r="AQ85" s="612">
        <f>_xlfn.SUMIFS('Ресурсы (5.4)'!AQ$26:AQ$57,'Ресурсы (5.4)'!$F$26:$F$57,$F85,'Ресурсы (5.4)'!$G$26:$G$57,$G85)</f>
        <v>0</v>
      </c>
      <c r="AR85" s="612">
        <f>_xlfn.SUMIFS('Ресурсы (5.4)'!AR$26:AR$57,'Ресурсы (5.4)'!$F$26:$F$57,$F85,'Ресурсы (5.4)'!$G$26:$G$57,$G85)</f>
        <v>0</v>
      </c>
      <c r="AS85" s="612">
        <f>_xlfn.SUMIFS('Ресурсы (5.4)'!AS$26:AS$57,'Ресурсы (5.4)'!$F$26:$F$57,$F85,'Ресурсы (5.4)'!$G$26:$G$57,$G85)</f>
        <v>0</v>
      </c>
      <c r="AT85" s="612">
        <f>_xlfn.SUMIFS('Ресурсы (5.4)'!AT$26:AT$57,'Ресурсы (5.4)'!$F$26:$F$57,$F85,'Ресурсы (5.4)'!$G$26:$G$57,$G85)</f>
        <v>4273.0440814893</v>
      </c>
      <c r="AU85" s="612">
        <f>_xlfn.SUMIFS('Ресурсы (5.4)'!AU$26:AU$57,'Ресурсы (5.4)'!$F$26:$F$57,$F85,'Ресурсы (5.4)'!$G$26:$G$57,$G85)</f>
        <v>4472.72384966631</v>
      </c>
      <c r="AV85" s="612">
        <f>_xlfn.SUMIFS('Ресурсы (5.4)'!AV$26:AV$57,'Ресурсы (5.4)'!$F$26:$F$57,$F85,'Ресурсы (5.4)'!$G$26:$G$57,$G85)</f>
        <v>4601.06399719003</v>
      </c>
      <c r="AW85" s="612">
        <f>_xlfn.SUMIFS('Ресурсы (5.4)'!AW$26:AW$57,'Ресурсы (5.4)'!$F$26:$F$57,$F85,'Ресурсы (5.4)'!$G$26:$G$57,$G85)</f>
        <v>4733.35876361082</v>
      </c>
      <c r="AX85" s="612">
        <f>_xlfn.SUMIFS('Ресурсы (5.4)'!AX$26:AX$57,'Ресурсы (5.4)'!$F$26:$F$57,$F85,'Ресурсы (5.4)'!$G$26:$G$57,$G85)</f>
        <v>4870.68514225501</v>
      </c>
      <c r="AY85" s="612">
        <f>_xlfn.SUMIFS('Ресурсы (5.4)'!AY$26:AY$57,'Ресурсы (5.4)'!$F$26:$F$57,$F85,'Ресурсы (5.4)'!$G$26:$G$57,$G85)</f>
        <v>0</v>
      </c>
      <c r="AZ85" s="612">
        <f>_xlfn.SUMIFS('Ресурсы (5.4)'!AZ$26:AZ$57,'Ресурсы (5.4)'!$F$26:$F$57,$F85,'Ресурсы (5.4)'!$G$26:$G$57,$G85)</f>
        <v>0</v>
      </c>
      <c r="BA85" s="612">
        <f>_xlfn.SUMIFS('Ресурсы (5.4)'!BA$26:BA$57,'Ресурсы (5.4)'!$F$26:$F$57,$F85,'Ресурсы (5.4)'!$G$26:$G$57,$G85)</f>
        <v>0</v>
      </c>
      <c r="BB85" s="612">
        <f>_xlfn.SUMIFS('Ресурсы (5.4)'!BB$26:BB$57,'Ресурсы (5.4)'!$F$26:$F$57,$F85,'Ресурсы (5.4)'!$G$26:$G$57,$G85)</f>
        <v>0</v>
      </c>
      <c r="BC85" s="612">
        <f>_xlfn.SUMIFS('Ресурсы (5.4)'!BC$26:BC$57,'Ресурсы (5.4)'!$F$26:$F$57,$F85,'Ресурсы (5.4)'!$G$26:$G$57,$G85)</f>
        <v>0</v>
      </c>
      <c r="BD85" s="307">
        <f>IF(AI85=0,0,(AT85-AI85)/AI85*100)</f>
        <v>0</v>
      </c>
      <c r="BE85" s="307">
        <f>IF(AT85=0,0,(AU85-AT85)/AT85*100)</f>
        <v>4.67300978808099</v>
      </c>
      <c r="BF85" s="307">
        <f>IF(AU85=0,0,(AV85-AU85)/AU85*100)</f>
        <v>2.86939573819865</v>
      </c>
      <c r="BG85" s="307">
        <f>IF(AV85=0,0,(AW85-AV85)/AV85*100)</f>
        <v>2.87530811354906</v>
      </c>
      <c r="BH85" s="307">
        <f>IF(AW85=0,0,(AX85-AW85)/AW85*100)</f>
        <v>2.90124593343589</v>
      </c>
      <c r="BI85" s="307">
        <f>IF(AX85=0,0,(AY85-AX85)/AX85*100)</f>
        <v>-100</v>
      </c>
      <c r="BJ85" s="307">
        <f>IF(AY85=0,0,(AZ85-AY85)/AY85*100)</f>
        <v>0</v>
      </c>
      <c r="BK85" s="307">
        <f>IF(AZ85=0,0,(BA85-AZ85)/AZ85*100)</f>
        <v>0</v>
      </c>
      <c r="BL85" s="307">
        <f>IF(BA85=0,0,(BB85-BA85)/BA85*100)</f>
        <v>0</v>
      </c>
      <c r="BM85" s="307">
        <f>IF(BB85=0,0,(BC85-BB85)/BB85*100)</f>
        <v>0</v>
      </c>
      <c r="BN85" s="1730"/>
      <c r="BO85" s="1730"/>
      <c r="BP85" s="1730"/>
      <c r="BQ85" s="227"/>
      <c r="BR85" s="227"/>
      <c r="BS85" s="1232" t="s">
        <v>1596</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M10748::ТЭ.42.26824396.0004::Неопределено::Неопределено::Неопределено::Неопределено::Неопределено</v>
      </c>
    </row>
    <row s="1619" customFormat="1" customHeight="1" ht="16.5" hidden="1">
      <c r="A86" s="225"/>
      <c r="B86" s="924"/>
      <c r="C86" s="1298" t="s">
        <v>1597</v>
      </c>
      <c r="D86" s="1257" t="s">
        <v>1598</v>
      </c>
      <c r="E86" s="794">
        <v>17.1</v>
      </c>
      <c r="F86" s="919" cm="1" t="str">
        <f t="array" ref="F86:F86">OFFSET(G86,-1,-1)</f>
        <v>1</v>
      </c>
      <c r="G86" s="227"/>
      <c r="H86" s="227"/>
      <c r="I86" s="227"/>
      <c r="J86" s="227"/>
      <c r="K86" s="227"/>
      <c r="L86" s="190"/>
      <c r="M86" s="1281"/>
      <c r="N86" s="1281" cm="1" t="str">
        <f t="array" ref="N86:N86">OFFSET(M86,-1,1)</f>
        <v>ТЭ.42.26824396.0004</v>
      </c>
      <c r="O86" s="1282"/>
      <c r="P86" s="1282"/>
      <c r="Q86" s="1282"/>
      <c r="R86" s="1282"/>
      <c r="S86" s="1619"/>
      <c r="T86" s="805">
        <f>AND(F86&gt;0,method_reg="Метод обеспечения доходности инвестированного капитала")</f>
        <v>0</v>
      </c>
      <c r="U86" s="1461"/>
      <c r="V86" s="1461"/>
      <c r="W86" s="1461"/>
      <c r="X86" s="1461"/>
      <c r="Y86" s="1461"/>
      <c r="Z86" s="1461"/>
      <c r="AA86" s="227"/>
      <c r="AB86" s="311" t="s">
        <v>624</v>
      </c>
      <c r="AC86" s="839" t="s">
        <v>1599</v>
      </c>
      <c r="AD86" s="309" t="s">
        <v>805</v>
      </c>
      <c r="AE86" s="121"/>
      <c r="AF86" s="121"/>
      <c r="AG86" s="121"/>
      <c r="AH86" s="307">
        <f>AG86-AF86</f>
        <v>0</v>
      </c>
      <c r="AI86" s="121"/>
      <c r="AJ86" s="614"/>
      <c r="AK86" s="614"/>
      <c r="AL86" s="614"/>
      <c r="AM86" s="614"/>
      <c r="AN86" s="614"/>
      <c r="AO86" s="121"/>
      <c r="AP86" s="121"/>
      <c r="AQ86" s="121"/>
      <c r="AR86" s="121"/>
      <c r="AS86" s="121"/>
      <c r="AT86" s="614"/>
      <c r="AU86" s="614"/>
      <c r="AV86" s="614"/>
      <c r="AW86" s="614"/>
      <c r="AX86" s="614"/>
      <c r="AY86" s="121"/>
      <c r="AZ86" s="121"/>
      <c r="BA86" s="121"/>
      <c r="BB86" s="121"/>
      <c r="BC86" s="121"/>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3"/>
      <c r="BO86" s="73"/>
      <c r="BP86" s="73"/>
      <c r="BQ86" s="227"/>
      <c r="BR86" s="227"/>
      <c r="BS86" s="1232" t="s">
        <v>1600</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M11483::ТЭ.42.26824396.0004::Неопределено::Неопределено::Неопределено::Неопределено::Неопределено</v>
      </c>
    </row>
    <row s="1619" customFormat="1" customHeight="1" ht="16.5" hidden="1">
      <c r="A87" s="225"/>
      <c r="B87" s="924"/>
      <c r="C87" s="1298" t="s">
        <v>1601</v>
      </c>
      <c r="D87" s="1257" t="s">
        <v>1602</v>
      </c>
      <c r="E87" s="794">
        <v>17.1</v>
      </c>
      <c r="F87" s="919" cm="1" t="str">
        <f t="array" ref="F87:F87">OFFSET(G87,-1,-1)</f>
        <v>1</v>
      </c>
      <c r="G87" s="227"/>
      <c r="H87" s="227"/>
      <c r="I87" s="227"/>
      <c r="J87" s="227"/>
      <c r="K87" s="227"/>
      <c r="L87" s="190"/>
      <c r="M87" s="1281"/>
      <c r="N87" s="1281" cm="1" t="str">
        <f t="array" ref="N87:N87">OFFSET(M87,-1,1)</f>
        <v>ТЭ.42.26824396.0004</v>
      </c>
      <c r="O87" s="1282"/>
      <c r="P87" s="1282"/>
      <c r="Q87" s="1282"/>
      <c r="R87" s="1282"/>
      <c r="S87" s="1619"/>
      <c r="T87" s="805">
        <f>AND(F87&gt;0,method_reg="Метод обеспечения доходности инвестированного капитала")</f>
        <v>0</v>
      </c>
      <c r="U87" s="1461"/>
      <c r="V87" s="1461"/>
      <c r="W87" s="1461"/>
      <c r="X87" s="1461"/>
      <c r="Y87" s="1461"/>
      <c r="Z87" s="1461"/>
      <c r="AA87" s="227"/>
      <c r="AB87" s="311" t="s">
        <v>746</v>
      </c>
      <c r="AC87" s="312" t="s">
        <v>1603</v>
      </c>
      <c r="AD87" s="309" t="s">
        <v>805</v>
      </c>
      <c r="AE87" s="121"/>
      <c r="AF87" s="121"/>
      <c r="AG87" s="121"/>
      <c r="AH87" s="307">
        <f>AG87-AF87</f>
        <v>0</v>
      </c>
      <c r="AI87" s="121"/>
      <c r="AJ87" s="614"/>
      <c r="AK87" s="614"/>
      <c r="AL87" s="614"/>
      <c r="AM87" s="614"/>
      <c r="AN87" s="614"/>
      <c r="AO87" s="121"/>
      <c r="AP87" s="121"/>
      <c r="AQ87" s="121"/>
      <c r="AR87" s="121"/>
      <c r="AS87" s="121"/>
      <c r="AT87" s="614"/>
      <c r="AU87" s="614"/>
      <c r="AV87" s="614"/>
      <c r="AW87" s="614"/>
      <c r="AX87" s="614"/>
      <c r="AY87" s="121"/>
      <c r="AZ87" s="121"/>
      <c r="BA87" s="121"/>
      <c r="BB87" s="121"/>
      <c r="BC87" s="121"/>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3"/>
      <c r="BO87" s="73"/>
      <c r="BP87" s="73"/>
      <c r="BQ87" s="227"/>
      <c r="BR87" s="227"/>
      <c r="BS87" s="1232" t="s">
        <v>1604</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M11484::ТЭ.42.26824396.0004::Неопределено::Неопределено::Неопределено::Неопределено::Неопределено</v>
      </c>
    </row>
    <row s="1619" customFormat="1" customHeight="1" ht="16.5" hidden="1">
      <c r="A88" s="225"/>
      <c r="B88" s="924"/>
      <c r="C88" s="1298" t="s">
        <v>1605</v>
      </c>
      <c r="D88" s="1257" t="s">
        <v>1606</v>
      </c>
      <c r="E88" s="794">
        <v>17.1</v>
      </c>
      <c r="F88" s="919" cm="1" t="str">
        <f t="array" ref="F88:F88">OFFSET(G88,-1,-1)</f>
        <v>1</v>
      </c>
      <c r="G88" s="227"/>
      <c r="H88" s="227"/>
      <c r="I88" s="227"/>
      <c r="J88" s="227"/>
      <c r="K88" s="227"/>
      <c r="L88" s="190"/>
      <c r="M88" s="1281"/>
      <c r="N88" s="1281" cm="1" t="str">
        <f t="array" ref="N88:N88">OFFSET(M88,-1,1)</f>
        <v>ТЭ.42.26824396.0004</v>
      </c>
      <c r="O88" s="1282"/>
      <c r="P88" s="1282"/>
      <c r="Q88" s="1282"/>
      <c r="R88" s="1282"/>
      <c r="S88" s="1619"/>
      <c r="T88" s="805">
        <f>AND(F88&gt;0,method_reg="Метод обеспечения доходности инвестированного капитала")</f>
        <v>0</v>
      </c>
      <c r="U88" s="1461"/>
      <c r="V88" s="1461"/>
      <c r="W88" s="1461"/>
      <c r="X88" s="1461"/>
      <c r="Y88" s="1461"/>
      <c r="Z88" s="1461"/>
      <c r="AA88" s="227"/>
      <c r="AB88" s="311" t="s">
        <v>1607</v>
      </c>
      <c r="AC88" s="312" t="s">
        <v>1608</v>
      </c>
      <c r="AD88" s="309" t="s">
        <v>1609</v>
      </c>
      <c r="AE88" s="121"/>
      <c r="AF88" s="121"/>
      <c r="AG88" s="121"/>
      <c r="AH88" s="307">
        <f>AG88-AF88</f>
        <v>0</v>
      </c>
      <c r="AI88" s="121"/>
      <c r="AJ88" s="614"/>
      <c r="AK88" s="614"/>
      <c r="AL88" s="614"/>
      <c r="AM88" s="614"/>
      <c r="AN88" s="614"/>
      <c r="AO88" s="121"/>
      <c r="AP88" s="121"/>
      <c r="AQ88" s="121"/>
      <c r="AR88" s="121"/>
      <c r="AS88" s="121"/>
      <c r="AT88" s="614"/>
      <c r="AU88" s="614"/>
      <c r="AV88" s="614"/>
      <c r="AW88" s="614"/>
      <c r="AX88" s="614"/>
      <c r="AY88" s="121"/>
      <c r="AZ88" s="121"/>
      <c r="BA88" s="121"/>
      <c r="BB88" s="121"/>
      <c r="BC88" s="121"/>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3"/>
      <c r="BO88" s="73"/>
      <c r="BP88" s="73"/>
      <c r="BQ88" s="227"/>
      <c r="BR88" s="227"/>
      <c r="BS88" s="1232" t="s">
        <v>1610</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M11485::ТЭ.42.26824396.0004::Неопределено::Неопределено::Неопределено::Неопределено::Неопределено</v>
      </c>
    </row>
    <row s="1619" customFormat="1" customHeight="1" ht="16.5" hidden="1">
      <c r="A89" s="225"/>
      <c r="B89" s="924"/>
      <c r="C89" s="1298" t="s">
        <v>1611</v>
      </c>
      <c r="D89" s="1257" t="s">
        <v>1612</v>
      </c>
      <c r="E89" s="794">
        <v>17.1</v>
      </c>
      <c r="F89" s="919" cm="1" t="str">
        <f t="array" ref="F89:F89">OFFSET(G89,-1,-1)</f>
        <v>1</v>
      </c>
      <c r="G89" s="227"/>
      <c r="H89" s="227"/>
      <c r="I89" s="227"/>
      <c r="J89" s="227"/>
      <c r="K89" s="227"/>
      <c r="L89" s="190"/>
      <c r="M89" s="1281"/>
      <c r="N89" s="1281" cm="1" t="str">
        <f t="array" ref="N89:N89">OFFSET(M89,-1,1)</f>
        <v>ТЭ.42.26824396.0004</v>
      </c>
      <c r="O89" s="1282"/>
      <c r="P89" s="1282"/>
      <c r="Q89" s="1282"/>
      <c r="R89" s="1282"/>
      <c r="S89" s="1619"/>
      <c r="T89" s="805">
        <f>AND(F89&gt;0,method_reg="Метод обеспечения доходности инвестированного капитала")</f>
        <v>0</v>
      </c>
      <c r="U89" s="1461"/>
      <c r="V89" s="1461"/>
      <c r="W89" s="1461"/>
      <c r="X89" s="1461"/>
      <c r="Y89" s="1461"/>
      <c r="Z89" s="1461"/>
      <c r="AA89" s="227"/>
      <c r="AB89" s="311" t="s">
        <v>629</v>
      </c>
      <c r="AC89" s="839" t="s">
        <v>1613</v>
      </c>
      <c r="AD89" s="309" t="s">
        <v>805</v>
      </c>
      <c r="AE89" s="121"/>
      <c r="AF89" s="121"/>
      <c r="AG89" s="121"/>
      <c r="AH89" s="307">
        <f>AG89-AF89</f>
        <v>0</v>
      </c>
      <c r="AI89" s="121"/>
      <c r="AJ89" s="614"/>
      <c r="AK89" s="614"/>
      <c r="AL89" s="614"/>
      <c r="AM89" s="614"/>
      <c r="AN89" s="614"/>
      <c r="AO89" s="121"/>
      <c r="AP89" s="121"/>
      <c r="AQ89" s="121"/>
      <c r="AR89" s="121"/>
      <c r="AS89" s="121"/>
      <c r="AT89" s="614"/>
      <c r="AU89" s="614"/>
      <c r="AV89" s="614"/>
      <c r="AW89" s="614"/>
      <c r="AX89" s="614"/>
      <c r="AY89" s="121"/>
      <c r="AZ89" s="121"/>
      <c r="BA89" s="121"/>
      <c r="BB89" s="121"/>
      <c r="BC89" s="121"/>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3"/>
      <c r="BO89" s="73"/>
      <c r="BP89" s="73"/>
      <c r="BQ89" s="227"/>
      <c r="BR89" s="227"/>
      <c r="BS89" s="1232" t="s">
        <v>1614</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M11486::ТЭ.42.26824396.0004::Неопределено::Неопределено::Неопределено::Неопределено::Неопределено</v>
      </c>
    </row>
    <row s="1619" customFormat="1" customHeight="1" ht="16.5" hidden="1">
      <c r="A90" s="225"/>
      <c r="B90" s="924"/>
      <c r="C90" s="1298" t="s">
        <v>1615</v>
      </c>
      <c r="D90" s="1257" t="s">
        <v>1616</v>
      </c>
      <c r="E90" s="794">
        <v>17.1</v>
      </c>
      <c r="F90" s="919" cm="1" t="str">
        <f t="array" ref="F90:F90">OFFSET(G90,-1,-1)</f>
        <v>1</v>
      </c>
      <c r="G90" s="227"/>
      <c r="H90" s="227"/>
      <c r="I90" s="227"/>
      <c r="J90" s="227"/>
      <c r="K90" s="227"/>
      <c r="L90" s="190"/>
      <c r="M90" s="1281"/>
      <c r="N90" s="1281" cm="1" t="str">
        <f t="array" ref="N90:N90">OFFSET(M90,-1,1)</f>
        <v>ТЭ.42.26824396.0004</v>
      </c>
      <c r="O90" s="1282"/>
      <c r="P90" s="1282"/>
      <c r="Q90" s="1282"/>
      <c r="R90" s="1282"/>
      <c r="S90" s="1619"/>
      <c r="T90" s="805">
        <f>AND(F90&gt;0,method_reg="Метод обеспечения доходности инвестированного капитала")</f>
        <v>0</v>
      </c>
      <c r="U90" s="1461"/>
      <c r="V90" s="1461"/>
      <c r="W90" s="1461"/>
      <c r="X90" s="1461"/>
      <c r="Y90" s="1461"/>
      <c r="Z90" s="1461"/>
      <c r="AA90" s="227"/>
      <c r="AB90" s="311" t="s">
        <v>751</v>
      </c>
      <c r="AC90" s="312" t="s">
        <v>1617</v>
      </c>
      <c r="AD90" s="309" t="s">
        <v>805</v>
      </c>
      <c r="AE90" s="121"/>
      <c r="AF90" s="121"/>
      <c r="AG90" s="121"/>
      <c r="AH90" s="307">
        <f>AG90-AF90</f>
        <v>0</v>
      </c>
      <c r="AI90" s="121"/>
      <c r="AJ90" s="614"/>
      <c r="AK90" s="614"/>
      <c r="AL90" s="614"/>
      <c r="AM90" s="614"/>
      <c r="AN90" s="614"/>
      <c r="AO90" s="121"/>
      <c r="AP90" s="121"/>
      <c r="AQ90" s="121"/>
      <c r="AR90" s="121"/>
      <c r="AS90" s="121"/>
      <c r="AT90" s="614"/>
      <c r="AU90" s="614"/>
      <c r="AV90" s="614"/>
      <c r="AW90" s="614"/>
      <c r="AX90" s="614"/>
      <c r="AY90" s="121"/>
      <c r="AZ90" s="121"/>
      <c r="BA90" s="121"/>
      <c r="BB90" s="121"/>
      <c r="BC90" s="121"/>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3"/>
      <c r="BO90" s="73"/>
      <c r="BP90" s="73"/>
      <c r="BQ90" s="227"/>
      <c r="BR90" s="227"/>
      <c r="BS90" s="1232" t="s">
        <v>1618</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M11487::ТЭ.42.26824396.0004::Неопределено::Неопределено::Неопределено::Неопределено::Неопределено</v>
      </c>
    </row>
    <row s="1619" customFormat="1" customHeight="1" ht="16.5" hidden="1">
      <c r="A91" s="225"/>
      <c r="B91" s="924"/>
      <c r="C91" s="1298" t="s">
        <v>1619</v>
      </c>
      <c r="D91" s="1257" t="s">
        <v>1620</v>
      </c>
      <c r="E91" s="794">
        <v>17.1</v>
      </c>
      <c r="F91" s="919" cm="1" t="str">
        <f t="array" ref="F91:F91">OFFSET(G91,-1,-1)</f>
        <v>1</v>
      </c>
      <c r="G91" s="227"/>
      <c r="H91" s="227"/>
      <c r="I91" s="227"/>
      <c r="J91" s="227"/>
      <c r="K91" s="227"/>
      <c r="L91" s="190"/>
      <c r="M91" s="1281"/>
      <c r="N91" s="1281" cm="1" t="str">
        <f t="array" ref="N91:N91">OFFSET(M91,-1,1)</f>
        <v>ТЭ.42.26824396.0004</v>
      </c>
      <c r="O91" s="1282"/>
      <c r="P91" s="1282"/>
      <c r="Q91" s="1282"/>
      <c r="R91" s="1282"/>
      <c r="S91" s="1619"/>
      <c r="T91" s="805">
        <f>AND(F91&gt;0,method_reg="Метод обеспечения доходности инвестированного капитала")</f>
        <v>0</v>
      </c>
      <c r="U91" s="1461"/>
      <c r="V91" s="1461"/>
      <c r="W91" s="1461"/>
      <c r="X91" s="1461"/>
      <c r="Y91" s="1461"/>
      <c r="Z91" s="1461"/>
      <c r="AA91" s="227"/>
      <c r="AB91" s="311" t="s">
        <v>1306</v>
      </c>
      <c r="AC91" s="312" t="s">
        <v>1621</v>
      </c>
      <c r="AD91" s="309" t="s">
        <v>490</v>
      </c>
      <c r="AE91" s="121"/>
      <c r="AF91" s="121"/>
      <c r="AG91" s="121"/>
      <c r="AH91" s="307">
        <f>AG91-AF91</f>
        <v>0</v>
      </c>
      <c r="AI91" s="121"/>
      <c r="AJ91" s="614"/>
      <c r="AK91" s="614"/>
      <c r="AL91" s="614"/>
      <c r="AM91" s="614"/>
      <c r="AN91" s="614"/>
      <c r="AO91" s="121"/>
      <c r="AP91" s="121"/>
      <c r="AQ91" s="121"/>
      <c r="AR91" s="121"/>
      <c r="AS91" s="121"/>
      <c r="AT91" s="614"/>
      <c r="AU91" s="614"/>
      <c r="AV91" s="614"/>
      <c r="AW91" s="614"/>
      <c r="AX91" s="614"/>
      <c r="AY91" s="121"/>
      <c r="AZ91" s="121"/>
      <c r="BA91" s="121"/>
      <c r="BB91" s="121"/>
      <c r="BC91" s="121"/>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3"/>
      <c r="BO91" s="73"/>
      <c r="BP91" s="73"/>
      <c r="BQ91" s="227"/>
      <c r="BR91" s="227"/>
      <c r="BS91" s="1232" t="s">
        <v>1622</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M11488::ТЭ.42.26824396.0004::Неопределено::Неопределено::Неопределено::Неопределено::Неопределено</v>
      </c>
    </row>
    <row s="1619" customFormat="1" customHeight="1" ht="16.5" hidden="1">
      <c r="A92" s="225"/>
      <c r="B92" s="924"/>
      <c r="C92" s="1298" t="s">
        <v>1623</v>
      </c>
      <c r="D92" s="1257" t="s">
        <v>1624</v>
      </c>
      <c r="E92" s="794">
        <v>17.1</v>
      </c>
      <c r="F92" s="919" cm="1" t="str">
        <f t="array" ref="F92:F92">OFFSET(G92,-1,-1)</f>
        <v>1</v>
      </c>
      <c r="G92" s="227"/>
      <c r="H92" s="227"/>
      <c r="I92" s="227"/>
      <c r="J92" s="227"/>
      <c r="K92" s="227"/>
      <c r="L92" s="190"/>
      <c r="M92" s="1281"/>
      <c r="N92" s="1281" cm="1" t="str">
        <f t="array" ref="N92:N92">OFFSET(M92,-1,1)</f>
        <v>ТЭ.42.26824396.0004</v>
      </c>
      <c r="O92" s="1282"/>
      <c r="P92" s="1282"/>
      <c r="Q92" s="1282"/>
      <c r="R92" s="1282"/>
      <c r="S92" s="1619"/>
      <c r="T92" s="805">
        <f>AND(F92&gt;0,method_reg="Метод обеспечения доходности инвестированного капитала")</f>
        <v>0</v>
      </c>
      <c r="U92" s="1461"/>
      <c r="V92" s="1461"/>
      <c r="W92" s="1461"/>
      <c r="X92" s="1461"/>
      <c r="Y92" s="1461"/>
      <c r="Z92" s="1461"/>
      <c r="AA92" s="227"/>
      <c r="AB92" s="311" t="s">
        <v>1309</v>
      </c>
      <c r="AC92" s="127" t="s">
        <v>1625</v>
      </c>
      <c r="AD92" s="309" t="s">
        <v>805</v>
      </c>
      <c r="AE92" s="121"/>
      <c r="AF92" s="121"/>
      <c r="AG92" s="121"/>
      <c r="AH92" s="307">
        <f>AG92-AF92</f>
        <v>0</v>
      </c>
      <c r="AI92" s="121"/>
      <c r="AJ92" s="614"/>
      <c r="AK92" s="614"/>
      <c r="AL92" s="614"/>
      <c r="AM92" s="614"/>
      <c r="AN92" s="614"/>
      <c r="AO92" s="121"/>
      <c r="AP92" s="121"/>
      <c r="AQ92" s="121"/>
      <c r="AR92" s="121"/>
      <c r="AS92" s="121"/>
      <c r="AT92" s="614"/>
      <c r="AU92" s="614"/>
      <c r="AV92" s="614"/>
      <c r="AW92" s="614"/>
      <c r="AX92" s="614"/>
      <c r="AY92" s="121"/>
      <c r="AZ92" s="121"/>
      <c r="BA92" s="121"/>
      <c r="BB92" s="121"/>
      <c r="BC92" s="121"/>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3"/>
      <c r="BO92" s="73"/>
      <c r="BP92" s="73"/>
      <c r="BQ92" s="227"/>
      <c r="BR92" s="227"/>
      <c r="BS92" s="1232" t="s">
        <v>1626</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M11489::ТЭ.42.26824396.0004::Неопределено::Неопределено::Неопределено::Неопределено::Неопределено</v>
      </c>
    </row>
    <row s="1619" customFormat="1" customHeight="1" ht="16.5" hidden="1">
      <c r="A93" s="225"/>
      <c r="B93" s="924"/>
      <c r="C93" s="1298" t="s">
        <v>1627</v>
      </c>
      <c r="D93" s="1257" t="s">
        <v>1628</v>
      </c>
      <c r="E93" s="794">
        <v>17.1</v>
      </c>
      <c r="F93" s="919" cm="1" t="str">
        <f t="array" ref="F93:F93">OFFSET(G93,-1,-1)</f>
        <v>1</v>
      </c>
      <c r="G93" s="227"/>
      <c r="H93" s="227"/>
      <c r="I93" s="227"/>
      <c r="J93" s="227"/>
      <c r="K93" s="227"/>
      <c r="L93" s="190"/>
      <c r="M93" s="1281"/>
      <c r="N93" s="1281" cm="1" t="str">
        <f t="array" ref="N93:N93">OFFSET(M93,-1,1)</f>
        <v>ТЭ.42.26824396.0004</v>
      </c>
      <c r="O93" s="1282"/>
      <c r="P93" s="1282"/>
      <c r="Q93" s="1282"/>
      <c r="R93" s="1282"/>
      <c r="S93" s="1619"/>
      <c r="T93" s="805">
        <f>AND(F93&gt;0,method_reg="Метод обеспечения доходности инвестированного капитала")</f>
        <v>0</v>
      </c>
      <c r="U93" s="1461"/>
      <c r="V93" s="1461"/>
      <c r="W93" s="1461"/>
      <c r="X93" s="1461"/>
      <c r="Y93" s="1461"/>
      <c r="Z93" s="1461"/>
      <c r="AA93" s="227"/>
      <c r="AB93" s="311" t="s">
        <v>1312</v>
      </c>
      <c r="AC93" s="127" t="s">
        <v>1629</v>
      </c>
      <c r="AD93" s="309" t="s">
        <v>805</v>
      </c>
      <c r="AE93" s="121"/>
      <c r="AF93" s="121"/>
      <c r="AG93" s="121"/>
      <c r="AH93" s="307">
        <f>AG93-AF93</f>
        <v>0</v>
      </c>
      <c r="AI93" s="121"/>
      <c r="AJ93" s="614"/>
      <c r="AK93" s="614"/>
      <c r="AL93" s="614"/>
      <c r="AM93" s="614"/>
      <c r="AN93" s="614"/>
      <c r="AO93" s="121"/>
      <c r="AP93" s="121"/>
      <c r="AQ93" s="121"/>
      <c r="AR93" s="121"/>
      <c r="AS93" s="121"/>
      <c r="AT93" s="614"/>
      <c r="AU93" s="614"/>
      <c r="AV93" s="614"/>
      <c r="AW93" s="614"/>
      <c r="AX93" s="614"/>
      <c r="AY93" s="121"/>
      <c r="AZ93" s="121"/>
      <c r="BA93" s="121"/>
      <c r="BB93" s="121"/>
      <c r="BC93" s="121"/>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3"/>
      <c r="BO93" s="73"/>
      <c r="BP93" s="73"/>
      <c r="BQ93" s="227"/>
      <c r="BR93" s="227"/>
      <c r="BS93" s="1232" t="s">
        <v>1630</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M11490::ТЭ.42.26824396.0004::Неопределено::Неопределено::Неопределено::Неопределено::Неопределено</v>
      </c>
    </row>
    <row s="1619" customFormat="1" customHeight="1" ht="16.5" hidden="1">
      <c r="A94" s="225"/>
      <c r="B94" s="924"/>
      <c r="C94" s="1298" t="s">
        <v>1631</v>
      </c>
      <c r="D94" s="1257" t="s">
        <v>1632</v>
      </c>
      <c r="E94" s="794">
        <v>17.1</v>
      </c>
      <c r="F94" s="919" cm="1" t="str">
        <f t="array" ref="F94:F94">OFFSET(G94,-1,-1)</f>
        <v>1</v>
      </c>
      <c r="G94" s="227"/>
      <c r="H94" s="227"/>
      <c r="I94" s="227"/>
      <c r="J94" s="227"/>
      <c r="K94" s="227"/>
      <c r="L94" s="190"/>
      <c r="M94" s="1281"/>
      <c r="N94" s="1281" cm="1" t="str">
        <f t="array" ref="N94:N94">OFFSET(M94,-1,1)</f>
        <v>ТЭ.42.26824396.0004</v>
      </c>
      <c r="O94" s="1282"/>
      <c r="P94" s="1282"/>
      <c r="Q94" s="1282"/>
      <c r="R94" s="1282"/>
      <c r="S94" s="1619"/>
      <c r="T94" s="805">
        <f>AND(F94&gt;0,method_reg="Метод обеспечения доходности инвестированного капитала")</f>
        <v>0</v>
      </c>
      <c r="U94" s="1461"/>
      <c r="V94" s="1461"/>
      <c r="W94" s="1461"/>
      <c r="X94" s="1461"/>
      <c r="Y94" s="1461"/>
      <c r="Z94" s="1461"/>
      <c r="AA94" s="227"/>
      <c r="AB94" s="311" t="s">
        <v>1633</v>
      </c>
      <c r="AC94" s="128" t="s">
        <v>1634</v>
      </c>
      <c r="AD94" s="309" t="s">
        <v>490</v>
      </c>
      <c r="AE94" s="121"/>
      <c r="AF94" s="121"/>
      <c r="AG94" s="121"/>
      <c r="AH94" s="307">
        <f>AG94-AF94</f>
        <v>0</v>
      </c>
      <c r="AI94" s="121"/>
      <c r="AJ94" s="614"/>
      <c r="AK94" s="614"/>
      <c r="AL94" s="614"/>
      <c r="AM94" s="614"/>
      <c r="AN94" s="614"/>
      <c r="AO94" s="121"/>
      <c r="AP94" s="121"/>
      <c r="AQ94" s="121"/>
      <c r="AR94" s="121"/>
      <c r="AS94" s="121"/>
      <c r="AT94" s="614"/>
      <c r="AU94" s="614"/>
      <c r="AV94" s="614"/>
      <c r="AW94" s="614"/>
      <c r="AX94" s="614"/>
      <c r="AY94" s="121"/>
      <c r="AZ94" s="121"/>
      <c r="BA94" s="121"/>
      <c r="BB94" s="121"/>
      <c r="BC94" s="121"/>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3"/>
      <c r="BO94" s="73"/>
      <c r="BP94" s="73"/>
      <c r="BQ94" s="227"/>
      <c r="BR94" s="227"/>
      <c r="BS94" s="1232" t="s">
        <v>1635</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M11491::ТЭ.42.26824396.0004::Неопределено::Неопределено::Неопределено::Неопределено::Неопределено</v>
      </c>
    </row>
    <row s="1619" customFormat="1" customHeight="1" ht="16.5" hidden="1">
      <c r="A95" s="225"/>
      <c r="B95" s="924"/>
      <c r="C95" s="1298" t="s">
        <v>1636</v>
      </c>
      <c r="D95" s="1257" t="s">
        <v>1637</v>
      </c>
      <c r="E95" s="794">
        <v>17.1</v>
      </c>
      <c r="F95" s="919" cm="1" t="str">
        <f t="array" ref="F95:F95">OFFSET(G95,-1,-1)</f>
        <v>1</v>
      </c>
      <c r="G95" s="227"/>
      <c r="H95" s="227"/>
      <c r="I95" s="227"/>
      <c r="J95" s="227"/>
      <c r="K95" s="227"/>
      <c r="L95" s="190"/>
      <c r="M95" s="1281"/>
      <c r="N95" s="1281" cm="1" t="str">
        <f t="array" ref="N95:N95">OFFSET(M95,-1,1)</f>
        <v>ТЭ.42.26824396.0004</v>
      </c>
      <c r="O95" s="1282"/>
      <c r="P95" s="1282"/>
      <c r="Q95" s="1282"/>
      <c r="R95" s="1282"/>
      <c r="S95" s="1619"/>
      <c r="T95" s="805">
        <f>AND(F95&gt;0,method_reg="Метод обеспечения доходности инвестированного капитала")</f>
        <v>0</v>
      </c>
      <c r="U95" s="1461"/>
      <c r="V95" s="1461"/>
      <c r="W95" s="1461"/>
      <c r="X95" s="1461"/>
      <c r="Y95" s="1461"/>
      <c r="Z95" s="1461"/>
      <c r="AA95" s="227"/>
      <c r="AB95" s="311" t="s">
        <v>1315</v>
      </c>
      <c r="AC95" s="127" t="s">
        <v>1638</v>
      </c>
      <c r="AD95" s="309" t="s">
        <v>490</v>
      </c>
      <c r="AE95" s="121"/>
      <c r="AF95" s="121"/>
      <c r="AG95" s="121"/>
      <c r="AH95" s="307">
        <f>AG95-AF95</f>
        <v>0</v>
      </c>
      <c r="AI95" s="121"/>
      <c r="AJ95" s="614"/>
      <c r="AK95" s="614"/>
      <c r="AL95" s="614"/>
      <c r="AM95" s="614"/>
      <c r="AN95" s="614"/>
      <c r="AO95" s="121"/>
      <c r="AP95" s="121"/>
      <c r="AQ95" s="121"/>
      <c r="AR95" s="121"/>
      <c r="AS95" s="121"/>
      <c r="AT95" s="614"/>
      <c r="AU95" s="614"/>
      <c r="AV95" s="614"/>
      <c r="AW95" s="614"/>
      <c r="AX95" s="614"/>
      <c r="AY95" s="121"/>
      <c r="AZ95" s="121"/>
      <c r="BA95" s="121"/>
      <c r="BB95" s="121"/>
      <c r="BC95" s="121"/>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3"/>
      <c r="BO95" s="73"/>
      <c r="BP95" s="73"/>
      <c r="BQ95" s="227"/>
      <c r="BR95" s="227"/>
      <c r="BS95" s="1232" t="s">
        <v>1639</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M11493::ТЭ.42.26824396.0004::Неопределено::Неопределено::Неопределено::Неопределено::Неопределено</v>
      </c>
    </row>
    <row s="1619" customFormat="1" customHeight="1" ht="16.5" hidden="1">
      <c r="A96" s="225"/>
      <c r="B96" s="924"/>
      <c r="C96" s="1298" t="s">
        <v>1640</v>
      </c>
      <c r="D96" s="1257" t="s">
        <v>1641</v>
      </c>
      <c r="E96" s="794">
        <v>17.1</v>
      </c>
      <c r="F96" s="919" cm="1" t="str">
        <f t="array" ref="F96:F96">OFFSET(G96,-1,-1)</f>
        <v>1</v>
      </c>
      <c r="G96" s="227"/>
      <c r="H96" s="227"/>
      <c r="I96" s="227"/>
      <c r="J96" s="227"/>
      <c r="K96" s="227"/>
      <c r="L96" s="190"/>
      <c r="M96" s="1281"/>
      <c r="N96" s="1281" cm="1" t="str">
        <f t="array" ref="N96:N96">OFFSET(M96,-1,1)</f>
        <v>ТЭ.42.26824396.0004</v>
      </c>
      <c r="O96" s="1282"/>
      <c r="P96" s="1282"/>
      <c r="Q96" s="1282"/>
      <c r="R96" s="1282"/>
      <c r="S96" s="1619"/>
      <c r="T96" s="805">
        <f>AND(F96&gt;0,method_reg="Метод обеспечения доходности инвестированного капитала")</f>
        <v>0</v>
      </c>
      <c r="U96" s="1461"/>
      <c r="V96" s="1461"/>
      <c r="W96" s="1461"/>
      <c r="X96" s="1461"/>
      <c r="Y96" s="1461"/>
      <c r="Z96" s="1461"/>
      <c r="AA96" s="227"/>
      <c r="AB96" s="311" t="s">
        <v>1642</v>
      </c>
      <c r="AC96" s="128" t="s">
        <v>1643</v>
      </c>
      <c r="AD96" s="309" t="s">
        <v>490</v>
      </c>
      <c r="AE96" s="121"/>
      <c r="AF96" s="121"/>
      <c r="AG96" s="121"/>
      <c r="AH96" s="307">
        <f>AG96-AF96</f>
        <v>0</v>
      </c>
      <c r="AI96" s="121"/>
      <c r="AJ96" s="614"/>
      <c r="AK96" s="614"/>
      <c r="AL96" s="614"/>
      <c r="AM96" s="614"/>
      <c r="AN96" s="614"/>
      <c r="AO96" s="121"/>
      <c r="AP96" s="121"/>
      <c r="AQ96" s="121"/>
      <c r="AR96" s="121"/>
      <c r="AS96" s="121"/>
      <c r="AT96" s="614"/>
      <c r="AU96" s="614"/>
      <c r="AV96" s="614"/>
      <c r="AW96" s="614"/>
      <c r="AX96" s="614"/>
      <c r="AY96" s="121"/>
      <c r="AZ96" s="121"/>
      <c r="BA96" s="121"/>
      <c r="BB96" s="121"/>
      <c r="BC96" s="121"/>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3"/>
      <c r="BO96" s="73"/>
      <c r="BP96" s="73"/>
      <c r="BQ96" s="227"/>
      <c r="BR96" s="227"/>
      <c r="BS96" s="1232" t="s">
        <v>1644</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M11494::ТЭ.42.26824396.0004::Неопределено::Неопределено::Неопределено::Неопределено::Неопределено</v>
      </c>
    </row>
    <row s="1619" customFormat="1" customHeight="1" ht="16.5" hidden="1">
      <c r="A97" s="225"/>
      <c r="B97" s="924"/>
      <c r="C97" s="1298" t="s">
        <v>1645</v>
      </c>
      <c r="D97" s="1257" t="s">
        <v>1646</v>
      </c>
      <c r="E97" s="794">
        <v>17.1</v>
      </c>
      <c r="F97" s="919" cm="1" t="str">
        <f t="array" ref="F97:F97">OFFSET(G97,-1,-1)</f>
        <v>1</v>
      </c>
      <c r="G97" s="227"/>
      <c r="H97" s="227"/>
      <c r="I97" s="227"/>
      <c r="J97" s="227"/>
      <c r="K97" s="227"/>
      <c r="L97" s="190"/>
      <c r="M97" s="1281"/>
      <c r="N97" s="1281" cm="1" t="str">
        <f t="array" ref="N97:N97">OFFSET(M97,-1,1)</f>
        <v>ТЭ.42.26824396.0004</v>
      </c>
      <c r="O97" s="1282"/>
      <c r="P97" s="1282"/>
      <c r="Q97" s="1282"/>
      <c r="R97" s="1282"/>
      <c r="S97" s="1619"/>
      <c r="T97" s="805">
        <f>AND(F97&gt;0,method_reg="Метод обеспечения доходности инвестированного капитала")</f>
        <v>0</v>
      </c>
      <c r="U97" s="1461"/>
      <c r="V97" s="1461"/>
      <c r="W97" s="1461"/>
      <c r="X97" s="1461"/>
      <c r="Y97" s="1461"/>
      <c r="Z97" s="1461"/>
      <c r="AA97" s="227"/>
      <c r="AB97" s="311" t="s">
        <v>1647</v>
      </c>
      <c r="AC97" s="128" t="s">
        <v>1648</v>
      </c>
      <c r="AD97" s="309" t="s">
        <v>490</v>
      </c>
      <c r="AE97" s="121"/>
      <c r="AF97" s="121"/>
      <c r="AG97" s="121"/>
      <c r="AH97" s="307">
        <f>AG97-AF97</f>
        <v>0</v>
      </c>
      <c r="AI97" s="121"/>
      <c r="AJ97" s="614"/>
      <c r="AK97" s="614"/>
      <c r="AL97" s="614"/>
      <c r="AM97" s="614"/>
      <c r="AN97" s="614"/>
      <c r="AO97" s="121"/>
      <c r="AP97" s="121"/>
      <c r="AQ97" s="121"/>
      <c r="AR97" s="121"/>
      <c r="AS97" s="121"/>
      <c r="AT97" s="614"/>
      <c r="AU97" s="614"/>
      <c r="AV97" s="614"/>
      <c r="AW97" s="614"/>
      <c r="AX97" s="614"/>
      <c r="AY97" s="121"/>
      <c r="AZ97" s="121"/>
      <c r="BA97" s="121"/>
      <c r="BB97" s="121"/>
      <c r="BC97" s="121"/>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3"/>
      <c r="BO97" s="73"/>
      <c r="BP97" s="73"/>
      <c r="BQ97" s="227"/>
      <c r="BR97" s="227"/>
      <c r="BS97" s="1232" t="s">
        <v>1649</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M11495::ТЭ.42.26824396.0004::Неопределено::Неопределено::Неопределено::Неопределено::Неопределено</v>
      </c>
    </row>
    <row s="1619" customFormat="1" customHeight="1" ht="16.5">
      <c r="A98" s="225"/>
      <c r="B98" s="924"/>
      <c r="C98" s="1298" t="s">
        <v>1650</v>
      </c>
      <c r="D98" s="1257" t="s">
        <v>1651</v>
      </c>
      <c r="E98" s="794">
        <v>17.1</v>
      </c>
      <c r="F98" s="919" cm="1" t="str">
        <f t="array" ref="F98:F98">OFFSET(G98,-1,-1)</f>
        <v>1</v>
      </c>
      <c r="G98" s="190" t="s">
        <v>1497</v>
      </c>
      <c r="H98" s="227"/>
      <c r="I98" s="227"/>
      <c r="J98" s="227"/>
      <c r="K98" s="227"/>
      <c r="L98" s="190"/>
      <c r="M98" s="1281"/>
      <c r="N98" s="1281" cm="1" t="str">
        <f t="array" ref="N98:N98">OFFSET(M98,-1,1)</f>
        <v>ТЭ.42.26824396.0004</v>
      </c>
      <c r="O98" s="1282"/>
      <c r="P98" s="1282"/>
      <c r="Q98" s="1282"/>
      <c r="R98" s="1282"/>
      <c r="S98" s="1619"/>
      <c r="T98" s="805">
        <f>AND(F98&gt;0,method_reg="Метод индексации")</f>
        <v>1</v>
      </c>
      <c r="U98" s="1461"/>
      <c r="V98" s="1461"/>
      <c r="W98" s="1461"/>
      <c r="X98" s="1461"/>
      <c r="Y98" s="1461"/>
      <c r="Z98" s="1461"/>
      <c r="AA98" s="227"/>
      <c r="AB98" s="157" t="s">
        <v>624</v>
      </c>
      <c r="AC98" s="610" t="s">
        <v>1499</v>
      </c>
      <c r="AD98" s="485" t="s">
        <v>1019</v>
      </c>
      <c r="AE98" s="1903">
        <f>AE99+AE100+AE101</f>
        <v>0</v>
      </c>
      <c r="AF98" s="1903">
        <f>AF99+AF100+AF101</f>
        <v>0</v>
      </c>
      <c r="AG98" s="1903">
        <f>AG99+AG100+AG101</f>
        <v>0</v>
      </c>
      <c r="AH98" s="307">
        <f>AG98-AF98</f>
        <v>0</v>
      </c>
      <c r="AI98" s="1903">
        <f>AI99+AI100+AI101</f>
        <v>0</v>
      </c>
      <c r="AJ98" s="614">
        <f>AJ99+AJ100+AJ101</f>
        <v>113</v>
      </c>
      <c r="AK98" s="614">
        <f>AK99+AK100+AK101</f>
        <v>117</v>
      </c>
      <c r="AL98" s="614">
        <f>AL99+AL100+AL101</f>
        <v>122</v>
      </c>
      <c r="AM98" s="614">
        <f>AM99+AM100+AM101</f>
        <v>127</v>
      </c>
      <c r="AN98" s="614">
        <f>AN99+AN100+AN101</f>
        <v>132</v>
      </c>
      <c r="AO98" s="1903">
        <f>AO99+AO100+AO101</f>
        <v>0</v>
      </c>
      <c r="AP98" s="1903">
        <f>AP99+AP100+AP101</f>
        <v>0</v>
      </c>
      <c r="AQ98" s="1903">
        <f>AQ99+AQ100+AQ101</f>
        <v>0</v>
      </c>
      <c r="AR98" s="1903">
        <f>AR99+AR100+AR101</f>
        <v>0</v>
      </c>
      <c r="AS98" s="1903">
        <f>AS99+AS100+AS101</f>
        <v>0</v>
      </c>
      <c r="AT98" s="614">
        <f>AT99+AT100+AT101</f>
        <v>0</v>
      </c>
      <c r="AU98" s="614">
        <f>AU99+AU100+AU101</f>
        <v>0</v>
      </c>
      <c r="AV98" s="614">
        <f>AV99+AV100+AV101</f>
        <v>0</v>
      </c>
      <c r="AW98" s="614">
        <f>AW99+AW100+AW101</f>
        <v>0</v>
      </c>
      <c r="AX98" s="614">
        <f>AX99+AX100+AX101</f>
        <v>0</v>
      </c>
      <c r="AY98" s="1903">
        <f>AY99+AY100+AY101</f>
        <v>0</v>
      </c>
      <c r="AZ98" s="1903">
        <f>AZ99+AZ100+AZ101</f>
        <v>0</v>
      </c>
      <c r="BA98" s="1903">
        <f>BA99+BA100+BA101</f>
        <v>0</v>
      </c>
      <c r="BB98" s="1903">
        <f>BB99+BB100+BB101</f>
        <v>0</v>
      </c>
      <c r="BC98" s="1903">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30"/>
      <c r="BO98" s="1730"/>
      <c r="BP98" s="1730"/>
      <c r="BQ98" s="227"/>
      <c r="BR98" s="227"/>
      <c r="BS98" s="1232" t="s">
        <v>1500</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M10606::ТЭ.42.26824396.0004::Неопределено::Неопределено::Неопределено::Неопределено::Неопределено</v>
      </c>
    </row>
    <row s="1619" customFormat="1" customHeight="1" ht="58.5">
      <c r="A99" s="225"/>
      <c r="B99" s="924"/>
      <c r="C99" s="1298" t="s">
        <v>1652</v>
      </c>
      <c r="D99" s="1257" t="s">
        <v>1653</v>
      </c>
      <c r="E99" s="794">
        <v>60</v>
      </c>
      <c r="F99" s="919" cm="1" t="str">
        <f t="array" ref="F99:F99">OFFSET(G99,-1,-1)</f>
        <v>1</v>
      </c>
      <c r="G99" s="227"/>
      <c r="H99" s="227"/>
      <c r="I99" s="227"/>
      <c r="J99" s="227"/>
      <c r="K99" s="227"/>
      <c r="L99" s="190"/>
      <c r="M99" s="1281"/>
      <c r="N99" s="1281" cm="1" t="str">
        <f t="array" ref="N99:N99">OFFSET(M99,-1,1)</f>
        <v>ТЭ.42.26824396.0004</v>
      </c>
      <c r="O99" s="1282"/>
      <c r="P99" s="1282"/>
      <c r="Q99" s="1282"/>
      <c r="R99" s="1282"/>
      <c r="S99" s="1619"/>
      <c r="T99" s="805">
        <f>AND(F99&gt;0,method_reg="Метод индексации")</f>
        <v>1</v>
      </c>
      <c r="U99" s="1461"/>
      <c r="V99" s="1461"/>
      <c r="W99" s="1461"/>
      <c r="X99" s="1461"/>
      <c r="Y99" s="1461"/>
      <c r="Z99" s="1461"/>
      <c r="AA99" s="227"/>
      <c r="AB99" s="157" t="s">
        <v>746</v>
      </c>
      <c r="AC99" s="1022" t="s">
        <v>1654</v>
      </c>
      <c r="AD99" s="485" t="s">
        <v>1400</v>
      </c>
      <c r="AE99" s="1903"/>
      <c r="AF99" s="1903"/>
      <c r="AG99" s="1903"/>
      <c r="AH99" s="307">
        <f>AG99-AF99</f>
        <v>0</v>
      </c>
      <c r="AI99" s="1903"/>
      <c r="AJ99" s="614"/>
      <c r="AK99" s="614"/>
      <c r="AL99" s="614"/>
      <c r="AM99" s="614"/>
      <c r="AN99" s="614"/>
      <c r="AO99" s="1903"/>
      <c r="AP99" s="1903"/>
      <c r="AQ99" s="1903"/>
      <c r="AR99" s="1903"/>
      <c r="AS99" s="1903"/>
      <c r="AT99" s="614"/>
      <c r="AU99" s="614"/>
      <c r="AV99" s="614"/>
      <c r="AW99" s="614"/>
      <c r="AX99" s="614"/>
      <c r="AY99" s="1903"/>
      <c r="AZ99" s="1903"/>
      <c r="BA99" s="1903"/>
      <c r="BB99" s="1903"/>
      <c r="BC99" s="1903"/>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30"/>
      <c r="BO99" s="1730"/>
      <c r="BP99" s="1730"/>
      <c r="BQ99" s="227"/>
      <c r="BR99" s="227"/>
      <c r="BS99" s="1232" t="s">
        <v>1655</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M10614::ТЭ.42.26824396.0004::Неопределено::Неопределено::Неопределено::Неопределено::Неопределено</v>
      </c>
    </row>
    <row s="1619" customFormat="1" customHeight="1" ht="29.25">
      <c r="A100" s="225"/>
      <c r="B100" s="924"/>
      <c r="C100" s="1298" t="s">
        <v>1656</v>
      </c>
      <c r="D100" s="1257" t="s">
        <v>1657</v>
      </c>
      <c r="E100" s="794">
        <v>30</v>
      </c>
      <c r="F100" s="919" cm="1" t="str">
        <f t="array" ref="F100:F100">OFFSET(G100,-1,-1)</f>
        <v>1</v>
      </c>
      <c r="G100" s="227"/>
      <c r="H100" s="227"/>
      <c r="I100" s="227"/>
      <c r="J100" s="227"/>
      <c r="K100" s="227"/>
      <c r="L100" s="190"/>
      <c r="M100" s="1281"/>
      <c r="N100" s="1281" cm="1" t="str">
        <f t="array" ref="N100:N100">OFFSET(M100,-1,1)</f>
        <v>ТЭ.42.26824396.0004</v>
      </c>
      <c r="O100" s="1282"/>
      <c r="P100" s="1282"/>
      <c r="Q100" s="1282"/>
      <c r="R100" s="1282"/>
      <c r="S100" s="1619"/>
      <c r="T100" s="805">
        <f>AND(F100&gt;0,method_reg="Метод индексации")</f>
        <v>1</v>
      </c>
      <c r="U100" s="1461"/>
      <c r="V100" s="1461"/>
      <c r="W100" s="1461"/>
      <c r="X100" s="1461"/>
      <c r="Y100" s="1461"/>
      <c r="Z100" s="1461"/>
      <c r="AA100" s="227"/>
      <c r="AB100" s="157" t="s">
        <v>1607</v>
      </c>
      <c r="AC100" s="610" t="s">
        <v>1658</v>
      </c>
      <c r="AD100" s="485" t="s">
        <v>1400</v>
      </c>
      <c r="AE100" s="1903"/>
      <c r="AF100" s="1903"/>
      <c r="AG100" s="1903"/>
      <c r="AH100" s="307">
        <f>AG100-AF100</f>
        <v>0</v>
      </c>
      <c r="AI100" s="1903"/>
      <c r="AJ100" s="614"/>
      <c r="AK100" s="614"/>
      <c r="AL100" s="614"/>
      <c r="AM100" s="614"/>
      <c r="AN100" s="614"/>
      <c r="AO100" s="1903"/>
      <c r="AP100" s="1903"/>
      <c r="AQ100" s="1903"/>
      <c r="AR100" s="1903"/>
      <c r="AS100" s="1903"/>
      <c r="AT100" s="614"/>
      <c r="AU100" s="614"/>
      <c r="AV100" s="614"/>
      <c r="AW100" s="614"/>
      <c r="AX100" s="614"/>
      <c r="AY100" s="1903"/>
      <c r="AZ100" s="1903"/>
      <c r="BA100" s="1903"/>
      <c r="BB100" s="1903"/>
      <c r="BC100" s="1903"/>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30"/>
      <c r="BO100" s="1730"/>
      <c r="BP100" s="1730"/>
      <c r="BQ100" s="227"/>
      <c r="BR100" s="227"/>
      <c r="BS100" s="1232" t="s">
        <v>1659</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M10608::ТЭ.42.26824396.0004::Неопределено::Неопределено::Неопределено::Неопределено::Неопределено</v>
      </c>
    </row>
    <row s="1619" customFormat="1" customHeight="1" ht="43.5">
      <c r="A101" s="225"/>
      <c r="B101" s="924"/>
      <c r="C101" s="1298" t="s">
        <v>1660</v>
      </c>
      <c r="D101" s="1257" t="s">
        <v>1661</v>
      </c>
      <c r="E101" s="794">
        <v>45</v>
      </c>
      <c r="F101" s="919" cm="1" t="str">
        <f t="array" ref="F101:F101">OFFSET(G101,-1,-1)</f>
        <v>1</v>
      </c>
      <c r="G101" s="227"/>
      <c r="H101" s="227"/>
      <c r="I101" s="227"/>
      <c r="J101" s="227"/>
      <c r="K101" s="227"/>
      <c r="L101" s="190"/>
      <c r="M101" s="1281"/>
      <c r="N101" s="1281" cm="1" t="str">
        <f t="array" ref="N101:N101">OFFSET(M101,-1,1)</f>
        <v>ТЭ.42.26824396.0004</v>
      </c>
      <c r="O101" s="1282"/>
      <c r="P101" s="1282"/>
      <c r="Q101" s="1282"/>
      <c r="R101" s="1282"/>
      <c r="S101" s="1619"/>
      <c r="T101" s="805">
        <f>AND(F101&gt;0,method_reg="Метод индексации")</f>
        <v>1</v>
      </c>
      <c r="U101" s="1461"/>
      <c r="V101" s="1461"/>
      <c r="W101" s="1461"/>
      <c r="X101" s="1461"/>
      <c r="Y101" s="1461"/>
      <c r="Z101" s="1461"/>
      <c r="AA101" s="227"/>
      <c r="AB101" s="157" t="s">
        <v>1662</v>
      </c>
      <c r="AC101" s="610" t="s">
        <v>1663</v>
      </c>
      <c r="AD101" s="485" t="s">
        <v>1400</v>
      </c>
      <c r="AE101" s="1903"/>
      <c r="AF101" s="1903"/>
      <c r="AG101" s="1903"/>
      <c r="AH101" s="307">
        <f>AG101-AF101</f>
        <v>0</v>
      </c>
      <c r="AI101" s="1903"/>
      <c r="AJ101" s="614">
        <v>113</v>
      </c>
      <c r="AK101" s="614">
        <v>117</v>
      </c>
      <c r="AL101" s="614">
        <v>122</v>
      </c>
      <c r="AM101" s="614">
        <v>127</v>
      </c>
      <c r="AN101" s="614">
        <v>132</v>
      </c>
      <c r="AO101" s="1903"/>
      <c r="AP101" s="1903"/>
      <c r="AQ101" s="1903"/>
      <c r="AR101" s="1903"/>
      <c r="AS101" s="1903"/>
      <c r="AT101" s="614">
        <v>0</v>
      </c>
      <c r="AU101" s="614">
        <v>0</v>
      </c>
      <c r="AV101" s="614">
        <v>0</v>
      </c>
      <c r="AW101" s="614">
        <v>0</v>
      </c>
      <c r="AX101" s="614">
        <v>0</v>
      </c>
      <c r="AY101" s="1903"/>
      <c r="AZ101" s="1903"/>
      <c r="BA101" s="1903"/>
      <c r="BB101" s="1903"/>
      <c r="BC101" s="1903"/>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30"/>
      <c r="BO101" s="1730"/>
      <c r="BP101" s="1730"/>
      <c r="BQ101" s="227"/>
      <c r="BR101" s="227"/>
      <c r="BS101" s="1232" t="s">
        <v>1664</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M10610::ТЭ.42.26824396.0004::Неопределено::Неопределено::Неопределено::Неопределено::Неопределено</v>
      </c>
    </row>
    <row s="1619" customFormat="1" customHeight="1" ht="14.25">
      <c r="A102" s="225"/>
      <c r="B102" s="924"/>
      <c r="C102" s="1298" t="s">
        <v>1665</v>
      </c>
      <c r="D102" s="1257" t="s">
        <v>1666</v>
      </c>
      <c r="E102" s="794">
        <v>15</v>
      </c>
      <c r="F102" s="919" cm="1" t="str">
        <f t="array" ref="F102:F102">OFFSET(G102,-1,-1)</f>
        <v>1</v>
      </c>
      <c r="G102" s="190" t="s">
        <v>1504</v>
      </c>
      <c r="H102" s="227"/>
      <c r="I102" s="227"/>
      <c r="J102" s="227"/>
      <c r="K102" s="227"/>
      <c r="L102" s="190"/>
      <c r="M102" s="1281"/>
      <c r="N102" s="1281" cm="1" t="str">
        <f t="array" ref="N102:N102">OFFSET(M102,-1,1)</f>
        <v>ТЭ.42.26824396.0004</v>
      </c>
      <c r="O102" s="1282"/>
      <c r="P102" s="1282"/>
      <c r="Q102" s="1282"/>
      <c r="R102" s="1282"/>
      <c r="S102" s="1619"/>
      <c r="T102" s="805">
        <f>AND(F102&gt;0,method_reg="Метод индексации")</f>
        <v>1</v>
      </c>
      <c r="U102" s="1461"/>
      <c r="V102" s="1461"/>
      <c r="W102" s="1461"/>
      <c r="X102" s="1461"/>
      <c r="Y102" s="1461"/>
      <c r="Z102" s="1461"/>
      <c r="AA102" s="227"/>
      <c r="AB102" s="157" t="s">
        <v>629</v>
      </c>
      <c r="AC102" s="610" t="s">
        <v>1506</v>
      </c>
      <c r="AD102" s="485" t="s">
        <v>1019</v>
      </c>
      <c r="AE102" s="1903"/>
      <c r="AF102" s="1903"/>
      <c r="AG102" s="1903"/>
      <c r="AH102" s="307">
        <f>AG102-AF102</f>
        <v>0</v>
      </c>
      <c r="AI102" s="1903"/>
      <c r="AJ102" s="614">
        <v>214</v>
      </c>
      <c r="AK102" s="614">
        <v>220</v>
      </c>
      <c r="AL102" s="614">
        <v>225</v>
      </c>
      <c r="AM102" s="614">
        <v>229</v>
      </c>
      <c r="AN102" s="614">
        <v>212</v>
      </c>
      <c r="AO102" s="1903"/>
      <c r="AP102" s="1903"/>
      <c r="AQ102" s="1903"/>
      <c r="AR102" s="1903"/>
      <c r="AS102" s="1903"/>
      <c r="AT102" s="614">
        <v>125</v>
      </c>
      <c r="AU102" s="614">
        <v>156</v>
      </c>
      <c r="AV102" s="614">
        <v>118</v>
      </c>
      <c r="AW102" s="614">
        <v>123</v>
      </c>
      <c r="AX102" s="614">
        <v>127</v>
      </c>
      <c r="AY102" s="1903"/>
      <c r="AZ102" s="1903"/>
      <c r="BA102" s="1903"/>
      <c r="BB102" s="1903"/>
      <c r="BC102" s="1903"/>
      <c r="BD102" s="307">
        <f>IF(AI102=0,0,(AT102-AI102)/AI102*100)</f>
        <v>0</v>
      </c>
      <c r="BE102" s="307">
        <f>IF(AT102=0,0,(AU102-AT102)/AT102*100)</f>
        <v>24.8</v>
      </c>
      <c r="BF102" s="307">
        <f>IF(AU102=0,0,(AV102-AU102)/AU102*100)</f>
        <v>-24.3589743589744</v>
      </c>
      <c r="BG102" s="307">
        <f>IF(AV102=0,0,(AW102-AV102)/AV102*100)</f>
        <v>4.23728813559322</v>
      </c>
      <c r="BH102" s="307">
        <f>IF(AW102=0,0,(AX102-AW102)/AW102*100)</f>
        <v>3.2520325203252</v>
      </c>
      <c r="BI102" s="307">
        <f>IF(AX102=0,0,(AY102-AX102)/AX102*100)</f>
        <v>-100</v>
      </c>
      <c r="BJ102" s="307">
        <f>IF(AY102=0,0,(AZ102-AY102)/AY102*100)</f>
        <v>0</v>
      </c>
      <c r="BK102" s="307">
        <f>IF(AZ102=0,0,(BA102-AZ102)/AZ102*100)</f>
        <v>0</v>
      </c>
      <c r="BL102" s="307">
        <f>IF(BA102=0,0,(BB102-BA102)/BA102*100)</f>
        <v>0</v>
      </c>
      <c r="BM102" s="307">
        <f>IF(BB102=0,0,(BC102-BB102)/BB102*100)</f>
        <v>0</v>
      </c>
      <c r="BN102" s="1730"/>
      <c r="BO102" s="1730"/>
      <c r="BP102" s="1730"/>
      <c r="BQ102" s="227"/>
      <c r="BR102" s="227"/>
      <c r="BS102" s="1232" t="s">
        <v>1667</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M11281::ТЭ.42.26824396.0004::Неопределено::Неопределено::Неопределено::Неопределено::Неопределено</v>
      </c>
    </row>
    <row s="1619" customFormat="1" customHeight="1" ht="14.25">
      <c r="A103" s="225"/>
      <c r="B103" s="924"/>
      <c r="C103" s="1298" t="s">
        <v>1668</v>
      </c>
      <c r="D103" s="1257" t="s">
        <v>1669</v>
      </c>
      <c r="E103" s="794">
        <v>15</v>
      </c>
      <c r="F103" s="919" cm="1" t="str">
        <f t="array" ref="F103:F103">OFFSET(G103,-1,-1)</f>
        <v>1</v>
      </c>
      <c r="G103" s="227"/>
      <c r="H103" s="227"/>
      <c r="I103" s="227"/>
      <c r="J103" s="227"/>
      <c r="K103" s="227"/>
      <c r="L103" s="190"/>
      <c r="M103" s="1281"/>
      <c r="N103" s="1281" cm="1" t="str">
        <f t="array" ref="N103:N103">OFFSET(M103,-1,1)</f>
        <v>ТЭ.42.26824396.0004</v>
      </c>
      <c r="O103" s="1282"/>
      <c r="P103" s="1282"/>
      <c r="Q103" s="1282"/>
      <c r="R103" s="1282"/>
      <c r="S103" s="1619"/>
      <c r="T103" s="805">
        <f>AND(F103&gt;0,method_reg="Метод индексации")</f>
        <v>1</v>
      </c>
      <c r="U103" s="1461"/>
      <c r="V103" s="1461"/>
      <c r="W103" s="1461"/>
      <c r="X103" s="1461"/>
      <c r="Y103" s="1461"/>
      <c r="Z103" s="1461"/>
      <c r="AA103" s="227"/>
      <c r="AB103" s="157" t="s">
        <v>751</v>
      </c>
      <c r="AC103" s="162" t="s">
        <v>1502</v>
      </c>
      <c r="AD103" s="485" t="s">
        <v>490</v>
      </c>
      <c r="AE103" s="1889"/>
      <c r="AF103" s="1889"/>
      <c r="AG103" s="1889"/>
      <c r="AH103" s="307">
        <f>AG103-AF103</f>
        <v>0</v>
      </c>
      <c r="AI103" s="1889"/>
      <c r="AJ103" s="1132"/>
      <c r="AK103" s="1132"/>
      <c r="AL103" s="1132"/>
      <c r="AM103" s="1132"/>
      <c r="AN103" s="1132"/>
      <c r="AO103" s="1889"/>
      <c r="AP103" s="1889"/>
      <c r="AQ103" s="1889"/>
      <c r="AR103" s="1889"/>
      <c r="AS103" s="1889"/>
      <c r="AT103" s="1132"/>
      <c r="AU103" s="1132"/>
      <c r="AV103" s="1132"/>
      <c r="AW103" s="1132"/>
      <c r="AX103" s="1132"/>
      <c r="AY103" s="1889"/>
      <c r="AZ103" s="1889"/>
      <c r="BA103" s="1889"/>
      <c r="BB103" s="1889"/>
      <c r="BC103" s="1889"/>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30"/>
      <c r="BO103" s="1730"/>
      <c r="BP103" s="1730"/>
      <c r="BQ103" s="227"/>
      <c r="BR103" s="227"/>
      <c r="BS103" s="1232" t="s">
        <v>1670</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M10607::ТЭ.42.26824396.0004::Неопределено::Неопределено::Неопределено::Неопределено::Неопределено</v>
      </c>
    </row>
    <row s="1619" customFormat="1" customHeight="1" ht="28.5">
      <c r="A104" s="225"/>
      <c r="B104" s="924"/>
      <c r="C104" s="1298" t="s">
        <v>1671</v>
      </c>
      <c r="D104" s="1257" t="s">
        <v>1672</v>
      </c>
      <c r="E104" s="794">
        <v>29.3</v>
      </c>
      <c r="F104" s="919" cm="1" t="str">
        <f t="array" ref="F104:F104">OFFSET(G104,-1,-1)</f>
        <v>1</v>
      </c>
      <c r="G104" s="190">
        <v>6</v>
      </c>
      <c r="H104" s="227"/>
      <c r="I104" s="227"/>
      <c r="J104" s="227"/>
      <c r="K104" s="227"/>
      <c r="L104" s="190"/>
      <c r="M104" s="1281"/>
      <c r="N104" s="1281" cm="1" t="str">
        <f t="array" ref="N104:N104">OFFSET(M104,-1,1)</f>
        <v>ТЭ.42.26824396.0004</v>
      </c>
      <c r="O104" s="1282"/>
      <c r="P104" s="1282"/>
      <c r="Q104" s="1282"/>
      <c r="R104" s="1282"/>
      <c r="S104" s="1619"/>
      <c r="T104" s="805">
        <f>F104&gt;0</f>
        <v>1</v>
      </c>
      <c r="U104" s="1461"/>
      <c r="V104" s="1461"/>
      <c r="W104" s="1461"/>
      <c r="X104" s="1461"/>
      <c r="Y104" s="1461"/>
      <c r="Z104" s="1461"/>
      <c r="AA104" s="227"/>
      <c r="AB104" s="157" t="s">
        <v>632</v>
      </c>
      <c r="AC104" s="610" t="s">
        <v>1509</v>
      </c>
      <c r="AD104" s="485" t="s">
        <v>1019</v>
      </c>
      <c r="AE104" s="1903"/>
      <c r="AF104" s="1903"/>
      <c r="AG104" s="1903"/>
      <c r="AH104" s="307">
        <f>AG104-AF104</f>
        <v>0</v>
      </c>
      <c r="AI104" s="1903"/>
      <c r="AJ104" s="614"/>
      <c r="AK104" s="614"/>
      <c r="AL104" s="614"/>
      <c r="AM104" s="614"/>
      <c r="AN104" s="614"/>
      <c r="AO104" s="1903"/>
      <c r="AP104" s="1903"/>
      <c r="AQ104" s="1903"/>
      <c r="AR104" s="1903"/>
      <c r="AS104" s="1903"/>
      <c r="AT104" s="614"/>
      <c r="AU104" s="614"/>
      <c r="AV104" s="614"/>
      <c r="AW104" s="614"/>
      <c r="AX104" s="614"/>
      <c r="AY104" s="1903"/>
      <c r="AZ104" s="1903"/>
      <c r="BA104" s="1903"/>
      <c r="BB104" s="1903"/>
      <c r="BC104" s="1903"/>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30"/>
      <c r="BO104" s="1730"/>
      <c r="BP104" s="1730"/>
      <c r="BQ104" s="227"/>
      <c r="BR104" s="227"/>
      <c r="BS104" s="1232" t="s">
        <v>1673</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M11584::ТЭ.42.26824396.0004::Неопределено::Неопределено::Неопределено::Неопределено::Неопределено</v>
      </c>
    </row>
    <row s="1619" customFormat="1" customHeight="1" ht="28.5">
      <c r="A105" s="225"/>
      <c r="B105" s="924"/>
      <c r="C105" s="1298" t="s">
        <v>1674</v>
      </c>
      <c r="D105" s="1257" t="s">
        <v>1675</v>
      </c>
      <c r="E105" s="794">
        <v>29.3</v>
      </c>
      <c r="F105" s="919" cm="1" t="str">
        <f t="array" ref="F105:F105">OFFSET(G105,-1,-1)</f>
        <v>1</v>
      </c>
      <c r="G105" s="190" t="s">
        <v>1536</v>
      </c>
      <c r="H105" s="227"/>
      <c r="I105" s="227"/>
      <c r="J105" s="227"/>
      <c r="K105" s="227"/>
      <c r="L105" s="190"/>
      <c r="M105" s="1281"/>
      <c r="N105" s="1281" cm="1" t="str">
        <f t="array" ref="N105:N105">OFFSET(M105,-1,1)</f>
        <v>ТЭ.42.26824396.0004</v>
      </c>
      <c r="O105" s="1282"/>
      <c r="P105" s="1282"/>
      <c r="Q105" s="1282"/>
      <c r="R105" s="1282"/>
      <c r="S105" s="1619"/>
      <c r="T105" s="805" cm="1" t="str">
        <f t="array" ref="T105:T105">T104</f>
        <v>true</v>
      </c>
      <c r="U105" s="1461"/>
      <c r="V105" s="1461"/>
      <c r="W105" s="1461"/>
      <c r="X105" s="1461"/>
      <c r="Y105" s="1461"/>
      <c r="Z105" s="1461"/>
      <c r="AA105" s="227"/>
      <c r="AB105" s="157" t="s">
        <v>651</v>
      </c>
      <c r="AC105" s="738" t="s">
        <v>1676</v>
      </c>
      <c r="AD105" s="485" t="s">
        <v>1019</v>
      </c>
      <c r="AE105" s="1903"/>
      <c r="AF105" s="1903"/>
      <c r="AG105" s="1903"/>
      <c r="AH105" s="307">
        <f>AG105-AF105</f>
        <v>0</v>
      </c>
      <c r="AI105" s="1903"/>
      <c r="AJ105" s="614">
        <f>_xlfn.SUMIFS('Корр Факт'!AH$27:AH$169,'Корр Факт'!$F$27:$F$169,$F105,'Корр Факт'!$G$27:$G$169,$G105)</f>
        <v>5525</v>
      </c>
      <c r="AK105" s="614"/>
      <c r="AL105" s="614"/>
      <c r="AM105" s="614"/>
      <c r="AN105" s="614"/>
      <c r="AO105" s="1903"/>
      <c r="AP105" s="1903"/>
      <c r="AQ105" s="1903"/>
      <c r="AR105" s="1903"/>
      <c r="AS105" s="1903"/>
      <c r="AT105" s="614">
        <f>_xlfn.SUMIFS('Корр Факт'!AN$27:AN$169,'Корр Факт'!$F$27:$F$169,$F105,'Корр Факт'!$G$27:$G$169,$G105)</f>
        <v>4955</v>
      </c>
      <c r="AU105" s="614"/>
      <c r="AV105" s="614"/>
      <c r="AW105" s="614"/>
      <c r="AX105" s="614"/>
      <c r="AY105" s="1903"/>
      <c r="AZ105" s="1903"/>
      <c r="BA105" s="1903"/>
      <c r="BB105" s="1903"/>
      <c r="BC105" s="1903"/>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30"/>
      <c r="BO105" s="1730"/>
      <c r="BP105" s="1730"/>
      <c r="BQ105" s="227"/>
      <c r="BR105" s="227"/>
      <c r="BS105" s="1232" t="s">
        <v>1677</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M11585::ТЭ.42.26824396.0004::Неопределено::Неопределено::Неопределено::Неопределено::Неопределено</v>
      </c>
    </row>
    <row s="1931" customFormat="1" customHeight="1" ht="63.75">
      <c r="A106" s="232"/>
      <c r="B106" s="232"/>
      <c r="C106" s="1298" t="s">
        <v>1678</v>
      </c>
      <c r="D106" s="1257" t="s">
        <v>1679</v>
      </c>
      <c r="E106" s="794">
        <v>66</v>
      </c>
      <c r="F106" s="919" cm="1" t="str">
        <f t="array" ref="F106:F106">OFFSET(G106,-1,-1)</f>
        <v>1</v>
      </c>
      <c r="G106" s="232"/>
      <c r="H106" s="232"/>
      <c r="I106" s="232"/>
      <c r="J106" s="232"/>
      <c r="K106" s="232"/>
      <c r="L106" s="232"/>
      <c r="M106" s="1281"/>
      <c r="N106" s="1281" cm="1" t="str">
        <f t="array" ref="N106:N106">OFFSET(M106,-1,1)</f>
        <v>ТЭ.42.26824396.0004</v>
      </c>
      <c r="O106" s="1283"/>
      <c r="P106" s="1283"/>
      <c r="Q106" s="1283"/>
      <c r="R106" s="1283"/>
      <c r="S106" s="232"/>
      <c r="T106" s="805" cm="1" t="str">
        <f t="array" ref="T106:T106">T105</f>
        <v>true</v>
      </c>
      <c r="U106" s="232"/>
      <c r="V106" s="232"/>
      <c r="W106" s="232"/>
      <c r="X106" s="232"/>
      <c r="Y106" s="232"/>
      <c r="Z106" s="232"/>
      <c r="AA106" s="232"/>
      <c r="AB106" s="157" t="s">
        <v>656</v>
      </c>
      <c r="AC106" s="610" t="s">
        <v>1680</v>
      </c>
      <c r="AD106" s="485" t="s">
        <v>1019</v>
      </c>
      <c r="AE106" s="1903"/>
      <c r="AF106" s="1903"/>
      <c r="AG106" s="1903"/>
      <c r="AH106" s="307">
        <f>AG106-AF106</f>
        <v>0</v>
      </c>
      <c r="AI106" s="1903"/>
      <c r="AJ106" s="614"/>
      <c r="AK106" s="614"/>
      <c r="AL106" s="614"/>
      <c r="AM106" s="614"/>
      <c r="AN106" s="614"/>
      <c r="AO106" s="1903"/>
      <c r="AP106" s="1903"/>
      <c r="AQ106" s="1903"/>
      <c r="AR106" s="1903"/>
      <c r="AS106" s="1903"/>
      <c r="AT106" s="614"/>
      <c r="AU106" s="614"/>
      <c r="AV106" s="614"/>
      <c r="AW106" s="614"/>
      <c r="AX106" s="614"/>
      <c r="AY106" s="1903"/>
      <c r="AZ106" s="1903"/>
      <c r="BA106" s="1903"/>
      <c r="BB106" s="1903"/>
      <c r="BC106" s="1903"/>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30"/>
      <c r="BO106" s="1730"/>
      <c r="BP106" s="1730"/>
      <c r="BQ106" s="232"/>
      <c r="BR106" s="232"/>
      <c r="BS106" s="1232" t="s">
        <v>1513</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M11583::ТЭ.42.26824396.0004::Неопределено::Неопределено::Неопределено::Неопределено::Неопределено</v>
      </c>
    </row>
    <row s="1932" customFormat="1" customHeight="1" ht="32.25">
      <c r="A107" s="232"/>
      <c r="B107" s="232"/>
      <c r="C107" s="1298" t="s">
        <v>1681</v>
      </c>
      <c r="D107" s="1257" t="s">
        <v>1682</v>
      </c>
      <c r="E107" s="794">
        <v>33.8</v>
      </c>
      <c r="F107" s="919" cm="1" t="str">
        <f t="array" ref="F107:F107">OFFSET(G107,-1,-1)</f>
        <v>1</v>
      </c>
      <c r="G107" s="232"/>
      <c r="H107" s="232"/>
      <c r="I107" s="232"/>
      <c r="J107" s="232"/>
      <c r="K107" s="232"/>
      <c r="L107" s="232"/>
      <c r="M107" s="1281"/>
      <c r="N107" s="1281" cm="1" t="str">
        <f t="array" ref="N107:N107">OFFSET(M107,-1,1)</f>
        <v>ТЭ.42.26824396.0004</v>
      </c>
      <c r="O107" s="1283"/>
      <c r="P107" s="1283"/>
      <c r="Q107" s="1283"/>
      <c r="R107" s="1283"/>
      <c r="S107" s="232"/>
      <c r="T107" s="805" cm="1" t="str">
        <f t="array" ref="T107:T107">T106</f>
        <v>true</v>
      </c>
      <c r="U107" s="232"/>
      <c r="V107" s="232"/>
      <c r="W107" s="232"/>
      <c r="X107" s="232"/>
      <c r="Y107" s="232"/>
      <c r="Z107" s="232"/>
      <c r="AA107" s="232"/>
      <c r="AB107" s="157" t="s">
        <v>664</v>
      </c>
      <c r="AC107" s="610" t="s">
        <v>1683</v>
      </c>
      <c r="AD107" s="485" t="s">
        <v>1019</v>
      </c>
      <c r="AE107" s="1903"/>
      <c r="AF107" s="1903"/>
      <c r="AG107" s="1903"/>
      <c r="AH107" s="307">
        <f>AG107-AF107</f>
        <v>0</v>
      </c>
      <c r="AI107" s="1903"/>
      <c r="AJ107" s="614"/>
      <c r="AK107" s="614"/>
      <c r="AL107" s="614"/>
      <c r="AM107" s="614"/>
      <c r="AN107" s="614"/>
      <c r="AO107" s="1903"/>
      <c r="AP107" s="1903"/>
      <c r="AQ107" s="1903"/>
      <c r="AR107" s="1903"/>
      <c r="AS107" s="1903"/>
      <c r="AT107" s="614"/>
      <c r="AU107" s="614"/>
      <c r="AV107" s="614"/>
      <c r="AW107" s="614"/>
      <c r="AX107" s="614"/>
      <c r="AY107" s="1903"/>
      <c r="AZ107" s="1903"/>
      <c r="BA107" s="1903"/>
      <c r="BB107" s="1903"/>
      <c r="BC107" s="1903"/>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30"/>
      <c r="BO107" s="1730"/>
      <c r="BP107" s="1730"/>
      <c r="BQ107" s="232"/>
      <c r="BR107" s="232"/>
      <c r="BS107" s="1232" t="s">
        <v>1684</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M10742::ТЭ.42.26824396.0004::Неопределено::Неопределено::Неопределено::Неопределено::Неопределено</v>
      </c>
    </row>
    <row s="1619" customFormat="1" customHeight="1" ht="61.5">
      <c r="A108" s="225"/>
      <c r="B108" s="924"/>
      <c r="C108" s="1298" t="s">
        <v>1685</v>
      </c>
      <c r="D108" s="1257" t="s">
        <v>1686</v>
      </c>
      <c r="E108" s="794">
        <v>63.8</v>
      </c>
      <c r="F108" s="919" cm="1" t="str">
        <f t="array" ref="F108:F108">OFFSET(G108,-1,-1)</f>
        <v>1</v>
      </c>
      <c r="G108" s="227"/>
      <c r="H108" s="227"/>
      <c r="I108" s="227"/>
      <c r="J108" s="227"/>
      <c r="K108" s="227"/>
      <c r="L108" s="190"/>
      <c r="M108" s="1281"/>
      <c r="N108" s="1281" cm="1" t="str">
        <f t="array" ref="N108:N108">OFFSET(M108,-1,1)</f>
        <v>ТЭ.42.26824396.0004</v>
      </c>
      <c r="O108" s="1282"/>
      <c r="P108" s="1282"/>
      <c r="Q108" s="1282"/>
      <c r="R108" s="1282"/>
      <c r="S108" s="1619"/>
      <c r="T108" s="805" cm="1" t="str">
        <f t="array" ref="T108:T108">T107</f>
        <v>true</v>
      </c>
      <c r="U108" s="1461"/>
      <c r="V108" s="1461"/>
      <c r="W108" s="1461"/>
      <c r="X108" s="1461"/>
      <c r="Y108" s="1461"/>
      <c r="Z108" s="1461"/>
      <c r="AA108" s="227"/>
      <c r="AB108" s="639" t="s">
        <v>688</v>
      </c>
      <c r="AC108" s="641" t="s">
        <v>1687</v>
      </c>
      <c r="AD108" s="496" t="s">
        <v>1019</v>
      </c>
      <c r="AE108" s="1933"/>
      <c r="AF108" s="1903"/>
      <c r="AG108" s="1903"/>
      <c r="AH108" s="307">
        <f>AG108-AF108</f>
        <v>0</v>
      </c>
      <c r="AI108" s="1903"/>
      <c r="AJ108" s="614"/>
      <c r="AK108" s="614"/>
      <c r="AL108" s="614"/>
      <c r="AM108" s="614"/>
      <c r="AN108" s="614"/>
      <c r="AO108" s="1903"/>
      <c r="AP108" s="1903"/>
      <c r="AQ108" s="1903"/>
      <c r="AR108" s="1903"/>
      <c r="AS108" s="1903"/>
      <c r="AT108" s="614"/>
      <c r="AU108" s="614"/>
      <c r="AV108" s="614"/>
      <c r="AW108" s="614"/>
      <c r="AX108" s="614"/>
      <c r="AY108" s="1903"/>
      <c r="AZ108" s="1903"/>
      <c r="BA108" s="1903"/>
      <c r="BB108" s="1903"/>
      <c r="BC108" s="1903"/>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41"/>
      <c r="BO108" s="1741"/>
      <c r="BP108" s="1741"/>
      <c r="BQ108" s="227"/>
      <c r="BR108" s="227"/>
      <c r="BS108" s="1232" t="s">
        <v>1688</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M10743::ТЭ.42.26824396.0004::Неопределено::Неопределено::Неопределено::Неопределено::Неопределено</v>
      </c>
    </row>
    <row s="1619" customFormat="1" customHeight="1" ht="16.5">
      <c r="A109" s="225"/>
      <c r="B109" s="924"/>
      <c r="C109" s="1298" t="s">
        <v>1689</v>
      </c>
      <c r="D109" s="1257" t="s">
        <v>1690</v>
      </c>
      <c r="E109" s="794">
        <v>17.1</v>
      </c>
      <c r="F109" s="919" cm="1" t="str">
        <f t="array" ref="F109:F109">OFFSET(G109,-1,-1)</f>
        <v>1</v>
      </c>
      <c r="G109" s="227"/>
      <c r="H109" s="227"/>
      <c r="I109" s="227"/>
      <c r="J109" s="227"/>
      <c r="K109" s="227"/>
      <c r="L109" s="190"/>
      <c r="M109" s="1281"/>
      <c r="N109" s="1281" cm="1" t="str">
        <f t="array" ref="N109:N109">OFFSET(M109,-1,1)</f>
        <v>ТЭ.42.26824396.0004</v>
      </c>
      <c r="O109" s="1282"/>
      <c r="P109" s="1282"/>
      <c r="Q109" s="1282"/>
      <c r="R109" s="1282"/>
      <c r="S109" s="1619"/>
      <c r="T109" s="805" cm="1" t="str">
        <f t="array" ref="T109:T109">T108</f>
        <v>true</v>
      </c>
      <c r="U109" s="1461"/>
      <c r="V109" s="1461"/>
      <c r="W109" s="1461"/>
      <c r="X109" s="1461"/>
      <c r="Y109" s="1461"/>
      <c r="Z109" s="1461"/>
      <c r="AA109" s="227"/>
      <c r="AB109" s="157" t="s">
        <v>696</v>
      </c>
      <c r="AC109" s="610" t="s">
        <v>1691</v>
      </c>
      <c r="AD109" s="651" t="s">
        <v>1019</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42"/>
      <c r="BO109" s="1742"/>
      <c r="BP109" s="1742"/>
      <c r="BQ109" s="227"/>
      <c r="BR109" s="227"/>
      <c r="BS109" s="1232" t="s">
        <v>1268</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M10895::ТЭ.42.26824396.0004::Неопределено::Неопределено::Неопределено::Неопределено::Неопределено</v>
      </c>
    </row>
    <row s="1934"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ТЭ.42.26824396.0004</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19" customFormat="1" customHeight="1" ht="16.5" hidden="1">
      <c r="A111" s="225"/>
      <c r="B111" s="924"/>
      <c r="C111" s="1298" t="s">
        <v>1689</v>
      </c>
      <c r="D111" s="1257" t="s">
        <v>1690</v>
      </c>
      <c r="E111" s="794">
        <v>17.1</v>
      </c>
      <c r="F111" s="919" cm="1" t="str">
        <f t="array" ref="F111:F111">OFFSET(G111,-1,-1)</f>
        <v>1</v>
      </c>
      <c r="G111" s="227"/>
      <c r="H111" s="227"/>
      <c r="I111" s="227"/>
      <c r="J111" s="227"/>
      <c r="K111" s="227"/>
      <c r="L111" s="190"/>
      <c r="M111" s="1285" cm="1" t="str">
        <f t="array" ref="M111:M111">AC111</f>
        <v>0</v>
      </c>
      <c r="N111" s="1281" cm="1" t="str">
        <f t="array" ref="N111:N111">OFFSET(M111,-1,1)</f>
        <v>ТЭ.42.26824396.0004</v>
      </c>
      <c r="O111" s="1282"/>
      <c r="P111" s="1282"/>
      <c r="Q111" s="1282"/>
      <c r="R111" s="1282"/>
      <c r="S111" s="1619"/>
      <c r="T111" s="805">
        <f>AND(F111&gt;0,Y111&gt;0)</f>
        <v>0</v>
      </c>
      <c r="U111" s="1461"/>
      <c r="V111" s="1461"/>
      <c r="W111" s="172" t="s">
        <v>233</v>
      </c>
      <c r="X111" s="1461"/>
      <c r="Y111" s="172">
        <v>0</v>
      </c>
      <c r="Z111" s="1461"/>
      <c r="AA111" s="1120" t="s">
        <v>217</v>
      </c>
      <c r="AB111" s="639" t="str">
        <f>"11."&amp;Y111</f>
        <v>11.0</v>
      </c>
      <c r="AC111" s="131"/>
      <c r="AD111" s="651" t="s">
        <v>1019</v>
      </c>
      <c r="AE111" s="121"/>
      <c r="AF111" s="121"/>
      <c r="AG111" s="132"/>
      <c r="AH111" s="307">
        <f>AG111-AF111</f>
        <v>0</v>
      </c>
      <c r="AI111" s="133"/>
      <c r="AJ111" s="614"/>
      <c r="AK111" s="614"/>
      <c r="AL111" s="614"/>
      <c r="AM111" s="614"/>
      <c r="AN111" s="614"/>
      <c r="AO111" s="121"/>
      <c r="AP111" s="121"/>
      <c r="AQ111" s="121"/>
      <c r="AR111" s="121"/>
      <c r="AS111" s="121"/>
      <c r="AT111" s="614"/>
      <c r="AU111" s="614"/>
      <c r="AV111" s="614"/>
      <c r="AW111" s="614"/>
      <c r="AX111" s="614"/>
      <c r="AY111" s="121"/>
      <c r="AZ111" s="121"/>
      <c r="BA111" s="121"/>
      <c r="BB111" s="121"/>
      <c r="BC111" s="121"/>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9"/>
      <c r="BO111" s="79"/>
      <c r="BP111" s="79"/>
      <c r="BQ111" s="227"/>
      <c r="BR111" s="227"/>
      <c r="BS111" s="1232" t="s">
        <v>1268</v>
      </c>
      <c r="BT111" s="1232" t="s">
        <v>1196</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M10895::ТЭ.42.26824396.0004::0::Неопределено::Неопределено::Неопределено::Неопределено</v>
      </c>
    </row>
    <row s="1935" customFormat="1" customHeight="1" ht="16.5">
      <c r="A112" s="643"/>
      <c r="B112" s="643"/>
      <c r="C112" s="1298"/>
      <c r="D112" s="1257"/>
      <c r="E112" s="794">
        <v>17.1</v>
      </c>
      <c r="F112" s="919" cm="1" t="str">
        <f t="array" ref="F112:F112">OFFSET(G112,-1,-1)</f>
        <v>1</v>
      </c>
      <c r="G112" s="643"/>
      <c r="H112" s="643"/>
      <c r="I112" s="643"/>
      <c r="J112" s="643"/>
      <c r="K112" s="643"/>
      <c r="L112" s="643"/>
      <c r="M112" s="1281"/>
      <c r="N112" s="1281" cm="1" t="str">
        <f t="array" ref="N112:N112">OFFSET(M112,-1,1)</f>
        <v>ТЭ.42.26824396.0004</v>
      </c>
      <c r="O112" s="1284"/>
      <c r="P112" s="1284"/>
      <c r="Q112" s="1284"/>
      <c r="R112" s="1284"/>
      <c r="S112" s="1383"/>
      <c r="T112" s="805">
        <f>F112&gt;0</f>
        <v>1</v>
      </c>
      <c r="U112" s="643"/>
      <c r="V112" s="643"/>
      <c r="W112" s="371" t="s">
        <v>1692</v>
      </c>
      <c r="X112" s="643"/>
      <c r="Y112" s="643"/>
      <c r="Z112" s="643"/>
      <c r="AA112" s="643"/>
      <c r="AB112" s="299"/>
      <c r="AC112" s="732" t="s">
        <v>235</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3"/>
      <c r="BO112" s="1103"/>
      <c r="BP112" s="1098"/>
      <c r="BQ112" s="643"/>
      <c r="BR112" s="643"/>
      <c r="BS112" s="1232" t="str">
        <f>IF(AND(ISNUMBER(VALUE(TRIM(SUBSTITUTE(AB112,".","")))),TRIM(SUBSTITUTE(AB112,".",""))&lt;&gt;""),"P"&amp;SUBSTITUTE(AB112,".",""),"")</f>
        <v/>
      </c>
      <c r="BT112" s="1245"/>
      <c r="BU112" s="1245"/>
      <c r="BV112" s="1246" t="s">
        <v>1196</v>
      </c>
      <c r="BW112" s="1246"/>
      <c r="BX112" s="1268"/>
    </row>
    <row s="1619" customFormat="1" customHeight="1" ht="14.25">
      <c r="A113" s="225"/>
      <c r="B113" s="924"/>
      <c r="C113" s="1298" t="s">
        <v>1693</v>
      </c>
      <c r="D113" s="1257" t="s">
        <v>1694</v>
      </c>
      <c r="E113" s="794">
        <v>15</v>
      </c>
      <c r="F113" s="919" cm="1" t="str">
        <f t="array" ref="F113:F113">OFFSET(G113,-1,-1)</f>
        <v>1</v>
      </c>
      <c r="G113" s="227"/>
      <c r="H113" s="227"/>
      <c r="I113" s="227"/>
      <c r="J113" s="227"/>
      <c r="K113" s="227"/>
      <c r="L113" s="190"/>
      <c r="M113" s="1281"/>
      <c r="N113" s="1281" cm="1" t="str">
        <f t="array" ref="N113:N113">OFFSET(M113,-1,1)</f>
        <v>ТЭ.42.26824396.0004</v>
      </c>
      <c r="O113" s="1282"/>
      <c r="P113" s="1282"/>
      <c r="Q113" s="1282"/>
      <c r="R113" s="1282"/>
      <c r="S113" s="1619"/>
      <c r="T113" s="805" cm="1" t="str">
        <f t="array" ref="T113:T113">T112</f>
        <v>true</v>
      </c>
      <c r="U113" s="1461"/>
      <c r="V113" s="1461"/>
      <c r="W113" s="1461"/>
      <c r="X113" s="1461"/>
      <c r="Y113" s="1461"/>
      <c r="Z113" s="1461"/>
      <c r="AA113" s="227"/>
      <c r="AB113" s="646" t="s">
        <v>1695</v>
      </c>
      <c r="AC113" s="647" t="s">
        <v>1696</v>
      </c>
      <c r="AD113" s="661" t="s">
        <v>1019</v>
      </c>
      <c r="AE113" s="612">
        <f>AE83+AE84+AE85+IF(method_reg="Метод индексации",AE98+AE102,AE86+AE89)+AE104+AE105+AE106+AE107+AE108+AE109</f>
        <v>0</v>
      </c>
      <c r="AF113" s="612">
        <f>AF83+AF84+AF85+IF(method_reg="Метод индексации",AF98+AF102,AF86+AF89)+AF104+AF105+AF106+AF107+AF108+AF109</f>
        <v>0</v>
      </c>
      <c r="AG113" s="612">
        <f>AG83+AG84+AG85+IF(method_reg="Метод индексации",AG98+AG102,AG86+AG89)+AG104+AG105+AG106+AG107+AG108+AG109</f>
        <v>0</v>
      </c>
      <c r="AH113" s="307">
        <f>AG113-AF113</f>
        <v>0</v>
      </c>
      <c r="AI113" s="612">
        <f>AI83+AI84+AI85+IF(method_reg="Метод индексации",AI98+AI102,AI86+AI89)+AI104+AI105+AI106+AI107+AI108+AI109</f>
        <v>0</v>
      </c>
      <c r="AJ113" s="612">
        <f>AJ83+AJ84+AJ85+IF(method_reg="Метод индексации",AJ98+AJ102,AJ86+AJ89)+AJ104+AJ105+AJ106+AJ107+AJ108+AJ109</f>
        <v>19504.9999135</v>
      </c>
      <c r="AK113" s="612">
        <f>AK83+AK84+AK85+IF(method_reg="Метод индексации",AK98+AK102,AK86+AK89)+AK104+AK105+AK106+AK107+AK108+AK109</f>
        <v>13971.496001632</v>
      </c>
      <c r="AL113" s="612">
        <f>AL83+AL84+AL85+IF(method_reg="Метод индексации",AL98+AL102,AL86+AL89)+AL104+AL105+AL106+AL107+AL108+AL109</f>
        <v>14458.5846456539</v>
      </c>
      <c r="AM113" s="612">
        <f>AM83+AM84+AM85+IF(method_reg="Метод индексации",AM98+AM102,AM86+AM89)+AM104+AM105+AM106+AM107+AM108+AM109</f>
        <v>14921.3384569609</v>
      </c>
      <c r="AN113" s="612">
        <f>AN83+AN84+AN85+IF(method_reg="Метод индексации",AN98+AN102,AN86+AN89)+AN104+AN105+AN106+AN107+AN108+AN109</f>
        <v>15423.8431111401</v>
      </c>
      <c r="AO113" s="612">
        <f>AO83+AO84+AO85+IF(method_reg="Метод индексации",AO98+AO102,AO86+AO89)+AO104+AO105+AO106+AO107+AO108+AO109</f>
        <v>3288.62041263371</v>
      </c>
      <c r="AP113" s="612">
        <f>AP83+AP84+AP85+IF(method_reg="Метод индексации",AP98+AP102,AP86+AP89)+AP104+AP105+AP106+AP107+AP108+AP109</f>
        <v>3255.73420850737</v>
      </c>
      <c r="AQ113" s="612">
        <f>AQ83+AQ84+AQ85+IF(method_reg="Метод индексации",AQ98+AQ102,AQ86+AQ89)+AQ104+AQ105+AQ106+AQ107+AQ108+AQ109</f>
        <v>3223.1768664223</v>
      </c>
      <c r="AR113" s="612">
        <f>AR83+AR84+AR85+IF(method_reg="Метод индексации",AR98+AR102,AR86+AR89)+AR104+AR105+AR106+AR107+AR108+AR109</f>
        <v>3190.94509775808</v>
      </c>
      <c r="AS113" s="612">
        <f>AS83+AS84+AS85+IF(method_reg="Метод индексации",AS98+AS102,AS86+AS89)+AS104+AS105+AS106+AS107+AS108+AS109</f>
        <v>3159.0356467805</v>
      </c>
      <c r="AT113" s="612">
        <f>AT83+AT84+AT85+IF(method_reg="Метод индексации",AT98+AT102,AT86+AT89)+AT104+AT105+AT106+AT107+AT108+AT109</f>
        <v>15780.0451614893</v>
      </c>
      <c r="AU113" s="612">
        <f>AU83+AU84+AU85+IF(method_reg="Метод индексации",AU98+AU102,AU86+AU89)+AU104+AU105+AU106+AU107+AU108+AU109</f>
        <v>11281.1493672983</v>
      </c>
      <c r="AV113" s="612">
        <f>AV83+AV84+AV85+IF(method_reg="Метод индексации",AV98+AV102,AV86+AV89)+AV104+AV105+AV106+AV107+AV108+AV109</f>
        <v>11289.3485101439</v>
      </c>
      <c r="AW113" s="612">
        <f>AW83+AW84+AW85+IF(method_reg="Метод индексации",AW98+AW102,AW86+AW89)+AW104+AW105+AW106+AW107+AW108+AW109</f>
        <v>11671.9780981482</v>
      </c>
      <c r="AX113" s="612">
        <f>AX83+AX84+AX85+IF(method_reg="Метод индексации",AX98+AX102,AX86+AX89)+AX104+AX105+AX106+AX107+AX108+AX109</f>
        <v>12064.1588090947</v>
      </c>
      <c r="AY113" s="612">
        <f>AY83+AY84+AY85+IF(method_reg="Метод индексации",AY98+AY102,AY86+AY89)+AY104+AY105+AY106+AY107+AY108+AY109</f>
        <v>1820.08893017126</v>
      </c>
      <c r="AZ113" s="612">
        <f>AZ83+AZ84+AZ85+IF(method_reg="Метод индексации",AZ98+AZ102,AZ86+AZ89)+AZ104+AZ105+AZ106+AZ107+AZ108+AZ109</f>
        <v>1801.88804086955</v>
      </c>
      <c r="BA113" s="612">
        <f>BA83+BA84+BA85+IF(method_reg="Метод индексации",BA98+BA102,BA86+BA89)+BA104+BA105+BA106+BA107+BA108+BA109</f>
        <v>1783.86916046085</v>
      </c>
      <c r="BB113" s="612">
        <f>BB83+BB84+BB85+IF(method_reg="Метод индексации",BB98+BB102,BB86+BB89)+BB104+BB105+BB106+BB107+BB108+BB109</f>
        <v>1766.03046885624</v>
      </c>
      <c r="BC113" s="612">
        <f>BC83+BC84+BC85+IF(method_reg="Метод индексации",BC98+BC102,BC86+BC89)+BC104+BC105+BC106+BC107+BC108+BC109</f>
        <v>1748.37016416768</v>
      </c>
      <c r="BD113" s="307">
        <f>IF(AI113=0,0,(AT113-AI113)/AI113*100)</f>
        <v>0</v>
      </c>
      <c r="BE113" s="307">
        <f>IF(AT113=0,0,(AU113-AT113)/AT113*100)</f>
        <v>-28.5100311700654</v>
      </c>
      <c r="BF113" s="307">
        <f>IF(AU113=0,0,(AV113-AU113)/AU113*100)</f>
        <v>0.0726800308962132</v>
      </c>
      <c r="BG113" s="307">
        <f>IF(AV113=0,0,(AW113-AV113)/AV113*100)</f>
        <v>3.38929733332701</v>
      </c>
      <c r="BH113" s="307">
        <f>IF(AW113=0,0,(AX113-AW113)/AW113*100)</f>
        <v>3.36001924993949</v>
      </c>
      <c r="BI113" s="307">
        <f>IF(AX113=0,0,(AY113-AX113)/AX113*100)</f>
        <v>-84.9132545503366</v>
      </c>
      <c r="BJ113" s="307">
        <f>IF(AY113=0,0,(AZ113-AY113)/AY113*100)</f>
        <v>-0.99999999999986</v>
      </c>
      <c r="BK113" s="307">
        <f>IF(AZ113=0,0,(BA113-AZ113)/AZ113*100)</f>
        <v>-1.0000000000003</v>
      </c>
      <c r="BL113" s="307">
        <f>IF(BA113=0,0,(BB113-BA113)/BA113*100)</f>
        <v>-1.0000000000001</v>
      </c>
      <c r="BM113" s="307">
        <f>IF(BB113=0,0,(BC113-BB113)/BB113*100)</f>
        <v>-0.99999999999986</v>
      </c>
      <c r="BN113" s="1743"/>
      <c r="BO113" s="1743"/>
      <c r="BP113" s="1743"/>
      <c r="BQ113" s="227"/>
      <c r="BR113" s="227"/>
      <c r="BS113" s="1232" t="s">
        <v>1697</v>
      </c>
      <c r="BT113" s="1232"/>
      <c r="BU113" s="1232"/>
      <c r="BV113" s="1233"/>
      <c r="BW113" s="1233"/>
      <c r="BX113" s="1268"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M10655::ТЭ.42.26824396.0004::Неопределено::Неопределено::Неопределено::Неопределено::Неопределено</v>
      </c>
    </row>
    <row s="1619" customFormat="1" customHeight="1" ht="48.75">
      <c r="A114" s="225"/>
      <c r="B114" s="924"/>
      <c r="C114" s="1327" t="s">
        <v>1698</v>
      </c>
      <c r="D114" s="1257" t="s">
        <v>1699</v>
      </c>
      <c r="E114" s="794">
        <v>50</v>
      </c>
      <c r="F114" s="919" cm="1" t="str">
        <f t="array" ref="F114:F114">OFFSET(G114,-1,-1)</f>
        <v>1</v>
      </c>
      <c r="G114" s="227"/>
      <c r="H114" s="227"/>
      <c r="I114" s="227"/>
      <c r="J114" s="227"/>
      <c r="K114" s="227"/>
      <c r="L114" s="190"/>
      <c r="M114" s="1281"/>
      <c r="N114" s="1281" cm="1" t="str">
        <f t="array" ref="N114:N114">OFFSET(M114,-1,1)</f>
        <v>ТЭ.42.26824396.0004</v>
      </c>
      <c r="O114" s="1282"/>
      <c r="P114" s="1282"/>
      <c r="Q114" s="1282"/>
      <c r="R114" s="1282"/>
      <c r="S114" s="1619"/>
      <c r="T114" s="805" cm="1" t="str">
        <f t="array" ref="T114:T114">T113</f>
        <v>true</v>
      </c>
      <c r="U114" s="1461"/>
      <c r="V114" s="1461"/>
      <c r="W114" s="1461"/>
      <c r="X114" s="1461"/>
      <c r="Y114" s="1461"/>
      <c r="Z114" s="1461"/>
      <c r="AA114" s="227"/>
      <c r="AB114" s="640" t="s">
        <v>1700</v>
      </c>
      <c r="AC114" s="1083" t="s">
        <v>1698</v>
      </c>
      <c r="AD114" s="651" t="s">
        <v>1019</v>
      </c>
      <c r="AE114" s="1936"/>
      <c r="AF114" s="1936"/>
      <c r="AG114" s="1936"/>
      <c r="AH114" s="307">
        <f>AG114-AF114</f>
        <v>0</v>
      </c>
      <c r="AI114" s="1936"/>
      <c r="AJ114" s="665"/>
      <c r="AK114" s="665"/>
      <c r="AL114" s="665"/>
      <c r="AM114" s="665"/>
      <c r="AN114" s="665"/>
      <c r="AO114" s="1936"/>
      <c r="AP114" s="1936"/>
      <c r="AQ114" s="1936"/>
      <c r="AR114" s="1936"/>
      <c r="AS114" s="1936"/>
      <c r="AT114" s="665">
        <v>-7335.078</v>
      </c>
      <c r="AU114" s="665"/>
      <c r="AV114" s="665"/>
      <c r="AW114" s="665"/>
      <c r="AX114" s="665"/>
      <c r="AY114" s="1936"/>
      <c r="AZ114" s="1936"/>
      <c r="BA114" s="1936"/>
      <c r="BB114" s="1936"/>
      <c r="BC114" s="1936"/>
      <c r="BD114" s="307">
        <f>IF(AI114=0,0,(AT114-AI114)/AI114*100)</f>
        <v>0</v>
      </c>
      <c r="BE114" s="307">
        <f>IF(AT114=0,0,(AU114-AT114)/AT114*100)</f>
        <v>-100</v>
      </c>
      <c r="BF114" s="307">
        <f>IF(AU114=0,0,(AV114-AU114)/AU114*100)</f>
        <v>0</v>
      </c>
      <c r="BG114" s="307">
        <f>IF(AV114=0,0,(AW114-AV114)/AV114*100)</f>
        <v>0</v>
      </c>
      <c r="BH114" s="307">
        <f>IF(AW114=0,0,(AX114-AW114)/AW114*100)</f>
        <v>0</v>
      </c>
      <c r="BI114" s="307">
        <f>IF(AX114=0,0,(AY114-AX114)/AX114*100)</f>
        <v>0</v>
      </c>
      <c r="BJ114" s="307">
        <f>IF(AY114=0,0,(AZ114-AY114)/AY114*100)</f>
        <v>0</v>
      </c>
      <c r="BK114" s="307">
        <f>IF(AZ114=0,0,(BA114-AZ114)/AZ114*100)</f>
        <v>0</v>
      </c>
      <c r="BL114" s="307">
        <f>IF(BA114=0,0,(BB114-BA114)/BA114*100)</f>
        <v>0</v>
      </c>
      <c r="BM114" s="307">
        <f>IF(BB114=0,0,(BC114-BB114)/BB114*100)</f>
        <v>0</v>
      </c>
      <c r="BN114" s="1743"/>
      <c r="BO114" s="1743"/>
      <c r="BP114" s="1743"/>
      <c r="BQ114" s="227"/>
      <c r="BR114" s="227"/>
      <c r="BS114" s="1232" t="s">
        <v>1701</v>
      </c>
      <c r="BT114" s="1232"/>
      <c r="BU114" s="1232"/>
      <c r="BV114" s="1233"/>
      <c r="BW114" s="1233"/>
      <c r="BX114" s="1268"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M11579::ТЭ.42.26824396.0004::Неопределено::Неопределено::Неопределено::Неопределено::Неопределено</v>
      </c>
    </row>
    <row s="1619" customFormat="1" customHeight="1" ht="14.25">
      <c r="A115" s="225"/>
      <c r="B115" s="924"/>
      <c r="C115" s="1298" t="s">
        <v>1702</v>
      </c>
      <c r="D115" s="1257" t="s">
        <v>1703</v>
      </c>
      <c r="E115" s="794">
        <v>15</v>
      </c>
      <c r="F115" s="919" cm="1" t="str">
        <f t="array" ref="F115:F115">OFFSET(G115,-1,-1)</f>
        <v>1</v>
      </c>
      <c r="G115" s="190" t="s">
        <v>1704</v>
      </c>
      <c r="H115" s="227"/>
      <c r="I115" s="227"/>
      <c r="J115" s="227"/>
      <c r="K115" s="227"/>
      <c r="L115" s="190"/>
      <c r="M115" s="1281"/>
      <c r="N115" s="1281" cm="1" t="str">
        <f t="array" ref="N115:N115">OFFSET(M115,-1,1)</f>
        <v>ТЭ.42.26824396.0004</v>
      </c>
      <c r="O115" s="1286"/>
      <c r="P115" s="1282"/>
      <c r="Q115" s="1282"/>
      <c r="R115" s="1286"/>
      <c r="S115" s="1619"/>
      <c r="T115" s="805" cm="1" t="str">
        <f t="array" ref="T115:T115">T114</f>
        <v>true</v>
      </c>
      <c r="U115" s="1461"/>
      <c r="V115" s="1461"/>
      <c r="W115" s="1461"/>
      <c r="X115" s="1461"/>
      <c r="Y115" s="1461"/>
      <c r="Z115" s="1461"/>
      <c r="AA115" s="227"/>
      <c r="AB115" s="646" t="s">
        <v>1705</v>
      </c>
      <c r="AC115" s="1070" t="s">
        <v>1706</v>
      </c>
      <c r="AD115" s="651" t="s">
        <v>1019</v>
      </c>
      <c r="AE115" s="691">
        <f>AE113+AE114</f>
        <v>0</v>
      </c>
      <c r="AF115" s="691">
        <f>AF113+AF114</f>
        <v>0</v>
      </c>
      <c r="AG115" s="691">
        <f>AG113+AG114</f>
        <v>0</v>
      </c>
      <c r="AH115" s="307">
        <f>AG115-AF115</f>
        <v>0</v>
      </c>
      <c r="AI115" s="691">
        <f>AI113+AI114</f>
        <v>0</v>
      </c>
      <c r="AJ115" s="691">
        <f>AJ113+AJ114</f>
        <v>19504.9999135</v>
      </c>
      <c r="AK115" s="691">
        <f>AK113+AK114</f>
        <v>13971.496001632</v>
      </c>
      <c r="AL115" s="691">
        <f>AL113+AL114</f>
        <v>14458.5846456539</v>
      </c>
      <c r="AM115" s="691">
        <f>AM113+AM114</f>
        <v>14921.3384569609</v>
      </c>
      <c r="AN115" s="691">
        <f>AN113+AN114</f>
        <v>15423.8431111401</v>
      </c>
      <c r="AO115" s="691">
        <f>AO113+AO114</f>
        <v>3288.62041263371</v>
      </c>
      <c r="AP115" s="691">
        <f>AP113+AP114</f>
        <v>3255.73420850737</v>
      </c>
      <c r="AQ115" s="691">
        <f>AQ113+AQ114</f>
        <v>3223.1768664223</v>
      </c>
      <c r="AR115" s="691">
        <f>AR113+AR114</f>
        <v>3190.94509775808</v>
      </c>
      <c r="AS115" s="691">
        <f>AS113+AS114</f>
        <v>3159.0356467805</v>
      </c>
      <c r="AT115" s="691">
        <f>AT113+AT114</f>
        <v>8444.9671614893</v>
      </c>
      <c r="AU115" s="691">
        <f>AU113+AU114</f>
        <v>11281.1493672983</v>
      </c>
      <c r="AV115" s="691">
        <f>AV113+AV114</f>
        <v>11289.3485101439</v>
      </c>
      <c r="AW115" s="691">
        <f>AW113+AW114</f>
        <v>11671.9780981482</v>
      </c>
      <c r="AX115" s="691">
        <f>AX113+AX114</f>
        <v>12064.1588090947</v>
      </c>
      <c r="AY115" s="691">
        <f>AY113+AY114</f>
        <v>1820.08893017126</v>
      </c>
      <c r="AZ115" s="691">
        <f>AZ113+AZ114</f>
        <v>1801.88804086955</v>
      </c>
      <c r="BA115" s="691">
        <f>BA113+BA114</f>
        <v>1783.86916046085</v>
      </c>
      <c r="BB115" s="691">
        <f>BB113+BB114</f>
        <v>1766.03046885624</v>
      </c>
      <c r="BC115" s="691">
        <f>BC113+BC114</f>
        <v>1748.37016416768</v>
      </c>
      <c r="BD115" s="307">
        <f>IF(AI115=0,0,(AT115-AI115)/AI115*100)</f>
        <v>0</v>
      </c>
      <c r="BE115" s="307">
        <f>IF(AT115=0,0,(AU115-AT115)/AT115*100)</f>
        <v>33.5842893355766</v>
      </c>
      <c r="BF115" s="307">
        <f>IF(AU115=0,0,(AV115-AU115)/AU115*100)</f>
        <v>0.0726800308962132</v>
      </c>
      <c r="BG115" s="307">
        <f>IF(AV115=0,0,(AW115-AV115)/AV115*100)</f>
        <v>3.38929733332701</v>
      </c>
      <c r="BH115" s="307">
        <f>IF(AW115=0,0,(AX115-AW115)/AW115*100)</f>
        <v>3.36001924993949</v>
      </c>
      <c r="BI115" s="307">
        <f>IF(AX115=0,0,(AY115-AX115)/AX115*100)</f>
        <v>-84.9132545503366</v>
      </c>
      <c r="BJ115" s="307">
        <f>IF(AY115=0,0,(AZ115-AY115)/AY115*100)</f>
        <v>-0.99999999999986</v>
      </c>
      <c r="BK115" s="307">
        <f>IF(AZ115=0,0,(BA115-AZ115)/AZ115*100)</f>
        <v>-1.0000000000003</v>
      </c>
      <c r="BL115" s="307">
        <f>IF(BA115=0,0,(BB115-BA115)/BA115*100)</f>
        <v>-1.0000000000001</v>
      </c>
      <c r="BM115" s="307">
        <f>IF(BB115=0,0,(BC115-BB115)/BB115*100)</f>
        <v>-0.99999999999986</v>
      </c>
      <c r="BN115" s="1743"/>
      <c r="BO115" s="1743"/>
      <c r="BP115" s="1743"/>
      <c r="BQ115" s="227"/>
      <c r="BR115" s="227"/>
      <c r="BS115" s="1232" t="s">
        <v>1707</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M11580::ТЭ.42.26824396.0004::Неопределено::Неопределено::Неопределено::Неопределено::Неопределено</v>
      </c>
    </row>
    <row s="1619" customFormat="1" customHeight="1" ht="14.25" hidden="1">
      <c r="A116" s="225"/>
      <c r="B116" s="924"/>
      <c r="C116" s="1327" t="s">
        <v>1708</v>
      </c>
      <c r="D116" s="1257" t="s">
        <v>1709</v>
      </c>
      <c r="E116" s="794">
        <v>15</v>
      </c>
      <c r="F116" s="919" cm="1" t="str">
        <f t="array" ref="F116:F116">OFFSET(G116,-1,-1)</f>
        <v>1</v>
      </c>
      <c r="G116" s="190" t="s">
        <v>962</v>
      </c>
      <c r="H116" s="227"/>
      <c r="I116" s="227"/>
      <c r="J116" s="227"/>
      <c r="K116" s="227"/>
      <c r="L116" s="190" t="s">
        <v>1710</v>
      </c>
      <c r="M116" s="1281"/>
      <c r="N116" s="1281" cm="1" t="str">
        <f t="array" ref="N116:N116">OFFSET(M116,-1,1)</f>
        <v>ТЭ.42.26824396.0004</v>
      </c>
      <c r="O116" s="1286"/>
      <c r="P116" s="1282"/>
      <c r="Q116" s="1282"/>
      <c r="R116" s="1286"/>
      <c r="S116" s="1619"/>
      <c r="T116" s="805">
        <f>AND(F116&gt;0,G82="двухставочный")</f>
        <v>0</v>
      </c>
      <c r="U116" s="1461"/>
      <c r="V116" s="1461"/>
      <c r="W116" s="1461"/>
      <c r="X116" s="1461"/>
      <c r="Y116" s="1461"/>
      <c r="Z116" s="1461"/>
      <c r="AA116" s="227"/>
      <c r="AB116" s="660" t="str">
        <f>AB115&amp;".1"</f>
        <v>14.1</v>
      </c>
      <c r="AC116" s="616" t="s">
        <v>1711</v>
      </c>
      <c r="AD116" s="309" t="s">
        <v>805</v>
      </c>
      <c r="AE116" s="121">
        <f>_xlfn.SUMIFS('Ресурсы (5.4)'!AE$26:AE$57,'Ресурсы (5.4)'!$F$26:$F$57,$F116,'Ресурсы (5.4)'!$AB$26:$AB$57,"6.1")</f>
        <v>0</v>
      </c>
      <c r="AF116" s="121">
        <f>_xlfn.SUMIFS('Ресурсы (5.4)'!AF$26:AF$57,'Ресурсы (5.4)'!$F$26:$F$57,$F116,'Ресурсы (5.4)'!$AB$26:$AB$57,"6.1")</f>
        <v>0</v>
      </c>
      <c r="AG116" s="121">
        <f>_xlfn.SUMIFS('Ресурсы (5.4)'!AG$26:AG$57,'Ресурсы (5.4)'!$F$26:$F$57,$F116,'Ресурсы (5.4)'!$AB$26:$AB$57,"6.1")</f>
        <v>0</v>
      </c>
      <c r="AH116" s="307">
        <f>AG116-AF116</f>
        <v>0</v>
      </c>
      <c r="AI116" s="121">
        <f>_xlfn.SUMIFS('Ресурсы (5.4)'!AI$26:AI$57,'Ресурсы (5.4)'!$F$26:$F$57,$F116,'Ресурсы (5.4)'!$AB$26:$AB$57,"6.1")</f>
        <v>0</v>
      </c>
      <c r="AJ116" s="614">
        <f>_xlfn.SUMIFS('Ресурсы (5.4)'!AJ$26:AJ$57,'Ресурсы (5.4)'!$F$26:$F$57,$F116,'Ресурсы (5.4)'!$AB$26:$AB$57,"6.1")</f>
        <v>4485.9999935</v>
      </c>
      <c r="AK116" s="614">
        <f>_xlfn.SUMIFS('Ресурсы (5.4)'!AK$26:AK$57,'Ресурсы (5.4)'!$F$26:$F$57,$F116,'Ресурсы (5.4)'!$AB$26:$AB$57,"6.1")</f>
        <v>4735.998484</v>
      </c>
      <c r="AL116" s="614">
        <f>_xlfn.SUMIFS('Ресурсы (5.4)'!AL$26:AL$57,'Ресурсы (5.4)'!$F$26:$F$57,$F116,'Ресурсы (5.4)'!$AB$26:$AB$57,"6.1")</f>
        <v>4914.9996015</v>
      </c>
      <c r="AM116" s="614">
        <f>_xlfn.SUMIFS('Ресурсы (5.4)'!AM$26:AM$57,'Ресурсы (5.4)'!$F$26:$F$57,$F116,'Ресурсы (5.4)'!$AB$26:$AB$57,"6.1")</f>
        <v>5100.9992955</v>
      </c>
      <c r="AN116" s="614">
        <f>_xlfn.SUMIFS('Ресурсы (5.4)'!AN$26:AN$57,'Ресурсы (5.4)'!$F$26:$F$57,$F116,'Ресурсы (5.4)'!$AB$26:$AB$57,"6.1")</f>
        <v>5295.0043105</v>
      </c>
      <c r="AO116" s="121">
        <f>_xlfn.SUMIFS('Ресурсы (5.4)'!AO$26:AO$57,'Ресурсы (5.4)'!$F$26:$F$57,$F116,'Ресурсы (5.4)'!$AB$26:$AB$57,"6.1")</f>
        <v>0</v>
      </c>
      <c r="AP116" s="121">
        <f>_xlfn.SUMIFS('Ресурсы (5.4)'!AP$26:AP$57,'Ресурсы (5.4)'!$F$26:$F$57,$F116,'Ресурсы (5.4)'!$AB$26:$AB$57,"6.1")</f>
        <v>0</v>
      </c>
      <c r="AQ116" s="121">
        <f>_xlfn.SUMIFS('Ресурсы (5.4)'!AQ$26:AQ$57,'Ресурсы (5.4)'!$F$26:$F$57,$F116,'Ресурсы (5.4)'!$AB$26:$AB$57,"6.1")</f>
        <v>0</v>
      </c>
      <c r="AR116" s="121">
        <f>_xlfn.SUMIFS('Ресурсы (5.4)'!AR$26:AR$57,'Ресурсы (5.4)'!$F$26:$F$57,$F116,'Ресурсы (5.4)'!$AB$26:$AB$57,"6.1")</f>
        <v>0</v>
      </c>
      <c r="AS116" s="121">
        <f>_xlfn.SUMIFS('Ресурсы (5.4)'!AS$26:AS$57,'Ресурсы (5.4)'!$F$26:$F$57,$F116,'Ресурсы (5.4)'!$AB$26:$AB$57,"6.1")</f>
        <v>0</v>
      </c>
      <c r="AT116" s="614">
        <f>_xlfn.SUMIFS('Ресурсы (5.4)'!AT$26:AT$57,'Ресурсы (5.4)'!$F$26:$F$57,$F116,'Ресурсы (5.4)'!$AB$26:$AB$57,"6.1")</f>
        <v>3879.0440814893</v>
      </c>
      <c r="AU116" s="614">
        <f>_xlfn.SUMIFS('Ресурсы (5.4)'!AU$26:AU$57,'Ресурсы (5.4)'!$F$26:$F$57,$F116,'Ресурсы (5.4)'!$AB$26:$AB$57,"6.1")</f>
        <v>4049.72384966631</v>
      </c>
      <c r="AV116" s="614">
        <f>_xlfn.SUMIFS('Ресурсы (5.4)'!AV$26:AV$57,'Ресурсы (5.4)'!$F$26:$F$57,$F116,'Ресурсы (5.4)'!$AB$26:$AB$57,"6.1")</f>
        <v>4159.06399719003</v>
      </c>
      <c r="AW116" s="614">
        <f>_xlfn.SUMIFS('Ресурсы (5.4)'!AW$26:AW$57,'Ресурсы (5.4)'!$F$26:$F$57,$F116,'Ресурсы (5.4)'!$AB$26:$AB$57,"6.1")</f>
        <v>4271.35876361082</v>
      </c>
      <c r="AX116" s="614">
        <f>_xlfn.SUMIFS('Ресурсы (5.4)'!AX$26:AX$57,'Ресурсы (5.4)'!$F$26:$F$57,$F116,'Ресурсы (5.4)'!$AB$26:$AB$57,"6.1")</f>
        <v>4386.68514225501</v>
      </c>
      <c r="AY116" s="121">
        <f>_xlfn.SUMIFS('Ресурсы (5.4)'!AY$26:AY$57,'Ресурсы (5.4)'!$F$26:$F$57,$F116,'Ресурсы (5.4)'!$AB$26:$AB$57,"6.1")</f>
        <v>0</v>
      </c>
      <c r="AZ116" s="121">
        <f>_xlfn.SUMIFS('Ресурсы (5.4)'!AZ$26:AZ$57,'Ресурсы (5.4)'!$F$26:$F$57,$F116,'Ресурсы (5.4)'!$AB$26:$AB$57,"6.1")</f>
        <v>0</v>
      </c>
      <c r="BA116" s="121">
        <f>_xlfn.SUMIFS('Ресурсы (5.4)'!BA$26:BA$57,'Ресурсы (5.4)'!$F$26:$F$57,$F116,'Ресурсы (5.4)'!$AB$26:$AB$57,"6.1")</f>
        <v>0</v>
      </c>
      <c r="BB116" s="121">
        <f>_xlfn.SUMIFS('Ресурсы (5.4)'!BB$26:BB$57,'Ресурсы (5.4)'!$F$26:$F$57,$F116,'Ресурсы (5.4)'!$AB$26:$AB$57,"6.1")</f>
        <v>0</v>
      </c>
      <c r="BC116" s="121">
        <f>_xlfn.SUMIFS('Ресурсы (5.4)'!BC$26:BC$57,'Ресурсы (5.4)'!$F$26:$F$57,$F116,'Ресурсы (5.4)'!$AB$26:$AB$57,"6.1")</f>
        <v>0</v>
      </c>
      <c r="BD116" s="307">
        <f>IF(AI116=0,0,(AT116-AI116)/AI116*100)</f>
        <v>0</v>
      </c>
      <c r="BE116" s="307">
        <f>IF(AT116=0,0,(AU116-AT116)/AT116*100)</f>
        <v>4.40004714026039</v>
      </c>
      <c r="BF116" s="307">
        <f>IF(AU116=0,0,(AV116-AU116)/AU116*100)</f>
        <v>2.69994082516835</v>
      </c>
      <c r="BG116" s="307">
        <f>IF(AV116=0,0,(AW116-AV116)/AV116*100)</f>
        <v>2.70000092560871</v>
      </c>
      <c r="BH116" s="307">
        <f>IF(AW116=0,0,(AX116-AW116)/AW116*100)</f>
        <v>2.69999278980486</v>
      </c>
      <c r="BI116" s="307">
        <f>IF(AX116=0,0,(AY116-AX116)/AX116*100)</f>
        <v>-100</v>
      </c>
      <c r="BJ116" s="307">
        <f>IF(AY116=0,0,(AZ116-AY116)/AY116*100)</f>
        <v>0</v>
      </c>
      <c r="BK116" s="307">
        <f>IF(AZ116=0,0,(BA116-AZ116)/AZ116*100)</f>
        <v>0</v>
      </c>
      <c r="BL116" s="307">
        <f>IF(BA116=0,0,(BB116-BA116)/BA116*100)</f>
        <v>0</v>
      </c>
      <c r="BM116" s="307">
        <f>IF(BB116=0,0,(BC116-BB116)/BB116*100)</f>
        <v>0</v>
      </c>
      <c r="BN116" s="73"/>
      <c r="BO116" s="73"/>
      <c r="BP116" s="73"/>
      <c r="BQ116" s="227"/>
      <c r="BR116" s="227"/>
      <c r="BS116" s="1232" t="s">
        <v>1712</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M11581::ТЭ.42.26824396.0004::Неопределено::Неопределено::Неопределено::Неопределено::Неопределено</v>
      </c>
    </row>
    <row s="1619" customFormat="1" customHeight="1" ht="14.25" hidden="1">
      <c r="A117" s="225"/>
      <c r="B117" s="924"/>
      <c r="C117" s="1327" t="s">
        <v>1713</v>
      </c>
      <c r="D117" s="1257" t="s">
        <v>1714</v>
      </c>
      <c r="E117" s="794">
        <v>15</v>
      </c>
      <c r="F117" s="919" cm="1" t="str">
        <f t="array" ref="F117:F117">OFFSET(G117,-1,-1)</f>
        <v>1</v>
      </c>
      <c r="G117" s="227"/>
      <c r="H117" s="227"/>
      <c r="I117" s="227"/>
      <c r="J117" s="227"/>
      <c r="K117" s="227"/>
      <c r="L117" s="190" t="s">
        <v>1710</v>
      </c>
      <c r="M117" s="1281"/>
      <c r="N117" s="1281" cm="1" t="str">
        <f t="array" ref="N117:N117">OFFSET(M117,-1,1)</f>
        <v>ТЭ.42.26824396.0004</v>
      </c>
      <c r="O117" s="1286"/>
      <c r="P117" s="1282"/>
      <c r="Q117" s="1282"/>
      <c r="R117" s="1286"/>
      <c r="S117" s="1619"/>
      <c r="T117" s="805" cm="1" t="str">
        <f t="array" ref="T117:T117">T116</f>
        <v>false</v>
      </c>
      <c r="U117" s="1461"/>
      <c r="V117" s="1461"/>
      <c r="W117" s="1461"/>
      <c r="X117" s="1461"/>
      <c r="Y117" s="1461"/>
      <c r="Z117" s="1461"/>
      <c r="AA117" s="227"/>
      <c r="AB117" s="660" t="str">
        <f>AB115&amp;".2"</f>
        <v>14.2</v>
      </c>
      <c r="AC117" s="616" t="s">
        <v>1713</v>
      </c>
      <c r="AD117" s="309" t="s">
        <v>805</v>
      </c>
      <c r="AE117" s="612">
        <f>AE115-AE116</f>
        <v>0</v>
      </c>
      <c r="AF117" s="612">
        <f>AF115-AF116</f>
        <v>0</v>
      </c>
      <c r="AG117" s="612">
        <f>AG115-AG116</f>
        <v>0</v>
      </c>
      <c r="AH117" s="307">
        <f>AG117-AF117</f>
        <v>0</v>
      </c>
      <c r="AI117" s="612">
        <f>AI115-AI116</f>
        <v>0</v>
      </c>
      <c r="AJ117" s="612">
        <f>AJ115-AJ116</f>
        <v>15018.99992</v>
      </c>
      <c r="AK117" s="612">
        <f>AK115-AK116</f>
        <v>9235.497517632</v>
      </c>
      <c r="AL117" s="612">
        <f>AL115-AL116</f>
        <v>9543.5850441539</v>
      </c>
      <c r="AM117" s="612">
        <f>AM115-AM116</f>
        <v>9820.3391614609</v>
      </c>
      <c r="AN117" s="612">
        <f>AN115-AN116</f>
        <v>10128.8388006401</v>
      </c>
      <c r="AO117" s="612">
        <f>AO115-AO116</f>
        <v>3288.62041263371</v>
      </c>
      <c r="AP117" s="612">
        <f>AP115-AP116</f>
        <v>3255.73420850737</v>
      </c>
      <c r="AQ117" s="612">
        <f>AQ115-AQ116</f>
        <v>3223.1768664223</v>
      </c>
      <c r="AR117" s="612">
        <f>AR115-AR116</f>
        <v>3190.94509775808</v>
      </c>
      <c r="AS117" s="612">
        <f>AS115-AS116</f>
        <v>3159.0356467805</v>
      </c>
      <c r="AT117" s="612">
        <f>AT115-AT116</f>
        <v>4565.92308</v>
      </c>
      <c r="AU117" s="612">
        <f>AU115-AU116</f>
        <v>7231.42551763199</v>
      </c>
      <c r="AV117" s="612">
        <f>AV115-AV116</f>
        <v>7130.28451295387</v>
      </c>
      <c r="AW117" s="612">
        <f>AW115-AW116</f>
        <v>7400.61933453738</v>
      </c>
      <c r="AX117" s="612">
        <f>AX115-AX116</f>
        <v>7677.47366683969</v>
      </c>
      <c r="AY117" s="612">
        <f>AY115-AY116</f>
        <v>1820.08893017126</v>
      </c>
      <c r="AZ117" s="612">
        <f>AZ115-AZ116</f>
        <v>1801.88804086955</v>
      </c>
      <c r="BA117" s="612">
        <f>BA115-BA116</f>
        <v>1783.86916046085</v>
      </c>
      <c r="BB117" s="612">
        <f>BB115-BB116</f>
        <v>1766.03046885624</v>
      </c>
      <c r="BC117" s="654">
        <f>BC115-BC116</f>
        <v>1748.37016416768</v>
      </c>
      <c r="BD117" s="307">
        <f>IF(AI117=0,0,(AT117-AI117)/AI117*100)</f>
        <v>0</v>
      </c>
      <c r="BE117" s="307">
        <f>IF(AT117=0,0,(AU117-AT117)/AT117*100)</f>
        <v>58.3781721883933</v>
      </c>
      <c r="BF117" s="307">
        <f>IF(AU117=0,0,(AV117-AU117)/AU117*100)</f>
        <v>-1.39863163122559</v>
      </c>
      <c r="BG117" s="307">
        <f>IF(AV117=0,0,(AW117-AV117)/AV117*100)</f>
        <v>3.79136093507044</v>
      </c>
      <c r="BH117" s="307">
        <f>IF(AW117=0,0,(AX117-AW117)/AW117*100)</f>
        <v>3.74096166533359</v>
      </c>
      <c r="BI117" s="307">
        <f>IF(AX117=0,0,(AY117-AX117)/AX117*100)</f>
        <v>-76.2931270212944</v>
      </c>
      <c r="BJ117" s="307">
        <f>IF(AY117=0,0,(AZ117-AY117)/AY117*100)</f>
        <v>-0.99999999999986</v>
      </c>
      <c r="BK117" s="307">
        <f>IF(AZ117=0,0,(BA117-AZ117)/AZ117*100)</f>
        <v>-1.0000000000003</v>
      </c>
      <c r="BL117" s="307">
        <f>IF(BA117=0,0,(BB117-BA117)/BA117*100)</f>
        <v>-1.0000000000001</v>
      </c>
      <c r="BM117" s="307">
        <f>IF(BB117=0,0,(BC117-BB117)/BB117*100)</f>
        <v>-0.99999999999986</v>
      </c>
      <c r="BN117" s="73"/>
      <c r="BO117" s="73"/>
      <c r="BP117" s="73"/>
      <c r="BQ117" s="227"/>
      <c r="BR117" s="227"/>
      <c r="BS117" s="1232" t="s">
        <v>1715</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M11582::ТЭ.42.26824396.0004::Неопределено::Неопределено::Неопределено::Неопределено::Неопределено</v>
      </c>
    </row>
    <row s="1619" customFormat="1" customHeight="1" ht="14.25">
      <c r="A118" s="225"/>
      <c r="B118" s="924"/>
      <c r="C118" s="1298" t="s">
        <v>1716</v>
      </c>
      <c r="D118" s="1257" t="s">
        <v>1717</v>
      </c>
      <c r="E118" s="794">
        <v>15</v>
      </c>
      <c r="F118" s="919" cm="1" t="str">
        <f t="array" ref="F118:F118">OFFSET(G118,-1,-1)</f>
        <v>1</v>
      </c>
      <c r="G118" s="227"/>
      <c r="H118" s="227"/>
      <c r="I118" s="227"/>
      <c r="J118" s="227"/>
      <c r="K118" s="227"/>
      <c r="L118" s="190"/>
      <c r="M118" s="1281"/>
      <c r="N118" s="1281" cm="1" t="str">
        <f t="array" ref="N118:N118">OFFSET(M118,-1,1)</f>
        <v>ТЭ.42.26824396.0004</v>
      </c>
      <c r="O118" s="1282"/>
      <c r="P118" s="1282"/>
      <c r="Q118" s="1282"/>
      <c r="R118" s="1282"/>
      <c r="S118" s="1619"/>
      <c r="T118" s="805" cm="1" t="str">
        <f t="array" ref="T118:T118">T115</f>
        <v>true</v>
      </c>
      <c r="U118" s="1461"/>
      <c r="V118" s="1461"/>
      <c r="W118" s="1461"/>
      <c r="X118" s="1461"/>
      <c r="Y118" s="1461"/>
      <c r="Z118" s="1461"/>
      <c r="AA118" s="227"/>
      <c r="AB118" s="314" t="s">
        <v>1718</v>
      </c>
      <c r="AC118" s="310" t="s">
        <v>1719</v>
      </c>
      <c r="AD118" s="315" t="s">
        <v>591</v>
      </c>
      <c r="AE118" s="307">
        <f>IF($K82="передача тепловой энергии",_xlfn.SUMIFS('Баланс Тр'!AE$27:AE$50,'Баланс Тр'!$F$27:$F$50,$F118,'Баланс Тр'!$AB$27:$AB$50,"3"),_xlfn.SUMIFS('Баланс Пр'!AE$27:AE$233,'Баланс Пр'!$F$27:$F$233,$F118,'Баланс Пр'!$AB$27:$AB$233,"9.1"))</f>
        <v>0</v>
      </c>
      <c r="AF118" s="613"/>
      <c r="AG118" s="613"/>
      <c r="AH118" s="613"/>
      <c r="AI118" s="307">
        <f>IF($K82="передача тепловой энергии",_xlfn.SUMIFS('Баланс Тр'!AH$27:AH$50,'Баланс Тр'!$F$27:$F$50,$F118,'Баланс Тр'!$AB$27:$AB$50,"3"),_xlfn.SUMIFS('Баланс Пр'!AH$27:AH$233,'Баланс Пр'!$F$27:$F$233,$F118,'Баланс Пр'!$AB$27:$AB$233,"9.1"))</f>
        <v>0</v>
      </c>
      <c r="AJ118" s="307">
        <f>IF($K82="передача тепловой энергии",_xlfn.SUMIFS('Баланс Тр'!AI$27:AI$50,'Баланс Тр'!$F$27:$F$50,$F118,'Баланс Тр'!$AB$27:$AB$50,"3"),_xlfn.SUMIFS('Баланс Пр'!AI$27:AI$233,'Баланс Пр'!$F$27:$F$233,$F118,'Баланс Пр'!$AB$27:$AB$233,"9.1"))</f>
        <v>1370</v>
      </c>
      <c r="AK118" s="307">
        <f>IF($K82="передача тепловой энергии",_xlfn.SUMIFS('Баланс Тр'!AJ$27:AJ$50,'Баланс Тр'!$F$27:$F$50,$F118,'Баланс Тр'!$AB$27:$AB$50,"3"),_xlfn.SUMIFS('Баланс Пр'!AJ$27:AJ$233,'Баланс Пр'!$F$27:$F$233,$F118,'Баланс Пр'!$AB$27:$AB$233,"9.1"))</f>
        <v>1370</v>
      </c>
      <c r="AL118" s="307">
        <f>IF($K82="передача тепловой энергии",_xlfn.SUMIFS('Баланс Тр'!AK$27:AK$50,'Баланс Тр'!$F$27:$F$50,$F118,'Баланс Тр'!$AB$27:$AB$50,"3"),_xlfn.SUMIFS('Баланс Пр'!AK$27:AK$233,'Баланс Пр'!$F$27:$F$233,$F118,'Баланс Пр'!$AB$27:$AB$233,"9.1"))</f>
        <v>1370</v>
      </c>
      <c r="AM118" s="307">
        <f>IF($K82="передача тепловой энергии",_xlfn.SUMIFS('Баланс Тр'!AL$27:AL$50,'Баланс Тр'!$F$27:$F$50,$F118,'Баланс Тр'!$AB$27:$AB$50,"3"),_xlfn.SUMIFS('Баланс Пр'!AL$27:AL$233,'Баланс Пр'!$F$27:$F$233,$F118,'Баланс Пр'!$AB$27:$AB$233,"9.1"))</f>
        <v>1370</v>
      </c>
      <c r="AN118" s="307">
        <f>IF($K82="передача тепловой энергии",_xlfn.SUMIFS('Баланс Тр'!AM$27:AM$50,'Баланс Тр'!$F$27:$F$50,$F118,'Баланс Тр'!$AB$27:$AB$50,"3"),_xlfn.SUMIFS('Баланс Пр'!AM$27:AM$233,'Баланс Пр'!$F$27:$F$233,$F118,'Баланс Пр'!$AB$27:$AB$233,"9.1"))</f>
        <v>1370</v>
      </c>
      <c r="AO118" s="307">
        <f>IF($K82="передача тепловой энергии",_xlfn.SUMIFS('Баланс Тр'!AN$27:AN$50,'Баланс Тр'!$F$27:$F$50,$F118,'Баланс Тр'!$AB$27:$AB$50,"3"),_xlfn.SUMIFS('Баланс Пр'!AN$27:AN$233,'Баланс Пр'!$F$27:$F$233,$F118,'Баланс Пр'!$AB$27:$AB$233,"9.1"))</f>
        <v>1370</v>
      </c>
      <c r="AP118" s="307">
        <f>IF($K82="передача тепловой энергии",_xlfn.SUMIFS('Баланс Тр'!AO$27:AO$50,'Баланс Тр'!$F$27:$F$50,$F118,'Баланс Тр'!$AB$27:$AB$50,"3"),_xlfn.SUMIFS('Баланс Пр'!AO$27:AO$233,'Баланс Пр'!$F$27:$F$233,$F118,'Баланс Пр'!$AB$27:$AB$233,"9.1"))</f>
        <v>1370</v>
      </c>
      <c r="AQ118" s="307">
        <f>IF($K82="передача тепловой энергии",_xlfn.SUMIFS('Баланс Тр'!AP$27:AP$50,'Баланс Тр'!$F$27:$F$50,$F118,'Баланс Тр'!$AB$27:$AB$50,"3"),_xlfn.SUMIFS('Баланс Пр'!AP$27:AP$233,'Баланс Пр'!$F$27:$F$233,$F118,'Баланс Пр'!$AB$27:$AB$233,"9.1"))</f>
        <v>1370</v>
      </c>
      <c r="AR118" s="307">
        <f>IF($K82="передача тепловой энергии",_xlfn.SUMIFS('Баланс Тр'!AQ$27:AQ$50,'Баланс Тр'!$F$27:$F$50,$F118,'Баланс Тр'!$AB$27:$AB$50,"3"),_xlfn.SUMIFS('Баланс Пр'!AQ$27:AQ$233,'Баланс Пр'!$F$27:$F$233,$F118,'Баланс Пр'!$AB$27:$AB$233,"9.1"))</f>
        <v>1370</v>
      </c>
      <c r="AS118" s="307">
        <f>IF($K82="передача тепловой энергии",_xlfn.SUMIFS('Баланс Тр'!AR$27:AR$50,'Баланс Тр'!$F$27:$F$50,$F118,'Баланс Тр'!$AB$27:$AB$50,"3"),_xlfn.SUMIFS('Баланс Пр'!AR$27:AR$233,'Баланс Пр'!$F$27:$F$233,$F118,'Баланс Пр'!$AB$27:$AB$233,"9.1"))</f>
        <v>1370</v>
      </c>
      <c r="AT118" s="307">
        <f>IF($K82="передача тепловой энергии",_xlfn.SUMIFS('Баланс Тр'!AS$27:AS$50,'Баланс Тр'!$F$27:$F$50,$F118,'Баланс Тр'!$AB$27:$AB$50,"3"),_xlfn.SUMIFS('Баланс Пр'!AS$27:AS$233,'Баланс Пр'!$F$27:$F$233,$F118,'Баланс Пр'!$AB$27:$AB$233,"9.1"))</f>
        <v>1370</v>
      </c>
      <c r="AU118" s="307">
        <f>IF($K82="передача тепловой энергии",_xlfn.SUMIFS('Баланс Тр'!AT$27:AT$50,'Баланс Тр'!$F$27:$F$50,$F118,'Баланс Тр'!$AB$27:$AB$50,"3"),_xlfn.SUMIFS('Баланс Пр'!AT$27:AT$233,'Баланс Пр'!$F$27:$F$233,$F118,'Баланс Пр'!$AB$27:$AB$233,"9.1"))</f>
        <v>1370</v>
      </c>
      <c r="AV118" s="307">
        <f>IF($K82="передача тепловой энергии",_xlfn.SUMIFS('Баланс Тр'!AU$27:AU$50,'Баланс Тр'!$F$27:$F$50,$F118,'Баланс Тр'!$AB$27:$AB$50,"3"),_xlfn.SUMIFS('Баланс Пр'!AU$27:AU$233,'Баланс Пр'!$F$27:$F$233,$F118,'Баланс Пр'!$AB$27:$AB$233,"9.1"))</f>
        <v>1370</v>
      </c>
      <c r="AW118" s="307">
        <f>IF($K82="передача тепловой энергии",_xlfn.SUMIFS('Баланс Тр'!AV$27:AV$50,'Баланс Тр'!$F$27:$F$50,$F118,'Баланс Тр'!$AB$27:$AB$50,"3"),_xlfn.SUMIFS('Баланс Пр'!AV$27:AV$233,'Баланс Пр'!$F$27:$F$233,$F118,'Баланс Пр'!$AB$27:$AB$233,"9.1"))</f>
        <v>1370</v>
      </c>
      <c r="AX118" s="307">
        <f>IF($K82="передача тепловой энергии",_xlfn.SUMIFS('Баланс Тр'!AW$27:AW$50,'Баланс Тр'!$F$27:$F$50,$F118,'Баланс Тр'!$AB$27:$AB$50,"3"),_xlfn.SUMIFS('Баланс Пр'!AW$27:AW$233,'Баланс Пр'!$F$27:$F$233,$F118,'Баланс Пр'!$AB$27:$AB$233,"9.1"))</f>
        <v>1370</v>
      </c>
      <c r="AY118" s="307">
        <f>IF($K82="передача тепловой энергии",_xlfn.SUMIFS('Баланс Тр'!AX$27:AX$50,'Баланс Тр'!$F$27:$F$50,$F118,'Баланс Тр'!$AB$27:$AB$50,"3"),_xlfn.SUMIFS('Баланс Пр'!AX$27:AX$233,'Баланс Пр'!$F$27:$F$233,$F118,'Баланс Пр'!$AB$27:$AB$233,"9.1"))</f>
        <v>0</v>
      </c>
      <c r="AZ118" s="307">
        <f>IF($K82="передача тепловой энергии",_xlfn.SUMIFS('Баланс Тр'!AY$27:AY$50,'Баланс Тр'!$F$27:$F$50,$F118,'Баланс Тр'!$AB$27:$AB$50,"3"),_xlfn.SUMIFS('Баланс Пр'!AY$27:AY$233,'Баланс Пр'!$F$27:$F$233,$F118,'Баланс Пр'!$AB$27:$AB$233,"9.1"))</f>
        <v>0</v>
      </c>
      <c r="BA118" s="307">
        <f>IF($K82="передача тепловой энергии",_xlfn.SUMIFS('Баланс Тр'!AZ$27:AZ$50,'Баланс Тр'!$F$27:$F$50,$F118,'Баланс Тр'!$AB$27:$AB$50,"3"),_xlfn.SUMIFS('Баланс Пр'!AZ$27:AZ$233,'Баланс Пр'!$F$27:$F$233,$F118,'Баланс Пр'!$AB$27:$AB$233,"9.1"))</f>
        <v>0</v>
      </c>
      <c r="BB118" s="307">
        <f>IF($K82="передача тепловой энергии",_xlfn.SUMIFS('Баланс Тр'!BA$27:BA$50,'Баланс Тр'!$F$27:$F$50,$F118,'Баланс Тр'!$AB$27:$AB$50,"3"),_xlfn.SUMIFS('Баланс Пр'!BA$27:BA$233,'Баланс Пр'!$F$27:$F$233,$F118,'Баланс Пр'!$AB$27:$AB$233,"9.1"))</f>
        <v>0</v>
      </c>
      <c r="BC118" s="307">
        <f>IF($K82="передача тепловой энергии",_xlfn.SUMIFS('Баланс Тр'!BB$27:BB$50,'Баланс Тр'!$F$27:$F$50,$F118,'Баланс Тр'!$AB$27:$AB$50,"3"),_xlfn.SUMIFS('Баланс Пр'!BB$27:BB$233,'Баланс Пр'!$F$27:$F$233,$F118,'Баланс Пр'!$AB$27:$AB$233,"9.1"))</f>
        <v>0</v>
      </c>
      <c r="BD118" s="663"/>
      <c r="BE118" s="663"/>
      <c r="BF118" s="663"/>
      <c r="BG118" s="663"/>
      <c r="BH118" s="663"/>
      <c r="BI118" s="663"/>
      <c r="BJ118" s="663"/>
      <c r="BK118" s="663"/>
      <c r="BL118" s="663"/>
      <c r="BM118" s="663"/>
      <c r="BN118" s="1730"/>
      <c r="BO118" s="1730"/>
      <c r="BP118" s="1730"/>
      <c r="BQ118" s="227"/>
      <c r="BR118" s="227"/>
      <c r="BS118" s="1232" t="s">
        <v>1720</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M10502::ТЭ.42.26824396.0004::Неопределено::Неопределено::Неопределено::Неопределено::Неопределено</v>
      </c>
    </row>
    <row s="1619" customFormat="1" customHeight="1" ht="14.25">
      <c r="A119" s="225"/>
      <c r="B119" s="924"/>
      <c r="C119" s="1298" t="s">
        <v>1721</v>
      </c>
      <c r="D119" s="1257" t="s">
        <v>1722</v>
      </c>
      <c r="E119" s="794">
        <v>15</v>
      </c>
      <c r="F119" s="919" cm="1" t="str">
        <f t="array" ref="F119:F119">OFFSET(G119,-1,-1)</f>
        <v>1</v>
      </c>
      <c r="G119" s="190" t="s">
        <v>1723</v>
      </c>
      <c r="H119" s="227"/>
      <c r="I119" s="227"/>
      <c r="J119" s="227"/>
      <c r="K119" s="227"/>
      <c r="L119" s="190"/>
      <c r="M119" s="1281"/>
      <c r="N119" s="1281" cm="1" t="str">
        <f t="array" ref="N119:N119">OFFSET(M119,-1,1)</f>
        <v>ТЭ.42.26824396.0004</v>
      </c>
      <c r="O119" s="1282" t="s">
        <v>1724</v>
      </c>
      <c r="P119" s="1282"/>
      <c r="Q119" s="1282"/>
      <c r="R119" s="1282"/>
      <c r="S119" s="1619"/>
      <c r="T119" s="805" cm="1" t="str">
        <f t="array" ref="T119:T119">T118</f>
        <v>true</v>
      </c>
      <c r="U119" s="1461"/>
      <c r="V119" s="1461"/>
      <c r="W119" s="1461"/>
      <c r="X119" s="1461"/>
      <c r="Y119" s="1461"/>
      <c r="Z119" s="1461"/>
      <c r="AA119" s="227"/>
      <c r="AB119" s="660" t="str">
        <f>AB118&amp;".1"</f>
        <v>15.1</v>
      </c>
      <c r="AC119" s="286" t="s">
        <v>1725</v>
      </c>
      <c r="AD119" s="309" t="s">
        <v>591</v>
      </c>
      <c r="AE119" s="1903"/>
      <c r="AF119" s="613"/>
      <c r="AG119" s="613"/>
      <c r="AH119" s="613"/>
      <c r="AI119" s="1903"/>
      <c r="AJ119" s="614">
        <v>1024</v>
      </c>
      <c r="AK119" s="614">
        <v>1024</v>
      </c>
      <c r="AL119" s="614">
        <v>1024</v>
      </c>
      <c r="AM119" s="614">
        <v>1024</v>
      </c>
      <c r="AN119" s="614">
        <v>1024</v>
      </c>
      <c r="AO119" s="1903"/>
      <c r="AP119" s="1903"/>
      <c r="AQ119" s="1903"/>
      <c r="AR119" s="1903"/>
      <c r="AS119" s="1903"/>
      <c r="AT119" s="614">
        <v>1024</v>
      </c>
      <c r="AU119" s="614">
        <v>1024</v>
      </c>
      <c r="AV119" s="614">
        <v>1024</v>
      </c>
      <c r="AW119" s="614">
        <v>1024</v>
      </c>
      <c r="AX119" s="614">
        <v>1024</v>
      </c>
      <c r="AY119" s="1903"/>
      <c r="AZ119" s="1903"/>
      <c r="BA119" s="1903"/>
      <c r="BB119" s="1903"/>
      <c r="BC119" s="1903"/>
      <c r="BD119" s="374"/>
      <c r="BE119" s="374"/>
      <c r="BF119" s="374"/>
      <c r="BG119" s="374"/>
      <c r="BH119" s="374"/>
      <c r="BI119" s="374"/>
      <c r="BJ119" s="374"/>
      <c r="BK119" s="374"/>
      <c r="BL119" s="374"/>
      <c r="BM119" s="374"/>
      <c r="BN119" s="1730"/>
      <c r="BO119" s="1730"/>
      <c r="BP119" s="1730"/>
      <c r="BQ119" s="227"/>
      <c r="BR119" s="227"/>
      <c r="BS119" s="1232" t="s">
        <v>1726</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M10670::ТЭ.42.26824396.0004::Неопределено::8.0.3.::Неопределено::Неопределено::Неопределено</v>
      </c>
    </row>
    <row s="1619" customFormat="1" customHeight="1" ht="14.25">
      <c r="A120" s="225"/>
      <c r="B120" s="924"/>
      <c r="C120" s="1298" t="s">
        <v>1727</v>
      </c>
      <c r="D120" s="1257" t="s">
        <v>1728</v>
      </c>
      <c r="E120" s="794">
        <v>15</v>
      </c>
      <c r="F120" s="919" cm="1" t="str">
        <f t="array" ref="F120:F120">OFFSET(G120,-1,-1)</f>
        <v>1</v>
      </c>
      <c r="G120" s="190" t="s">
        <v>1729</v>
      </c>
      <c r="H120" s="227"/>
      <c r="I120" s="227"/>
      <c r="J120" s="227"/>
      <c r="K120" s="227"/>
      <c r="L120" s="190"/>
      <c r="M120" s="1281"/>
      <c r="N120" s="1281" cm="1" t="str">
        <f t="array" ref="N120:N120">OFFSET(M120,-1,1)</f>
        <v>ТЭ.42.26824396.0004</v>
      </c>
      <c r="O120" s="1282" t="s">
        <v>1724</v>
      </c>
      <c r="P120" s="1282"/>
      <c r="Q120" s="1282"/>
      <c r="R120" s="1282"/>
      <c r="S120" s="1619"/>
      <c r="T120" s="805" cm="1" t="str">
        <f t="array" ref="T120:T120">T119</f>
        <v>true</v>
      </c>
      <c r="U120" s="1461"/>
      <c r="V120" s="1461"/>
      <c r="W120" s="1461"/>
      <c r="X120" s="1461"/>
      <c r="Y120" s="1461"/>
      <c r="Z120" s="1461"/>
      <c r="AA120" s="227"/>
      <c r="AB120" s="660" t="str">
        <f>AB118&amp;".2"</f>
        <v>15.2</v>
      </c>
      <c r="AC120" s="286" t="s">
        <v>1730</v>
      </c>
      <c r="AD120" s="309" t="s">
        <v>895</v>
      </c>
      <c r="AE120" s="1903"/>
      <c r="AF120" s="613"/>
      <c r="AG120" s="613"/>
      <c r="AH120" s="613"/>
      <c r="AI120" s="1903">
        <f>MIN(AE122,AI124)</f>
        <v>0</v>
      </c>
      <c r="AJ120" s="614">
        <v>3992.09</v>
      </c>
      <c r="AK120" s="614">
        <f>MIN(AJ122,AK124)</f>
        <v>10198.172263965</v>
      </c>
      <c r="AL120" s="614">
        <f>MIN(AK122,AL124)</f>
        <v>10198.1722639647</v>
      </c>
      <c r="AM120" s="614">
        <f>MIN(AL122,AM124)</f>
        <v>10891.487924789</v>
      </c>
      <c r="AN120" s="614">
        <f>MIN(AM122,AN124)</f>
        <v>10891.487924789</v>
      </c>
      <c r="AO120" s="1903">
        <f>MIN(AN122,AO124)</f>
        <v>2400.45285593701</v>
      </c>
      <c r="AP120" s="1903">
        <f>MIN(AO122,AP124)</f>
        <v>2376.44832737764</v>
      </c>
      <c r="AQ120" s="1903">
        <f>MIN(AP122,AQ124)</f>
        <v>2352.68384410387</v>
      </c>
      <c r="AR120" s="1903">
        <f>MIN(AQ122,AR124)</f>
        <v>2329.15700566283</v>
      </c>
      <c r="AS120" s="1903">
        <f>MIN(AR122,AS124)</f>
        <v>2305.8654356062</v>
      </c>
      <c r="AT120" s="614">
        <v>3992.09</v>
      </c>
      <c r="AU120" s="614">
        <f>MIN(AT122,AU124)</f>
        <v>4444.48</v>
      </c>
      <c r="AV120" s="614">
        <f>MIN(AU122,AV124)</f>
        <v>8240.40037236781</v>
      </c>
      <c r="AW120" s="614">
        <f>MIN(AV122,AW124)</f>
        <v>8240.40037236781</v>
      </c>
      <c r="AX120" s="614">
        <f>MIN(AW122,AX124)</f>
        <v>8805.95533510562</v>
      </c>
      <c r="AY120" s="1903">
        <f>MIN(AX122,AY124)</f>
        <v>0</v>
      </c>
      <c r="AZ120" s="1903">
        <f>MIN(AY122,AZ124)</f>
        <v>0</v>
      </c>
      <c r="BA120" s="1903">
        <f>MIN(AZ122,BA124)</f>
        <v>0</v>
      </c>
      <c r="BB120" s="1903">
        <f>MIN(BA122,BB124)</f>
        <v>0</v>
      </c>
      <c r="BC120" s="1903">
        <f>MIN(BB122,BC124)</f>
        <v>0</v>
      </c>
      <c r="BD120" s="374"/>
      <c r="BE120" s="374"/>
      <c r="BF120" s="374"/>
      <c r="BG120" s="374"/>
      <c r="BH120" s="374"/>
      <c r="BI120" s="374"/>
      <c r="BJ120" s="374"/>
      <c r="BK120" s="374"/>
      <c r="BL120" s="374"/>
      <c r="BM120" s="374"/>
      <c r="BN120" s="1730"/>
      <c r="BO120" s="1730"/>
      <c r="BP120" s="1730"/>
      <c r="BQ120" s="227"/>
      <c r="BR120" s="227"/>
      <c r="BS120" s="1232" t="s">
        <v>1731</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M10546::ТЭ.42.26824396.0004::Неопределено::8.0.3.::Неопределено::Неопределено::Неопределено</v>
      </c>
    </row>
    <row s="1619" customFormat="1" customHeight="1" ht="14.25">
      <c r="A121" s="225"/>
      <c r="B121" s="924"/>
      <c r="C121" s="1298" t="s">
        <v>1721</v>
      </c>
      <c r="D121" s="1257" t="s">
        <v>1722</v>
      </c>
      <c r="E121" s="794">
        <v>15</v>
      </c>
      <c r="F121" s="919" cm="1" t="str">
        <f t="array" ref="F121:F121">OFFSET(G121,-1,-1)</f>
        <v>1</v>
      </c>
      <c r="G121" s="190" t="s">
        <v>1732</v>
      </c>
      <c r="H121" s="227"/>
      <c r="I121" s="227"/>
      <c r="J121" s="227"/>
      <c r="K121" s="227"/>
      <c r="L121" s="190"/>
      <c r="M121" s="1281"/>
      <c r="N121" s="1281" cm="1" t="str">
        <f t="array" ref="N121:N121">OFFSET(M121,-1,1)</f>
        <v>ТЭ.42.26824396.0004</v>
      </c>
      <c r="O121" s="1282" t="s">
        <v>1733</v>
      </c>
      <c r="P121" s="1282"/>
      <c r="Q121" s="1282"/>
      <c r="R121" s="1282"/>
      <c r="S121" s="1619"/>
      <c r="T121" s="805" cm="1" t="str">
        <f t="array" ref="T121:T121">T120</f>
        <v>true</v>
      </c>
      <c r="U121" s="1461"/>
      <c r="V121" s="1461"/>
      <c r="W121" s="1461"/>
      <c r="X121" s="1461"/>
      <c r="Y121" s="1461"/>
      <c r="Z121" s="1461"/>
      <c r="AA121" s="227"/>
      <c r="AB121" s="660" t="str">
        <f>AB118&amp;".3"</f>
        <v>15.3</v>
      </c>
      <c r="AC121" s="286" t="s">
        <v>1734</v>
      </c>
      <c r="AD121" s="309" t="s">
        <v>591</v>
      </c>
      <c r="AE121" s="612">
        <f>AE118-AE119</f>
        <v>0</v>
      </c>
      <c r="AF121" s="613"/>
      <c r="AG121" s="613"/>
      <c r="AH121" s="613"/>
      <c r="AI121" s="612">
        <f>AI118-AI119</f>
        <v>0</v>
      </c>
      <c r="AJ121" s="612">
        <f>AJ118-AJ119</f>
        <v>346</v>
      </c>
      <c r="AK121" s="612">
        <f>AK118-AK119</f>
        <v>346</v>
      </c>
      <c r="AL121" s="612">
        <f>AL118-AL119</f>
        <v>346</v>
      </c>
      <c r="AM121" s="612">
        <f>AM118-AM119</f>
        <v>346</v>
      </c>
      <c r="AN121" s="612">
        <f>AN118-AN119</f>
        <v>346</v>
      </c>
      <c r="AO121" s="612">
        <f>AO118-AO119</f>
        <v>1370</v>
      </c>
      <c r="AP121" s="612">
        <f>AP118-AP119</f>
        <v>1370</v>
      </c>
      <c r="AQ121" s="612">
        <f>AQ118-AQ119</f>
        <v>1370</v>
      </c>
      <c r="AR121" s="612">
        <f>AR118-AR119</f>
        <v>1370</v>
      </c>
      <c r="AS121" s="612">
        <f>AS118-AS119</f>
        <v>1370</v>
      </c>
      <c r="AT121" s="612">
        <f>AT118-AT119</f>
        <v>346</v>
      </c>
      <c r="AU121" s="612">
        <f>AU118-AU119</f>
        <v>346</v>
      </c>
      <c r="AV121" s="612">
        <f>AV118-AV119</f>
        <v>346</v>
      </c>
      <c r="AW121" s="612">
        <f>AW118-AW119</f>
        <v>346</v>
      </c>
      <c r="AX121" s="612">
        <f>AX118-AX119</f>
        <v>346</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30"/>
      <c r="BO121" s="1730"/>
      <c r="BP121" s="1730"/>
      <c r="BQ121" s="227"/>
      <c r="BR121" s="227"/>
      <c r="BS121" s="1232" t="s">
        <v>1735</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M10670::ТЭ.42.26824396.0004::Неопределено::8.0.5.::Неопределено::Неопределено::Неопределено</v>
      </c>
    </row>
    <row s="1619" customFormat="1" customHeight="1" ht="14.25">
      <c r="A122" s="225"/>
      <c r="B122" s="924"/>
      <c r="C122" s="1298" t="s">
        <v>1727</v>
      </c>
      <c r="D122" s="1257" t="s">
        <v>1728</v>
      </c>
      <c r="E122" s="794">
        <v>15</v>
      </c>
      <c r="F122" s="919" cm="1" t="str">
        <f t="array" ref="F122:F122">OFFSET(G122,-1,-1)</f>
        <v>1</v>
      </c>
      <c r="G122" s="190" t="s">
        <v>1736</v>
      </c>
      <c r="H122" s="227"/>
      <c r="I122" s="227"/>
      <c r="J122" s="227"/>
      <c r="K122" s="227"/>
      <c r="L122" s="190"/>
      <c r="M122" s="1281"/>
      <c r="N122" s="1281" cm="1" t="str">
        <f t="array" ref="N122:N122">OFFSET(M122,-1,1)</f>
        <v>ТЭ.42.26824396.0004</v>
      </c>
      <c r="O122" s="1282" t="s">
        <v>1733</v>
      </c>
      <c r="P122" s="1282"/>
      <c r="Q122" s="1282"/>
      <c r="R122" s="1282"/>
      <c r="S122" s="1619"/>
      <c r="T122" s="805" cm="1" t="str">
        <f t="array" ref="T122:T122">T121</f>
        <v>true</v>
      </c>
      <c r="U122" s="1461"/>
      <c r="V122" s="1461"/>
      <c r="W122" s="1461"/>
      <c r="X122" s="1461"/>
      <c r="Y122" s="1461"/>
      <c r="Z122" s="1461"/>
      <c r="AA122" s="227"/>
      <c r="AB122" s="660" t="str">
        <f>AB118&amp;".4"</f>
        <v>15.4</v>
      </c>
      <c r="AC122" s="286" t="s">
        <v>1737</v>
      </c>
      <c r="AD122" s="309" t="s">
        <v>895</v>
      </c>
      <c r="AE122" s="1903"/>
      <c r="AF122" s="613"/>
      <c r="AG122" s="613"/>
      <c r="AH122" s="613"/>
      <c r="AI122" s="1903"/>
      <c r="AJ122" s="614">
        <v>12629.95</v>
      </c>
      <c r="AK122" s="614">
        <f>_xlfn.IFERROR((AK115*1000-AK119*AK120)/AK121,0)</f>
        <v>10198.1722639647</v>
      </c>
      <c r="AL122" s="614">
        <f>_xlfn.IFERROR((AL115*1000-AL119*AL120)/AL121,0)</f>
        <v>11605.9429114277</v>
      </c>
      <c r="AM122" s="614">
        <f>_xlfn.IFERROR((AM115*1000-AM119*AM120)/AM121,0)</f>
        <v>10891.487924789</v>
      </c>
      <c r="AN122" s="614">
        <f>_xlfn.IFERROR((AN115*1000-AN119*AN120)/AN121,0)</f>
        <v>12343.8135149023</v>
      </c>
      <c r="AO122" s="1903">
        <f>_xlfn.IFERROR((AO115*1000-AO119*AO120)/AO121,0)</f>
        <v>2400.45285593701</v>
      </c>
      <c r="AP122" s="1903">
        <f>_xlfn.IFERROR((AP115*1000-AP119*AP120)/AP121,0)</f>
        <v>2376.44832737764</v>
      </c>
      <c r="AQ122" s="1903">
        <f>_xlfn.IFERROR((AQ115*1000-AQ119*AQ120)/AQ121,0)</f>
        <v>2352.68384410387</v>
      </c>
      <c r="AR122" s="1903">
        <f>_xlfn.IFERROR((AR115*1000-AR119*AR120)/AR121,0)</f>
        <v>2329.15700566283</v>
      </c>
      <c r="AS122" s="1903">
        <f>_xlfn.IFERROR((AS115*1000-AS119*AS120)/AS121,0)</f>
        <v>2305.8654356062</v>
      </c>
      <c r="AT122" s="614">
        <v>4444.48</v>
      </c>
      <c r="AU122" s="614">
        <f>_xlfn.IFERROR((AU115*1000-AU119*AU120)/AU121,0)</f>
        <v>19450.8723910355</v>
      </c>
      <c r="AV122" s="614">
        <f>_xlfn.IFERROR((AV115*1000-AV119*AV120)/AV121,0)</f>
        <v>8240.40037236781</v>
      </c>
      <c r="AW122" s="614">
        <f>_xlfn.IFERROR((AW115*1000-AW119*AW120)/AW121,0)</f>
        <v>9346.26623365191</v>
      </c>
      <c r="AX122" s="614">
        <f>_xlfn.IFERROR((AX115*1000-AX119*AX120)/AX121,0)</f>
        <v>8805.9553351056</v>
      </c>
      <c r="AY122" s="1903">
        <f>_xlfn.IFERROR((AY115*1000-AY119*AY120)/AY121,0)</f>
        <v>0</v>
      </c>
      <c r="AZ122" s="1903">
        <f>_xlfn.IFERROR((AZ115*1000-AZ119*AZ120)/AZ121,0)</f>
        <v>0</v>
      </c>
      <c r="BA122" s="1903">
        <f>_xlfn.IFERROR((BA115*1000-BA119*BA120)/BA121,0)</f>
        <v>0</v>
      </c>
      <c r="BB122" s="1903">
        <f>_xlfn.IFERROR((BB115*1000-BB119*BB120)/BB121,0)</f>
        <v>0</v>
      </c>
      <c r="BC122" s="1903">
        <f>_xlfn.IFERROR((BC115*1000-BC119*BC120)/BC121,0)</f>
        <v>0</v>
      </c>
      <c r="BD122" s="374"/>
      <c r="BE122" s="374"/>
      <c r="BF122" s="374"/>
      <c r="BG122" s="374"/>
      <c r="BH122" s="374"/>
      <c r="BI122" s="374"/>
      <c r="BJ122" s="374"/>
      <c r="BK122" s="374"/>
      <c r="BL122" s="374"/>
      <c r="BM122" s="374"/>
      <c r="BN122" s="1730"/>
      <c r="BO122" s="1730"/>
      <c r="BP122" s="1730"/>
      <c r="BQ122" s="227"/>
      <c r="BR122" s="227"/>
      <c r="BS122" s="1232" t="s">
        <v>1738</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M10546::ТЭ.42.26824396.0004::Неопределено::8.0.5.::Неопределено::Неопределено::Неопределено</v>
      </c>
    </row>
    <row s="1619" customFormat="1" customHeight="1" ht="14.25">
      <c r="A123" s="225"/>
      <c r="B123" s="924"/>
      <c r="C123" s="1298" t="s">
        <v>1739</v>
      </c>
      <c r="D123" s="1257" t="s">
        <v>1740</v>
      </c>
      <c r="E123" s="794">
        <v>15</v>
      </c>
      <c r="F123" s="919" cm="1" t="str">
        <f t="array" ref="F123:F123">OFFSET(G123,-1,-1)</f>
        <v>1</v>
      </c>
      <c r="G123" s="227"/>
      <c r="H123" s="227"/>
      <c r="I123" s="227"/>
      <c r="J123" s="227"/>
      <c r="K123" s="227"/>
      <c r="L123" s="190"/>
      <c r="M123" s="1281"/>
      <c r="N123" s="1281" cm="1" t="str">
        <f t="array" ref="N123:N123">OFFSET(M123,-1,1)</f>
        <v>ТЭ.42.26824396.0004</v>
      </c>
      <c r="O123" s="1282"/>
      <c r="P123" s="1282"/>
      <c r="Q123" s="1282"/>
      <c r="R123" s="1282"/>
      <c r="S123" s="1619"/>
      <c r="T123" s="805" cm="1" t="str">
        <f t="array" ref="T123:T123">T122</f>
        <v>true</v>
      </c>
      <c r="U123" s="1461"/>
      <c r="V123" s="1461"/>
      <c r="W123" s="1461"/>
      <c r="X123" s="1461"/>
      <c r="Y123" s="1461"/>
      <c r="Z123" s="1461"/>
      <c r="AA123" s="227"/>
      <c r="AB123" s="660" t="str">
        <f>AB118&amp;".5"</f>
        <v>15.5</v>
      </c>
      <c r="AC123" s="312" t="s">
        <v>1741</v>
      </c>
      <c r="AD123" s="309" t="s">
        <v>490</v>
      </c>
      <c r="AE123" s="662">
        <f>_xlfn.IFERROR(AE122/AE120,0)</f>
        <v>0</v>
      </c>
      <c r="AF123" s="613"/>
      <c r="AG123" s="613"/>
      <c r="AH123" s="613"/>
      <c r="AI123" s="662">
        <f>_xlfn.IFERROR(AI122/AI120,0)</f>
        <v>0</v>
      </c>
      <c r="AJ123" s="662">
        <f>_xlfn.IFERROR(AJ122/AJ120,0)</f>
        <v>3.16374380337117</v>
      </c>
      <c r="AK123" s="662">
        <f>_xlfn.IFERROR(AK122/AK120,0)</f>
        <v>0.99999999999997</v>
      </c>
      <c r="AL123" s="662">
        <f>_xlfn.IFERROR(AL122/AL120,0)</f>
        <v>1.13804146576709</v>
      </c>
      <c r="AM123" s="662">
        <f>_xlfn.IFERROR(AM122/AM120,0)</f>
        <v>1</v>
      </c>
      <c r="AN123" s="662">
        <f>_xlfn.IFERROR(AN122/AN120,0)</f>
        <v>1.13334501219138</v>
      </c>
      <c r="AO123" s="662">
        <f>_xlfn.IFERROR(AO122/AO120,0)</f>
        <v>1</v>
      </c>
      <c r="AP123" s="662">
        <f>_xlfn.IFERROR(AP122/AP120,0)</f>
        <v>1</v>
      </c>
      <c r="AQ123" s="662">
        <f>_xlfn.IFERROR(AQ122/AQ120,0)</f>
        <v>1</v>
      </c>
      <c r="AR123" s="662">
        <f>_xlfn.IFERROR(AR122/AR120,0)</f>
        <v>1</v>
      </c>
      <c r="AS123" s="662">
        <f>_xlfn.IFERROR(AS122/AS120,0)</f>
        <v>1</v>
      </c>
      <c r="AT123" s="662">
        <f>_xlfn.IFERROR(AT122/AT120,0)</f>
        <v>1.11332159345105</v>
      </c>
      <c r="AU123" s="662">
        <f>_xlfn.IFERROR(AU122/AU120,0)</f>
        <v>4.37641127669277</v>
      </c>
      <c r="AV123" s="662">
        <f>_xlfn.IFERROR(AV122/AV120,0)</f>
        <v>1</v>
      </c>
      <c r="AW123" s="662">
        <f>_xlfn.IFERROR(AW122/AW120,0)</f>
        <v>1.1342005013485</v>
      </c>
      <c r="AX123" s="662">
        <f>_xlfn.IFERROR(AX122/AX120,0)</f>
        <v>1</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30"/>
      <c r="BO123" s="1730"/>
      <c r="BP123" s="1730"/>
      <c r="BQ123" s="227"/>
      <c r="BR123" s="227"/>
      <c r="BS123" s="1232" t="s">
        <v>1742</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M11244::ТЭ.42.26824396.0004::Неопределено::Неопределено::Неопределено::Неопределено::Неопределено</v>
      </c>
    </row>
    <row s="1619" customFormat="1" customHeight="1" ht="14.25">
      <c r="A124" s="225"/>
      <c r="B124" s="924"/>
      <c r="C124" s="1298" t="s">
        <v>1743</v>
      </c>
      <c r="D124" s="1257" t="s">
        <v>1744</v>
      </c>
      <c r="E124" s="794">
        <v>15</v>
      </c>
      <c r="F124" s="919" cm="1" t="str">
        <f t="array" ref="F124:F124">OFFSET(G124,-1,-1)</f>
        <v>1</v>
      </c>
      <c r="G124" s="227"/>
      <c r="H124" s="227"/>
      <c r="I124" s="227"/>
      <c r="J124" s="227"/>
      <c r="K124" s="227"/>
      <c r="L124" s="190"/>
      <c r="M124" s="1281"/>
      <c r="N124" s="1281" cm="1" t="str">
        <f t="array" ref="N124:N124">OFFSET(M124,-1,1)</f>
        <v>ТЭ.42.26824396.0004</v>
      </c>
      <c r="O124" s="1282"/>
      <c r="P124" s="1282"/>
      <c r="Q124" s="1282"/>
      <c r="R124" s="1282"/>
      <c r="S124" s="1619"/>
      <c r="T124" s="805" cm="1" t="str">
        <f t="array" ref="T124:T124">T123</f>
        <v>true</v>
      </c>
      <c r="U124" s="1461"/>
      <c r="V124" s="1461"/>
      <c r="W124" s="1461"/>
      <c r="X124" s="1461"/>
      <c r="Y124" s="1461"/>
      <c r="Z124" s="1461"/>
      <c r="AA124" s="227"/>
      <c r="AB124" s="660" t="str">
        <f>AB118&amp;".6"</f>
        <v>15.6</v>
      </c>
      <c r="AC124" s="312" t="s">
        <v>1745</v>
      </c>
      <c r="AD124" s="309" t="s">
        <v>895</v>
      </c>
      <c r="AE124" s="612">
        <f>_xlfn.IFERROR(AE115*1000/AE118,0)</f>
        <v>0</v>
      </c>
      <c r="AF124" s="613"/>
      <c r="AG124" s="613"/>
      <c r="AH124" s="613"/>
      <c r="AI124" s="612">
        <f>_xlfn.IFERROR(AI115*1000/AI118,0)</f>
        <v>0</v>
      </c>
      <c r="AJ124" s="612">
        <f>_xlfn.IFERROR(AJ115*1000/AJ118,0)</f>
        <v>14237.2262142336</v>
      </c>
      <c r="AK124" s="612">
        <f>_xlfn.IFERROR(AK115*1000/AK118,0)</f>
        <v>10198.172263965</v>
      </c>
      <c r="AL124" s="612">
        <f>_xlfn.IFERROR(AL115*1000/AL118,0)</f>
        <v>10553.7114201853</v>
      </c>
      <c r="AM124" s="612">
        <f>_xlfn.IFERROR(AM115*1000/AM118,0)</f>
        <v>10891.487924789</v>
      </c>
      <c r="AN124" s="612">
        <f>_xlfn.IFERROR(AN115*1000/AN118,0)</f>
        <v>11258.279643168</v>
      </c>
      <c r="AO124" s="612">
        <f>_xlfn.IFERROR(AO115*1000/AO118,0)</f>
        <v>2400.45285593701</v>
      </c>
      <c r="AP124" s="612">
        <f>_xlfn.IFERROR(AP115*1000/AP118,0)</f>
        <v>2376.44832737764</v>
      </c>
      <c r="AQ124" s="612">
        <f>_xlfn.IFERROR(AQ115*1000/AQ118,0)</f>
        <v>2352.68384410387</v>
      </c>
      <c r="AR124" s="612">
        <f>_xlfn.IFERROR(AR115*1000/AR118,0)</f>
        <v>2329.15700566283</v>
      </c>
      <c r="AS124" s="612">
        <f>_xlfn.IFERROR(AS115*1000/AS118,0)</f>
        <v>2305.8654356062</v>
      </c>
      <c r="AT124" s="612">
        <f>_xlfn.IFERROR(AT115*1000/AT118,0)</f>
        <v>6164.2096069265</v>
      </c>
      <c r="AU124" s="612">
        <f>_xlfn.IFERROR(AU115*1000/AU118,0)</f>
        <v>8234.4155965681</v>
      </c>
      <c r="AV124" s="612">
        <f>_xlfn.IFERROR(AV115*1000/AV118,0)</f>
        <v>8240.40037236781</v>
      </c>
      <c r="AW124" s="612">
        <f>_xlfn.IFERROR(AW115*1000/AW118,0)</f>
        <v>8519.69204244394</v>
      </c>
      <c r="AX124" s="612">
        <f>_xlfn.IFERROR(AX115*1000/AX118,0)</f>
        <v>8805.95533510562</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30"/>
      <c r="BO124" s="1730"/>
      <c r="BP124" s="1730"/>
      <c r="BQ124" s="227"/>
      <c r="BR124" s="227"/>
      <c r="BS124" s="1232" t="s">
        <v>1746</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M10552::ТЭ.42.26824396.0004::Неопределено::Неопределено::Неопределено::Неопределено::Неопределено</v>
      </c>
    </row>
    <row s="1619" customFormat="1" customHeight="1" ht="14.25" hidden="1">
      <c r="A125" s="225"/>
      <c r="B125" s="924"/>
      <c r="C125" s="1298" t="s">
        <v>1747</v>
      </c>
      <c r="D125" s="1257" t="s">
        <v>1748</v>
      </c>
      <c r="E125" s="794">
        <v>15</v>
      </c>
      <c r="F125" s="919" cm="1" t="str">
        <f t="array" ref="F125:F125">OFFSET(G125,-1,-1)</f>
        <v>1</v>
      </c>
      <c r="G125" s="227"/>
      <c r="H125" s="227"/>
      <c r="I125" s="227"/>
      <c r="J125" s="227"/>
      <c r="K125" s="227"/>
      <c r="L125" s="190" t="s">
        <v>1710</v>
      </c>
      <c r="M125" s="1281"/>
      <c r="N125" s="1281" cm="1" t="str">
        <f t="array" ref="N125:N125">OFFSET(M125,-1,1)</f>
        <v>ТЭ.42.26824396.0004</v>
      </c>
      <c r="O125" s="1282"/>
      <c r="P125" s="1282"/>
      <c r="Q125" s="1282"/>
      <c r="R125" s="1282"/>
      <c r="S125" s="1619"/>
      <c r="T125" s="805" cm="1" t="str">
        <f t="array" ref="T125:T125">T116</f>
        <v>false</v>
      </c>
      <c r="U125" s="1461"/>
      <c r="V125" s="1461"/>
      <c r="W125" s="1461"/>
      <c r="X125" s="1461"/>
      <c r="Y125" s="1461"/>
      <c r="Z125" s="1461"/>
      <c r="AA125" s="227"/>
      <c r="AB125" s="314" t="s">
        <v>1749</v>
      </c>
      <c r="AC125" s="886" t="s">
        <v>1750</v>
      </c>
      <c r="AD125" s="664" t="s">
        <v>690</v>
      </c>
      <c r="AE125" s="307">
        <f>_xlfn.SUMIFS('Баланс Пр'!AE$27:AE$233,'Баланс Пр'!$F$27:$F$233,$F125,'Баланс Пр'!$AB$27:$AB$233,"10")</f>
        <v>0</v>
      </c>
      <c r="AF125" s="613"/>
      <c r="AG125" s="613"/>
      <c r="AH125" s="613"/>
      <c r="AI125" s="307">
        <f>_xlfn.SUMIFS('Баланс Пр'!AH$27:AH$233,'Баланс Пр'!$F$27:$F$233,$F125,'Баланс Пр'!$AB$27:$AB$233,"10")</f>
        <v>0</v>
      </c>
      <c r="AJ125" s="307">
        <f>_xlfn.SUMIFS('Баланс Пр'!AI$27:AI$233,'Баланс Пр'!$F$27:$F$233,$F125,'Баланс Пр'!$AB$27:$AB$233,"10")</f>
        <v>0</v>
      </c>
      <c r="AK125" s="307">
        <f>_xlfn.SUMIFS('Баланс Пр'!AJ$27:AJ$233,'Баланс Пр'!$F$27:$F$233,$F125,'Баланс Пр'!$AB$27:$AB$233,"10")</f>
        <v>0</v>
      </c>
      <c r="AL125" s="307">
        <f>_xlfn.SUMIFS('Баланс Пр'!AK$27:AK$233,'Баланс Пр'!$F$27:$F$233,$F125,'Баланс Пр'!$AB$27:$AB$233,"10")</f>
        <v>0</v>
      </c>
      <c r="AM125" s="307">
        <f>_xlfn.SUMIFS('Баланс Пр'!AL$27:AL$233,'Баланс Пр'!$F$27:$F$233,$F125,'Баланс Пр'!$AB$27:$AB$233,"10")</f>
        <v>0</v>
      </c>
      <c r="AN125" s="307">
        <f>_xlfn.SUMIFS('Баланс Пр'!AM$27:AM$233,'Баланс Пр'!$F$27:$F$233,$F125,'Баланс Пр'!$AB$27:$AB$233,"10")</f>
        <v>0</v>
      </c>
      <c r="AO125" s="307">
        <f>_xlfn.SUMIFS('Баланс Пр'!AN$27:AN$233,'Баланс Пр'!$F$27:$F$233,$F125,'Баланс Пр'!$AB$27:$AB$233,"10")</f>
        <v>0</v>
      </c>
      <c r="AP125" s="307">
        <f>_xlfn.SUMIFS('Баланс Пр'!AO$27:AO$233,'Баланс Пр'!$F$27:$F$233,$F125,'Баланс Пр'!$AB$27:$AB$233,"10")</f>
        <v>0</v>
      </c>
      <c r="AQ125" s="307">
        <f>_xlfn.SUMIFS('Баланс Пр'!AP$27:AP$233,'Баланс Пр'!$F$27:$F$233,$F125,'Баланс Пр'!$AB$27:$AB$233,"10")</f>
        <v>0</v>
      </c>
      <c r="AR125" s="307">
        <f>_xlfn.SUMIFS('Баланс Пр'!AQ$27:AQ$233,'Баланс Пр'!$F$27:$F$233,$F125,'Баланс Пр'!$AB$27:$AB$233,"10")</f>
        <v>0</v>
      </c>
      <c r="AS125" s="307">
        <f>_xlfn.SUMIFS('Баланс Пр'!AR$27:AR$233,'Баланс Пр'!$F$27:$F$233,$F125,'Баланс Пр'!$AB$27:$AB$233,"10")</f>
        <v>0</v>
      </c>
      <c r="AT125" s="307">
        <f>_xlfn.SUMIFS('Баланс Пр'!AS$27:AS$233,'Баланс Пр'!$F$27:$F$233,$F125,'Баланс Пр'!$AB$27:$AB$233,"10")</f>
        <v>0</v>
      </c>
      <c r="AU125" s="307">
        <f>_xlfn.SUMIFS('Баланс Пр'!AT$27:AT$233,'Баланс Пр'!$F$27:$F$233,$F125,'Баланс Пр'!$AB$27:$AB$233,"10")</f>
        <v>0</v>
      </c>
      <c r="AV125" s="307">
        <f>_xlfn.SUMIFS('Баланс Пр'!AU$27:AU$233,'Баланс Пр'!$F$27:$F$233,$F125,'Баланс Пр'!$AB$27:$AB$233,"10")</f>
        <v>0</v>
      </c>
      <c r="AW125" s="307">
        <f>_xlfn.SUMIFS('Баланс Пр'!AV$27:AV$233,'Баланс Пр'!$F$27:$F$233,$F125,'Баланс Пр'!$AB$27:$AB$233,"10")</f>
        <v>0</v>
      </c>
      <c r="AX125" s="307">
        <f>_xlfn.SUMIFS('Баланс Пр'!AW$27:AW$233,'Баланс Пр'!$F$27:$F$233,$F125,'Баланс Пр'!$AB$27:$AB$233,"10")</f>
        <v>0</v>
      </c>
      <c r="AY125" s="307">
        <f>_xlfn.SUMIFS('Баланс Пр'!AX$27:AX$233,'Баланс Пр'!$F$27:$F$233,$F125,'Баланс Пр'!$AB$27:$AB$233,"10")</f>
        <v>0</v>
      </c>
      <c r="AZ125" s="307">
        <f>_xlfn.SUMIFS('Баланс Пр'!AY$27:AY$233,'Баланс Пр'!$F$27:$F$233,$F125,'Баланс Пр'!$AB$27:$AB$233,"10")</f>
        <v>0</v>
      </c>
      <c r="BA125" s="307">
        <f>_xlfn.SUMIFS('Баланс Пр'!AZ$27:AZ$233,'Баланс Пр'!$F$27:$F$233,$F125,'Баланс Пр'!$AB$27:$AB$233,"10")</f>
        <v>0</v>
      </c>
      <c r="BB125" s="307">
        <f>_xlfn.SUMIFS('Баланс Пр'!BA$27:BA$233,'Баланс Пр'!$F$27:$F$233,$F125,'Баланс Пр'!$AB$27:$AB$233,"10")</f>
        <v>0</v>
      </c>
      <c r="BC125" s="307">
        <f>_xlfn.SUMIFS('Баланс Пр'!BB$27:BB$233,'Баланс Пр'!$F$27:$F$233,$F125,'Баланс Пр'!$AB$27:$AB$233,"10")</f>
        <v>0</v>
      </c>
      <c r="BD125" s="374"/>
      <c r="BE125" s="374"/>
      <c r="BF125" s="374"/>
      <c r="BG125" s="374"/>
      <c r="BH125" s="374"/>
      <c r="BI125" s="374"/>
      <c r="BJ125" s="374"/>
      <c r="BK125" s="374"/>
      <c r="BL125" s="374"/>
      <c r="BM125" s="374"/>
      <c r="BN125" s="73"/>
      <c r="BO125" s="73"/>
      <c r="BP125" s="73"/>
      <c r="BQ125" s="227"/>
      <c r="BR125" s="227"/>
      <c r="BS125" s="1232" t="s">
        <v>691</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M10476::ТЭ.42.26824396.0004::Неопределено::Неопределено::Неопределено::Неопределено::Неопределено</v>
      </c>
    </row>
    <row s="1619" customFormat="1" customHeight="1" ht="14.25" hidden="1">
      <c r="A126" s="225"/>
      <c r="B126" s="924"/>
      <c r="C126" s="1298" t="s">
        <v>1747</v>
      </c>
      <c r="D126" s="1257" t="s">
        <v>1748</v>
      </c>
      <c r="E126" s="794">
        <v>15</v>
      </c>
      <c r="F126" s="919" cm="1" t="str">
        <f t="array" ref="F126:F126">OFFSET(G126,-1,-1)</f>
        <v>1</v>
      </c>
      <c r="G126" s="190" t="s">
        <v>1751</v>
      </c>
      <c r="H126" s="227"/>
      <c r="I126" s="227"/>
      <c r="J126" s="227"/>
      <c r="K126" s="227"/>
      <c r="L126" s="190" t="s">
        <v>1710</v>
      </c>
      <c r="M126" s="1281"/>
      <c r="N126" s="1281" cm="1" t="str">
        <f t="array" ref="N126:N126">OFFSET(M126,-1,1)</f>
        <v>ТЭ.42.26824396.0004</v>
      </c>
      <c r="O126" s="1282" t="s">
        <v>1724</v>
      </c>
      <c r="P126" s="1282"/>
      <c r="Q126" s="1282"/>
      <c r="R126" s="1282"/>
      <c r="S126" s="1619"/>
      <c r="T126" s="805" cm="1" t="str">
        <f t="array" ref="T126:T126">T125</f>
        <v>false</v>
      </c>
      <c r="U126" s="1461"/>
      <c r="V126" s="1461"/>
      <c r="W126" s="1461"/>
      <c r="X126" s="1461"/>
      <c r="Y126" s="1461"/>
      <c r="Z126" s="1461"/>
      <c r="AA126" s="227"/>
      <c r="AB126" s="660" t="str">
        <f>AB125&amp;".1"</f>
        <v>16.1</v>
      </c>
      <c r="AC126" s="720" t="s">
        <v>1752</v>
      </c>
      <c r="AD126" s="620" t="s">
        <v>690</v>
      </c>
      <c r="AE126" s="121" cm="1" t="str">
        <f t="array" ref="AE126:AE126">AE125</f>
        <v>0</v>
      </c>
      <c r="AF126" s="613"/>
      <c r="AG126" s="613"/>
      <c r="AH126" s="613"/>
      <c r="AI126" s="121" cm="1" t="str">
        <f t="array" ref="AI126:AI126">AI125</f>
        <v>0</v>
      </c>
      <c r="AJ126" s="614" cm="1" t="str">
        <f t="array" ref="AJ126:AJ126">AJ125</f>
        <v>0</v>
      </c>
      <c r="AK126" s="614" cm="1" t="str">
        <f t="array" ref="AK126:AK126">AK125</f>
        <v>0</v>
      </c>
      <c r="AL126" s="614" cm="1" t="str">
        <f t="array" ref="AL126:AL126">AL125</f>
        <v>0</v>
      </c>
      <c r="AM126" s="614" cm="1" t="str">
        <f t="array" ref="AM126:AM126">AM125</f>
        <v>0</v>
      </c>
      <c r="AN126" s="614"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4" cm="1" t="str">
        <f t="array" ref="AT126:AT126">AT125</f>
        <v>0</v>
      </c>
      <c r="AU126" s="614" cm="1" t="str">
        <f t="array" ref="AU126:AU126">AU125</f>
        <v>0</v>
      </c>
      <c r="AV126" s="614" cm="1" t="str">
        <f t="array" ref="AV126:AV126">AV125</f>
        <v>0</v>
      </c>
      <c r="AW126" s="614" cm="1" t="str">
        <f t="array" ref="AW126:AW126">AW125</f>
        <v>0</v>
      </c>
      <c r="AX126" s="614"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4"/>
      <c r="BE126" s="374"/>
      <c r="BF126" s="374"/>
      <c r="BG126" s="374"/>
      <c r="BH126" s="374"/>
      <c r="BI126" s="374"/>
      <c r="BJ126" s="374"/>
      <c r="BK126" s="374"/>
      <c r="BL126" s="374"/>
      <c r="BM126" s="374"/>
      <c r="BN126" s="73"/>
      <c r="BO126" s="73"/>
      <c r="BP126" s="73"/>
      <c r="BQ126" s="227"/>
      <c r="BR126" s="227"/>
      <c r="BS126" s="1232" t="s">
        <v>1753</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M10476::ТЭ.42.26824396.0004::Неопределено::8.0.3.::Неопределено::Неопределено::Неопределено</v>
      </c>
    </row>
    <row s="1619" customFormat="1" customHeight="1" ht="14.25" hidden="1">
      <c r="A127" s="225"/>
      <c r="B127" s="924"/>
      <c r="C127" s="1298" t="s">
        <v>1747</v>
      </c>
      <c r="D127" s="1257" t="s">
        <v>1748</v>
      </c>
      <c r="E127" s="794">
        <v>15</v>
      </c>
      <c r="F127" s="919" cm="1" t="str">
        <f t="array" ref="F127:F127">OFFSET(G127,-1,-1)</f>
        <v>1</v>
      </c>
      <c r="G127" s="190" t="s">
        <v>1754</v>
      </c>
      <c r="H127" s="227"/>
      <c r="I127" s="227"/>
      <c r="J127" s="227"/>
      <c r="K127" s="227"/>
      <c r="L127" s="190" t="s">
        <v>1710</v>
      </c>
      <c r="M127" s="1281"/>
      <c r="N127" s="1281" cm="1" t="str">
        <f t="array" ref="N127:N127">OFFSET(M127,-1,1)</f>
        <v>ТЭ.42.26824396.0004</v>
      </c>
      <c r="O127" s="1282" t="s">
        <v>1733</v>
      </c>
      <c r="P127" s="1282"/>
      <c r="Q127" s="1282"/>
      <c r="R127" s="1282"/>
      <c r="S127" s="1619"/>
      <c r="T127" s="805" cm="1" t="str">
        <f t="array" ref="T127:T127">T126</f>
        <v>false</v>
      </c>
      <c r="U127" s="1461"/>
      <c r="V127" s="1461"/>
      <c r="W127" s="1461"/>
      <c r="X127" s="1461"/>
      <c r="Y127" s="1461"/>
      <c r="Z127" s="1461"/>
      <c r="AA127" s="227"/>
      <c r="AB127" s="660" t="str">
        <f>AB125&amp;".2"</f>
        <v>16.2</v>
      </c>
      <c r="AC127" s="720" t="s">
        <v>1755</v>
      </c>
      <c r="AD127" s="620" t="s">
        <v>690</v>
      </c>
      <c r="AE127" s="121" cm="1" t="str">
        <f t="array" ref="AE127:AE127">AE125</f>
        <v>0</v>
      </c>
      <c r="AF127" s="613"/>
      <c r="AG127" s="613"/>
      <c r="AH127" s="613"/>
      <c r="AI127" s="121" cm="1" t="str">
        <f t="array" ref="AI127:AI127">AI125</f>
        <v>0</v>
      </c>
      <c r="AJ127" s="614" cm="1" t="str">
        <f t="array" ref="AJ127:AJ127">AJ125</f>
        <v>0</v>
      </c>
      <c r="AK127" s="614" cm="1" t="str">
        <f t="array" ref="AK127:AK127">AK125</f>
        <v>0</v>
      </c>
      <c r="AL127" s="614" cm="1" t="str">
        <f t="array" ref="AL127:AL127">AL125</f>
        <v>0</v>
      </c>
      <c r="AM127" s="614" cm="1" t="str">
        <f t="array" ref="AM127:AM127">AM125</f>
        <v>0</v>
      </c>
      <c r="AN127" s="614"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4" cm="1" t="str">
        <f t="array" ref="AT127:AT127">AT125</f>
        <v>0</v>
      </c>
      <c r="AU127" s="614" cm="1" t="str">
        <f t="array" ref="AU127:AU127">AU125</f>
        <v>0</v>
      </c>
      <c r="AV127" s="614" cm="1" t="str">
        <f t="array" ref="AV127:AV127">AV125</f>
        <v>0</v>
      </c>
      <c r="AW127" s="614" cm="1" t="str">
        <f t="array" ref="AW127:AW127">AW125</f>
        <v>0</v>
      </c>
      <c r="AX127" s="614"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4"/>
      <c r="BE127" s="374"/>
      <c r="BF127" s="374"/>
      <c r="BG127" s="374"/>
      <c r="BH127" s="374"/>
      <c r="BI127" s="374"/>
      <c r="BJ127" s="374"/>
      <c r="BK127" s="374"/>
      <c r="BL127" s="374"/>
      <c r="BM127" s="374"/>
      <c r="BN127" s="73"/>
      <c r="BO127" s="73"/>
      <c r="BP127" s="73"/>
      <c r="BQ127" s="227"/>
      <c r="BR127" s="227"/>
      <c r="BS127" s="1232" t="s">
        <v>1756</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M10476::ТЭ.42.26824396.0004::Неопределено::8.0.5.::Неопределено::Неопределено::Неопределено</v>
      </c>
    </row>
    <row s="1619" customFormat="1" customHeight="1" ht="14.25" hidden="1">
      <c r="A128" s="225"/>
      <c r="B128" s="924"/>
      <c r="C128" s="1298"/>
      <c r="D128" s="1257"/>
      <c r="E128" s="794">
        <v>15</v>
      </c>
      <c r="F128" s="919" cm="1" t="str">
        <f t="array" ref="F128:F128">OFFSET(G128,-1,-1)</f>
        <v>1</v>
      </c>
      <c r="G128" s="227"/>
      <c r="H128" s="227"/>
      <c r="I128" s="227"/>
      <c r="J128" s="227"/>
      <c r="K128" s="227"/>
      <c r="L128" s="190" t="s">
        <v>1710</v>
      </c>
      <c r="M128" s="1281"/>
      <c r="N128" s="1281" cm="1" t="str">
        <f t="array" ref="N128:N128">OFFSET(M128,-1,1)</f>
        <v>ТЭ.42.26824396.0004</v>
      </c>
      <c r="O128" s="1282"/>
      <c r="P128" s="1282"/>
      <c r="Q128" s="1282"/>
      <c r="R128" s="1282"/>
      <c r="S128" s="1619"/>
      <c r="T128" s="805" cm="1" t="str">
        <f t="array" ref="T128:T128">T127</f>
        <v>false</v>
      </c>
      <c r="U128" s="1461"/>
      <c r="V128" s="1461"/>
      <c r="W128" s="1461"/>
      <c r="X128" s="1461"/>
      <c r="Y128" s="1461"/>
      <c r="Z128" s="1461"/>
      <c r="AA128" s="227"/>
      <c r="AB128" s="659" t="s">
        <v>1757</v>
      </c>
      <c r="AC128" s="618" t="s">
        <v>1758</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3"/>
      <c r="BO128" s="73"/>
      <c r="BP128" s="73"/>
      <c r="BQ128" s="227"/>
      <c r="BR128" s="227"/>
      <c r="BS128" s="1232" t="s">
        <v>1759</v>
      </c>
      <c r="BT128" s="1232"/>
      <c r="BU128" s="1232"/>
      <c r="BV128" s="1233"/>
      <c r="BW128" s="1233"/>
      <c r="BX128" s="1336"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M11407::ТЭ.42.26824396.0004::Неопределено::Неопределено::Неопределено::Неопределено::Неопределено</v>
      </c>
    </row>
    <row s="1619" customFormat="1" customHeight="1" ht="14.25" hidden="1">
      <c r="A129" s="225"/>
      <c r="B129" s="924"/>
      <c r="C129" s="1298" t="s">
        <v>1760</v>
      </c>
      <c r="D129" s="1257" t="s">
        <v>1761</v>
      </c>
      <c r="E129" s="794">
        <v>15</v>
      </c>
      <c r="F129" s="919" cm="1" t="str">
        <f t="array" ref="F129:F129">OFFSET(G129,-1,-1)</f>
        <v>1</v>
      </c>
      <c r="G129" s="190" t="s">
        <v>1762</v>
      </c>
      <c r="H129" s="227"/>
      <c r="I129" s="227"/>
      <c r="J129" s="227"/>
      <c r="K129" s="227"/>
      <c r="L129" s="190" t="s">
        <v>1710</v>
      </c>
      <c r="M129" s="1281"/>
      <c r="N129" s="1281" cm="1" t="str">
        <f t="array" ref="N129:N129">OFFSET(M129,-1,1)</f>
        <v>ТЭ.42.26824396.0004</v>
      </c>
      <c r="O129" s="1282" t="s">
        <v>1724</v>
      </c>
      <c r="P129" s="1282"/>
      <c r="Q129" s="1282"/>
      <c r="R129" s="1282"/>
      <c r="S129" s="1619"/>
      <c r="T129" s="805" cm="1" t="str">
        <f t="array" ref="T129:T129">T128</f>
        <v>false</v>
      </c>
      <c r="U129" s="1461"/>
      <c r="V129" s="1461"/>
      <c r="W129" s="1461"/>
      <c r="X129" s="1461"/>
      <c r="Y129" s="1461"/>
      <c r="Z129" s="1461"/>
      <c r="AA129" s="227"/>
      <c r="AB129" s="660" t="str">
        <f>AB128&amp;".1"</f>
        <v>17.1</v>
      </c>
      <c r="AC129" s="1346" t="s">
        <v>1763</v>
      </c>
      <c r="AD129" s="517" t="s">
        <v>895</v>
      </c>
      <c r="AE129" s="121"/>
      <c r="AF129" s="613"/>
      <c r="AG129" s="613"/>
      <c r="AH129" s="613"/>
      <c r="AI129" s="121">
        <f>MIN(AE130,_xlfn.IFERROR(AI116*1000/AI118,0))</f>
        <v>0</v>
      </c>
      <c r="AJ129" s="614">
        <f>MIN(AI130,_xlfn.IFERROR(AJ116*1000/AJ118,0))</f>
        <v>0</v>
      </c>
      <c r="AK129" s="614">
        <f>MIN(AJ130,_xlfn.IFERROR(AK116*1000/AK118,0))</f>
        <v>3456.9332</v>
      </c>
      <c r="AL129" s="614">
        <f>MIN(AK130,_xlfn.IFERROR(AL116*1000/AL118,0))</f>
        <v>3456.9332</v>
      </c>
      <c r="AM129" s="614">
        <f>MIN(AL130,_xlfn.IFERROR(AM116*1000/AM118,0))</f>
        <v>3723.35715</v>
      </c>
      <c r="AN129" s="614">
        <f>MIN(AM130,_xlfn.IFERROR(AN116*1000/AN118,0))</f>
        <v>3723.35715</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4">
        <f>MIN(AI130,_xlfn.IFERROR(AT116*1000/AT118,0))</f>
        <v>0</v>
      </c>
      <c r="AU129" s="614">
        <f>MIN(AT130,_xlfn.IFERROR(AU116*1000/AU118,0))</f>
        <v>2956.00280997541</v>
      </c>
      <c r="AV129" s="614">
        <f>MIN(AU130,_xlfn.IFERROR(AV116*1000/AV118,0))</f>
        <v>2956.00280997541</v>
      </c>
      <c r="AW129" s="614">
        <f>MIN(AV130,_xlfn.IFERROR(AW116*1000/AW118,0))</f>
        <v>3117.78011942396</v>
      </c>
      <c r="AX129" s="614">
        <f>MIN(AW130,_xlfn.IFERROR(AX116*1000/AX118,0))</f>
        <v>3117.78011942393</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4"/>
      <c r="BE129" s="374"/>
      <c r="BF129" s="374"/>
      <c r="BG129" s="374"/>
      <c r="BH129" s="374"/>
      <c r="BI129" s="374"/>
      <c r="BJ129" s="374"/>
      <c r="BK129" s="374"/>
      <c r="BL129" s="374"/>
      <c r="BM129" s="374"/>
      <c r="BN129" s="73"/>
      <c r="BO129" s="73"/>
      <c r="BP129" s="73"/>
      <c r="BQ129" s="227"/>
      <c r="BR129" s="227"/>
      <c r="BS129" s="1232" t="s">
        <v>1764</v>
      </c>
      <c r="BT129" s="1232"/>
      <c r="BU129" s="1232"/>
      <c r="BV129" s="1233"/>
      <c r="BW129" s="1233"/>
      <c r="BX129" s="1268"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M11407::ТЭ.42.26824396.0004::Неопределено::8.0.3.::Неопределено::Неопределено::Неопределено</v>
      </c>
    </row>
    <row s="1619" customFormat="1" customHeight="1" ht="14.25" hidden="1">
      <c r="A130" s="225"/>
      <c r="B130" s="924"/>
      <c r="C130" s="1298" t="s">
        <v>1760</v>
      </c>
      <c r="D130" s="1257" t="s">
        <v>1761</v>
      </c>
      <c r="E130" s="794">
        <v>15</v>
      </c>
      <c r="F130" s="919" cm="1" t="str">
        <f t="array" ref="F130:F130">OFFSET(G130,-1,-1)</f>
        <v>1</v>
      </c>
      <c r="G130" s="190" t="s">
        <v>1765</v>
      </c>
      <c r="H130" s="227"/>
      <c r="I130" s="227"/>
      <c r="J130" s="227"/>
      <c r="K130" s="227"/>
      <c r="L130" s="190" t="s">
        <v>1710</v>
      </c>
      <c r="M130" s="1281"/>
      <c r="N130" s="1281" cm="1" t="str">
        <f t="array" ref="N130:N130">OFFSET(M130,-1,1)</f>
        <v>ТЭ.42.26824396.0004</v>
      </c>
      <c r="O130" s="1282" t="s">
        <v>1733</v>
      </c>
      <c r="P130" s="1282"/>
      <c r="Q130" s="1282"/>
      <c r="R130" s="1282"/>
      <c r="S130" s="1619"/>
      <c r="T130" s="805" cm="1" t="str">
        <f t="array" ref="T130:T130">T129</f>
        <v>false</v>
      </c>
      <c r="U130" s="1461"/>
      <c r="V130" s="1461"/>
      <c r="W130" s="1461"/>
      <c r="X130" s="1461"/>
      <c r="Y130" s="1461"/>
      <c r="Z130" s="1461"/>
      <c r="AA130" s="227"/>
      <c r="AB130" s="660" t="str">
        <f>AB128&amp;".2"</f>
        <v>17.2</v>
      </c>
      <c r="AC130" s="1346" t="s">
        <v>1766</v>
      </c>
      <c r="AD130" s="517" t="s">
        <v>895</v>
      </c>
      <c r="AE130" s="612">
        <f>_xlfn.IFERROR((AE116*1000-AE119*AE129)/AE121,0)</f>
        <v>0</v>
      </c>
      <c r="AF130" s="613"/>
      <c r="AG130" s="613"/>
      <c r="AH130" s="613"/>
      <c r="AI130" s="612">
        <f>_xlfn.IFERROR((AI116*1000-AI119*AI129)/AI121,0)</f>
        <v>0</v>
      </c>
      <c r="AJ130" s="612">
        <f>_xlfn.IFERROR((AJ116*1000-AJ119*AJ129)/AJ121,0)</f>
        <v>12965.317900289</v>
      </c>
      <c r="AK130" s="612">
        <f>_xlfn.IFERROR((AK116*1000-AK119*AK129)/AK121,0)</f>
        <v>3456.9332</v>
      </c>
      <c r="AL130" s="612">
        <f>_xlfn.IFERROR((AL116*1000-AL119*AL129)/AL121,0)</f>
        <v>3974.27747023121</v>
      </c>
      <c r="AM130" s="612">
        <f>_xlfn.IFERROR((AM116*1000-AM119*AM129)/AM121,0)</f>
        <v>3723.35715</v>
      </c>
      <c r="AN130" s="612">
        <f>_xlfn.IFERROR((AN116*1000-AN119*AN129)/AN121,0)</f>
        <v>4284.06528583815</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11211.1100621078</v>
      </c>
      <c r="AU130" s="612">
        <f>_xlfn.IFERROR((AU116*1000-AU119*AU129)/AU121,0)</f>
        <v>2956.00280997541</v>
      </c>
      <c r="AV130" s="612">
        <f>_xlfn.IFERROR((AV116*1000-AV119*AV129)/AV121,0)</f>
        <v>3272.01479703818</v>
      </c>
      <c r="AW130" s="612">
        <f>_xlfn.IFERROR((AW116*1000-AW119*AW129)/AW121,0)</f>
        <v>3117.78011942393</v>
      </c>
      <c r="AX130" s="612">
        <f>_xlfn.IFERROR((AX116*1000-AX119*AX129)/AX121,0)</f>
        <v>3451.09335249974</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3"/>
      <c r="BO130" s="73"/>
      <c r="BP130" s="73"/>
      <c r="BQ130" s="227"/>
      <c r="BR130" s="227"/>
      <c r="BS130" s="1232" t="s">
        <v>1767</v>
      </c>
      <c r="BT130" s="1232"/>
      <c r="BU130" s="1232"/>
      <c r="BV130" s="1233"/>
      <c r="BW130" s="1233"/>
      <c r="BX130" s="1268"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M11407::ТЭ.42.26824396.0004::Неопределено::8.0.5.::Неопределено::Неопределено::Неопределено</v>
      </c>
    </row>
    <row s="1619" customFormat="1" customHeight="1" ht="14.25" hidden="1">
      <c r="A131" s="225"/>
      <c r="B131" s="924"/>
      <c r="C131" s="1298" t="s">
        <v>1768</v>
      </c>
      <c r="D131" s="1257" t="s">
        <v>1769</v>
      </c>
      <c r="E131" s="794">
        <v>15</v>
      </c>
      <c r="F131" s="919" cm="1" t="str">
        <f t="array" ref="F131:F131">OFFSET(G131,-1,-1)</f>
        <v>1</v>
      </c>
      <c r="G131" s="227"/>
      <c r="H131" s="227"/>
      <c r="I131" s="227"/>
      <c r="J131" s="227"/>
      <c r="K131" s="227"/>
      <c r="L131" s="190" t="s">
        <v>1710</v>
      </c>
      <c r="M131" s="1281"/>
      <c r="N131" s="1281" cm="1" t="str">
        <f t="array" ref="N131:N131">OFFSET(M131,-1,1)</f>
        <v>ТЭ.42.26824396.0004</v>
      </c>
      <c r="O131" s="1282"/>
      <c r="P131" s="1282" t="s">
        <v>1770</v>
      </c>
      <c r="Q131" s="1282"/>
      <c r="R131" s="1282"/>
      <c r="S131" s="1619"/>
      <c r="T131" s="805" cm="1" t="str">
        <f t="array" ref="T131:T131">T130</f>
        <v>false</v>
      </c>
      <c r="U131" s="1461"/>
      <c r="V131" s="1461"/>
      <c r="W131" s="1461"/>
      <c r="X131" s="1461"/>
      <c r="Y131" s="1461"/>
      <c r="Z131" s="1461"/>
      <c r="AA131" s="227"/>
      <c r="AB131" s="660" t="str">
        <f>AB128&amp;".3"</f>
        <v>17.3</v>
      </c>
      <c r="AC131" s="312" t="s">
        <v>1771</v>
      </c>
      <c r="AD131" s="517" t="s">
        <v>490</v>
      </c>
      <c r="AE131" s="662">
        <f>_xlfn.IFERROR(AE130/AE129,0)</f>
        <v>0</v>
      </c>
      <c r="AF131" s="613"/>
      <c r="AG131" s="613"/>
      <c r="AH131" s="613"/>
      <c r="AI131" s="662">
        <f>_xlfn.IFERROR(AI130/AI129,0)</f>
        <v>0</v>
      </c>
      <c r="AJ131" s="662">
        <f>_xlfn.IFERROR(AJ130/AJ129,0)</f>
        <v>0</v>
      </c>
      <c r="AK131" s="662">
        <f>_xlfn.IFERROR(AK130/AK129,0)</f>
        <v>1</v>
      </c>
      <c r="AL131" s="662">
        <f>_xlfn.IFERROR(AL130/AL129,0)</f>
        <v>1.14965411256174</v>
      </c>
      <c r="AM131" s="662">
        <f>_xlfn.IFERROR(AM130/AM129,0)</f>
        <v>1</v>
      </c>
      <c r="AN131" s="662">
        <f>_xlfn.IFERROR(AN130/AN129,0)</f>
        <v>1.15059209021572</v>
      </c>
      <c r="AO131" s="662">
        <f>_xlfn.IFERROR(AO130/AO129,0)</f>
        <v>0</v>
      </c>
      <c r="AP131" s="662">
        <f>_xlfn.IFERROR(AP130/AP129,0)</f>
        <v>0</v>
      </c>
      <c r="AQ131" s="662">
        <f>_xlfn.IFERROR(AQ130/AQ129,0)</f>
        <v>0</v>
      </c>
      <c r="AR131" s="662">
        <f>_xlfn.IFERROR(AR130/AR129,0)</f>
        <v>0</v>
      </c>
      <c r="AS131" s="662">
        <f>_xlfn.IFERROR(AS130/AS129,0)</f>
        <v>0</v>
      </c>
      <c r="AT131" s="662">
        <f>_xlfn.IFERROR(AT130/AT129,0)</f>
        <v>0</v>
      </c>
      <c r="AU131" s="662">
        <f>_xlfn.IFERROR(AU130/AU129,0)</f>
        <v>1</v>
      </c>
      <c r="AV131" s="662">
        <f>_xlfn.IFERROR(AV130/AV129,0)</f>
        <v>1.10690517140117</v>
      </c>
      <c r="AW131" s="662">
        <f>_xlfn.IFERROR(AW130/AW129,0)</f>
        <v>0.99999999999999</v>
      </c>
      <c r="AX131" s="662">
        <f>_xlfn.IFERROR(AX130/AX129,0)</f>
        <v>1.10690722896052</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3"/>
      <c r="BO131" s="73"/>
      <c r="BP131" s="73"/>
      <c r="BQ131" s="227"/>
      <c r="BR131" s="227"/>
      <c r="BS131" s="1232" t="s">
        <v>1772</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M10444::ТЭ.42.26824396.0004::Неопределено::Неопределено::90.0.0.::Неопределено::Неопределено</v>
      </c>
    </row>
    <row s="1619" customFormat="1" customHeight="1" ht="31.5" hidden="1">
      <c r="A132" s="225"/>
      <c r="B132" s="924"/>
      <c r="C132" s="1298"/>
      <c r="D132" s="1257"/>
      <c r="E132" s="794">
        <v>33</v>
      </c>
      <c r="F132" s="919" cm="1" t="str">
        <f t="array" ref="F132:F132">OFFSET(G132,-1,-1)</f>
        <v>1</v>
      </c>
      <c r="G132" s="227"/>
      <c r="H132" s="227"/>
      <c r="I132" s="227"/>
      <c r="J132" s="227"/>
      <c r="K132" s="227"/>
      <c r="L132" s="190" t="s">
        <v>1710</v>
      </c>
      <c r="M132" s="1281"/>
      <c r="N132" s="1281" cm="1" t="str">
        <f t="array" ref="N132:N132">OFFSET(M132,-1,1)</f>
        <v>ТЭ.42.26824396.0004</v>
      </c>
      <c r="O132" s="1282"/>
      <c r="P132" s="1282"/>
      <c r="Q132" s="1282"/>
      <c r="R132" s="1282"/>
      <c r="S132" s="1619"/>
      <c r="T132" s="805" cm="1" t="str">
        <f t="array" ref="T132:T132">T131</f>
        <v>false</v>
      </c>
      <c r="U132" s="1461"/>
      <c r="V132" s="1461"/>
      <c r="W132" s="1461"/>
      <c r="X132" s="1461"/>
      <c r="Y132" s="1461"/>
      <c r="Z132" s="1461"/>
      <c r="AA132" s="227"/>
      <c r="AB132" s="283" t="s">
        <v>553</v>
      </c>
      <c r="AC132" s="618" t="s">
        <v>1773</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3"/>
      <c r="BO132" s="73"/>
      <c r="BP132" s="73"/>
      <c r="BQ132" s="227"/>
      <c r="BR132" s="227"/>
      <c r="BS132" s="1232" t="s">
        <v>1774</v>
      </c>
      <c r="BT132" s="1232"/>
      <c r="BU132" s="1232"/>
      <c r="BV132" s="1233"/>
      <c r="BW132" s="1233"/>
      <c r="BX132" s="1336"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M11397::ТЭ.42.26824396.0004::Неопределено::Неопределено::Неопределено::Неопределено::Неопределено</v>
      </c>
    </row>
    <row s="1619" customFormat="1" customHeight="1" ht="31.5" hidden="1">
      <c r="A133" s="225"/>
      <c r="B133" s="924"/>
      <c r="C133" s="1298" t="s">
        <v>1775</v>
      </c>
      <c r="D133" s="1257" t="s">
        <v>1776</v>
      </c>
      <c r="E133" s="794">
        <v>33</v>
      </c>
      <c r="F133" s="919" cm="1" t="str">
        <f t="array" ref="F133:F133">OFFSET(G133,-1,-1)</f>
        <v>1</v>
      </c>
      <c r="G133" s="190" t="s">
        <v>1777</v>
      </c>
      <c r="H133" s="227"/>
      <c r="I133" s="227"/>
      <c r="J133" s="227"/>
      <c r="K133" s="227"/>
      <c r="L133" s="190" t="s">
        <v>1710</v>
      </c>
      <c r="M133" s="1281"/>
      <c r="N133" s="1281" cm="1" t="str">
        <f t="array" ref="N133:N133">OFFSET(M133,-1,1)</f>
        <v>ТЭ.42.26824396.0004</v>
      </c>
      <c r="O133" s="1282" t="s">
        <v>1724</v>
      </c>
      <c r="P133" s="1282"/>
      <c r="Q133" s="1282"/>
      <c r="R133" s="1282"/>
      <c r="S133" s="1619"/>
      <c r="T133" s="805" cm="1" t="str">
        <f t="array" ref="T133:T133">T132</f>
        <v>false</v>
      </c>
      <c r="U133" s="1461"/>
      <c r="V133" s="1461"/>
      <c r="W133" s="1461"/>
      <c r="X133" s="1461"/>
      <c r="Y133" s="1461"/>
      <c r="Z133" s="1461"/>
      <c r="AA133" s="227"/>
      <c r="AB133" s="660" t="str">
        <f>AB132&amp;".1"</f>
        <v>18.1</v>
      </c>
      <c r="AC133" s="161" t="s">
        <v>1778</v>
      </c>
      <c r="AD133" s="517" t="s">
        <v>1779</v>
      </c>
      <c r="AE133" s="98"/>
      <c r="AF133" s="374"/>
      <c r="AG133" s="374"/>
      <c r="AH133" s="374"/>
      <c r="AI133" s="121">
        <f>MIN(AE134,_xlfn.IFERROR(AI117/AI125/12,0))</f>
        <v>0</v>
      </c>
      <c r="AJ133" s="614">
        <f>MIN(AI134,_xlfn.IFERROR(AJ117/AJ125/12,0))</f>
        <v>0</v>
      </c>
      <c r="AK133" s="614">
        <f>MIN(AJ134,_xlfn.IFERROR(AK117/AK125/12,0))</f>
        <v>0</v>
      </c>
      <c r="AL133" s="614">
        <f>MIN(AK134,_xlfn.IFERROR(AL117/AL125/12,0))</f>
        <v>0</v>
      </c>
      <c r="AM133" s="614">
        <f>MIN(AL134,_xlfn.IFERROR(AM117/AM125/12,0))</f>
        <v>0</v>
      </c>
      <c r="AN133" s="614">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4">
        <f>MIN(AI134,_xlfn.IFERROR(AT117/AT125/12,0))</f>
        <v>0</v>
      </c>
      <c r="AU133" s="614">
        <f>MIN(AT134,_xlfn.IFERROR(AU117/AU125/12,0))</f>
        <v>0</v>
      </c>
      <c r="AV133" s="614">
        <f>MIN(AU134,_xlfn.IFERROR(AV117/AV125/12,0))</f>
        <v>0</v>
      </c>
      <c r="AW133" s="614">
        <f>MIN(AV134,_xlfn.IFERROR(AW117/AW125/12,0))</f>
        <v>0</v>
      </c>
      <c r="AX133" s="614">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4"/>
      <c r="BE133" s="374"/>
      <c r="BF133" s="374"/>
      <c r="BG133" s="374"/>
      <c r="BH133" s="374"/>
      <c r="BI133" s="374"/>
      <c r="BJ133" s="374"/>
      <c r="BK133" s="374"/>
      <c r="BL133" s="374"/>
      <c r="BM133" s="374"/>
      <c r="BN133" s="73"/>
      <c r="BO133" s="73"/>
      <c r="BP133" s="73"/>
      <c r="BQ133" s="227"/>
      <c r="BR133" s="227"/>
      <c r="BS133" s="1232" t="s">
        <v>1780</v>
      </c>
      <c r="BT133" s="1232"/>
      <c r="BU133" s="1232"/>
      <c r="BV133" s="1233"/>
      <c r="BW133" s="1233"/>
      <c r="BX133" s="1268"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M11397::ТЭ.42.26824396.0004::Неопределено::8.0.3.::Неопределено::Неопределено::Неопределено</v>
      </c>
    </row>
    <row s="1619" customFormat="1" customHeight="1" ht="31.5" hidden="1">
      <c r="A134" s="225"/>
      <c r="B134" s="924"/>
      <c r="C134" s="1298" t="s">
        <v>1775</v>
      </c>
      <c r="D134" s="1257" t="s">
        <v>1776</v>
      </c>
      <c r="E134" s="794">
        <v>33</v>
      </c>
      <c r="F134" s="919" cm="1" t="str">
        <f t="array" ref="F134:F134">OFFSET(G134,-1,-1)</f>
        <v>1</v>
      </c>
      <c r="G134" s="190" t="s">
        <v>1781</v>
      </c>
      <c r="H134" s="227"/>
      <c r="I134" s="227"/>
      <c r="J134" s="227"/>
      <c r="K134" s="227"/>
      <c r="L134" s="190" t="s">
        <v>1710</v>
      </c>
      <c r="M134" s="1281"/>
      <c r="N134" s="1281" cm="1" t="str">
        <f t="array" ref="N134:N134">OFFSET(M134,-1,1)</f>
        <v>ТЭ.42.26824396.0004</v>
      </c>
      <c r="O134" s="1282" t="s">
        <v>1733</v>
      </c>
      <c r="P134" s="1282"/>
      <c r="Q134" s="1282"/>
      <c r="R134" s="1282"/>
      <c r="S134" s="1619"/>
      <c r="T134" s="805" cm="1" t="str">
        <f t="array" ref="T134:T134">T133</f>
        <v>false</v>
      </c>
      <c r="U134" s="1461"/>
      <c r="V134" s="1461"/>
      <c r="W134" s="1461"/>
      <c r="X134" s="1461"/>
      <c r="Y134" s="1461"/>
      <c r="Z134" s="1461"/>
      <c r="AA134" s="227"/>
      <c r="AB134" s="660" t="str">
        <f>AB132&amp;".2"</f>
        <v>18.2</v>
      </c>
      <c r="AC134" s="161" t="s">
        <v>1782</v>
      </c>
      <c r="AD134" s="517" t="s">
        <v>1779</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3"/>
      <c r="BO134" s="73"/>
      <c r="BP134" s="73"/>
      <c r="BQ134" s="227"/>
      <c r="BR134" s="227"/>
      <c r="BS134" s="1232" t="s">
        <v>1783</v>
      </c>
      <c r="BT134" s="1232"/>
      <c r="BU134" s="1232"/>
      <c r="BV134" s="1233"/>
      <c r="BW134" s="1233"/>
      <c r="BX134" s="1268"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M11397::ТЭ.42.26824396.0004::Неопределено::8.0.5.::Неопределено::Неопределено::Неопределено</v>
      </c>
    </row>
    <row s="1619" customFormat="1" customHeight="1" ht="14.25" hidden="1">
      <c r="A135" s="225"/>
      <c r="B135" s="924"/>
      <c r="C135" s="1298" t="s">
        <v>1768</v>
      </c>
      <c r="D135" s="1257" t="s">
        <v>1769</v>
      </c>
      <c r="E135" s="794">
        <v>15</v>
      </c>
      <c r="F135" s="919" cm="1" t="str">
        <f t="array" ref="F135:F135">OFFSET(G135,-1,-1)</f>
        <v>1</v>
      </c>
      <c r="G135" s="227"/>
      <c r="H135" s="227"/>
      <c r="I135" s="227"/>
      <c r="J135" s="227"/>
      <c r="K135" s="227"/>
      <c r="L135" s="190" t="s">
        <v>1710</v>
      </c>
      <c r="M135" s="1281"/>
      <c r="N135" s="1281" cm="1" t="str">
        <f t="array" ref="N135:N135">OFFSET(M135,-1,1)</f>
        <v>ТЭ.42.26824396.0004</v>
      </c>
      <c r="O135" s="1282"/>
      <c r="P135" s="1282"/>
      <c r="Q135" s="1282" t="s">
        <v>1784</v>
      </c>
      <c r="R135" s="1282"/>
      <c r="S135" s="1619"/>
      <c r="T135" s="805" cm="1" t="str">
        <f t="array" ref="T135:T135">T134</f>
        <v>false</v>
      </c>
      <c r="U135" s="1461"/>
      <c r="V135" s="1461"/>
      <c r="W135" s="1461"/>
      <c r="X135" s="1461"/>
      <c r="Y135" s="1461"/>
      <c r="Z135" s="1461"/>
      <c r="AA135" s="227"/>
      <c r="AB135" s="660" t="str">
        <f>AB132&amp;".3"</f>
        <v>18.3</v>
      </c>
      <c r="AC135" s="312" t="s">
        <v>1785</v>
      </c>
      <c r="AD135" s="717" t="s">
        <v>490</v>
      </c>
      <c r="AE135" s="1061">
        <f>_xlfn.IFERROR(AE134/AE133,0)</f>
        <v>0</v>
      </c>
      <c r="AF135" s="374"/>
      <c r="AG135" s="374"/>
      <c r="AH135" s="1062"/>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3"/>
      <c r="BO135" s="73"/>
      <c r="BP135" s="73"/>
      <c r="BQ135" s="227"/>
      <c r="BR135" s="227"/>
      <c r="BS135" s="1232" t="s">
        <v>1786</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M10444::ТЭ.42.26824396.0004::Неопределено::Неопределено::Неопределено::225.0.1.::Неопределено</v>
      </c>
    </row>
    <row s="1619" customFormat="1" customHeight="1" ht="29.25">
      <c r="A136" s="225"/>
      <c r="B136" s="924"/>
      <c r="C136" s="1298" t="s">
        <v>1787</v>
      </c>
      <c r="D136" s="1257" t="s">
        <v>1788</v>
      </c>
      <c r="E136" s="794">
        <v>30</v>
      </c>
      <c r="F136" s="919" cm="1" t="str">
        <f t="array" ref="F136:F136">OFFSET(G136,-1,-1)</f>
        <v>1</v>
      </c>
      <c r="G136" s="227"/>
      <c r="H136" s="227"/>
      <c r="I136" s="227"/>
      <c r="J136" s="227"/>
      <c r="K136" s="227"/>
      <c r="L136" s="190"/>
      <c r="M136" s="1281"/>
      <c r="N136" s="1281" cm="1" t="str">
        <f t="array" ref="N136:N136">OFFSET(M136,-1,1)</f>
        <v>ТЭ.42.26824396.0004</v>
      </c>
      <c r="O136" s="1282"/>
      <c r="P136" s="1282"/>
      <c r="Q136" s="1282"/>
      <c r="R136" s="1282"/>
      <c r="S136" s="1619"/>
      <c r="T136" s="805" cm="1" t="str">
        <f t="array" ref="T136:T136">T115</f>
        <v>true</v>
      </c>
      <c r="U136" s="1461"/>
      <c r="V136" s="1461"/>
      <c r="W136" s="1461"/>
      <c r="X136" s="1461"/>
      <c r="Y136" s="1461"/>
      <c r="Z136" s="1461"/>
      <c r="AA136" s="227"/>
      <c r="AB136" s="285" t="s">
        <v>1789</v>
      </c>
      <c r="AC136" s="1059" t="s">
        <v>1790</v>
      </c>
      <c r="AD136" s="577" t="s">
        <v>1019</v>
      </c>
      <c r="AE136" s="1785"/>
      <c r="AF136" s="1785"/>
      <c r="AG136" s="1938"/>
      <c r="AH136" s="307">
        <f>AG136-AF136</f>
        <v>0</v>
      </c>
      <c r="AI136" s="1939"/>
      <c r="AJ136" s="1060"/>
      <c r="AK136" s="1060"/>
      <c r="AL136" s="1060"/>
      <c r="AM136" s="1060"/>
      <c r="AN136" s="1060"/>
      <c r="AO136" s="1939"/>
      <c r="AP136" s="1939"/>
      <c r="AQ136" s="1939"/>
      <c r="AR136" s="1939"/>
      <c r="AS136" s="1939"/>
      <c r="AT136" s="1060"/>
      <c r="AU136" s="1060"/>
      <c r="AV136" s="1060"/>
      <c r="AW136" s="1060"/>
      <c r="AX136" s="1060"/>
      <c r="AY136" s="1939"/>
      <c r="AZ136" s="1939"/>
      <c r="BA136" s="1939"/>
      <c r="BB136" s="1939"/>
      <c r="BC136" s="1939"/>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30"/>
      <c r="BO136" s="1730"/>
      <c r="BP136" s="1730"/>
      <c r="BQ136" s="227"/>
      <c r="BR136" s="227"/>
      <c r="BS136" s="1232" t="s">
        <v>1791</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M10591::ТЭ.42.26824396.0004::Неопределено::Неопределено::Неопределено::Неопределено::Неопределено</v>
      </c>
    </row>
    <row s="1941" customFormat="1" customHeight="1" ht="16.5">
      <c r="A137" s="217"/>
      <c r="B137" s="217"/>
      <c r="C137" s="1321"/>
      <c r="D137" s="1252"/>
      <c r="E137" s="794">
        <v>17.1</v>
      </c>
      <c r="F137" s="919" cm="1" t="str">
        <f t="array" ref="F137:F137">X137</f>
        <v>2</v>
      </c>
      <c r="G137" s="736" cm="1" t="str">
        <f t="array" ref="G137:G137">INDEX('Общие сведения'!$AK$169:$AK$218,MATCH($F137,'Общие сведения'!$Z$169:$Z$218,0))</f>
        <v>одноставочный</v>
      </c>
      <c r="H137" s="217"/>
      <c r="I137" s="210" cm="1" t="str">
        <f t="array" ref="I137:I137">INDEX('Общие сведения'!$AE$169:$AE$218,MATCH($F137,'Общие сведения'!$Z$169:$Z$218,0))</f>
        <v>Теплоснабжение</v>
      </c>
      <c r="J137" s="217"/>
      <c r="K137" s="210" cm="1" t="str">
        <f t="array" ref="K137:K137">INDEX('Общие сведения'!$AL$169:$AL$218,MATCH($F137,'Общие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137" s="217"/>
      <c r="M137" s="1270"/>
      <c r="N137" s="1270"/>
      <c r="O137" s="1280"/>
      <c r="P137" s="1280"/>
      <c r="Q137" s="1280"/>
      <c r="R137" s="1280"/>
      <c r="S137" s="217"/>
      <c r="T137" s="805">
        <f>X137&gt;0</f>
        <v>1</v>
      </c>
      <c r="U137" s="217"/>
      <c r="V137" s="172" cm="1" t="str">
        <f t="array" ref="V137:V137">'Корр Факт'!$AB$122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137" s="217"/>
      <c r="X137" s="172" t="s">
        <v>343</v>
      </c>
      <c r="Y137" s="217"/>
      <c r="Z137" s="217"/>
      <c r="AA137" s="217"/>
      <c r="AB137" s="327" cm="1" t="str">
        <f t="array" ref="AB137:AB137">IF(ISBLANK('Корр Факт'!$AB$122),"",'Корр Факт'!$AB$122)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137" s="328"/>
      <c r="AD137" s="328"/>
      <c r="AE137" s="328"/>
      <c r="AF137" s="328"/>
      <c r="AG137" s="328"/>
      <c r="AH137" s="328"/>
      <c r="AI137" s="328"/>
      <c r="AJ137" s="328"/>
      <c r="AK137" s="328"/>
      <c r="AL137" s="328"/>
      <c r="AM137" s="328"/>
      <c r="AN137" s="328"/>
      <c r="AO137" s="328"/>
      <c r="AP137" s="328"/>
      <c r="AQ137" s="328"/>
      <c r="AR137" s="328"/>
      <c r="AS137" s="328"/>
      <c r="AT137" s="328"/>
      <c r="AU137" s="328"/>
      <c r="AV137" s="328"/>
      <c r="AW137" s="328"/>
      <c r="AX137" s="328"/>
      <c r="AY137" s="328"/>
      <c r="AZ137" s="328"/>
      <c r="BA137" s="328"/>
      <c r="BB137" s="328"/>
      <c r="BC137" s="328"/>
      <c r="BD137" s="328"/>
      <c r="BE137" s="328"/>
      <c r="BF137" s="328"/>
      <c r="BG137" s="328"/>
      <c r="BH137" s="328"/>
      <c r="BI137" s="328"/>
      <c r="BJ137" s="328"/>
      <c r="BK137" s="328"/>
      <c r="BL137" s="328"/>
      <c r="BM137" s="328"/>
      <c r="BN137" s="328"/>
      <c r="BO137" s="328"/>
      <c r="BP137" s="328"/>
      <c r="BQ137" s="217"/>
      <c r="BR137" s="217"/>
      <c r="BS137" s="1181"/>
      <c r="BT137" s="1181"/>
      <c r="BU137" s="1181"/>
      <c r="BV137" s="1184"/>
      <c r="BW137" s="1184"/>
      <c r="BX137" s="1296"/>
    </row>
    <row s="1619" customFormat="1" customHeight="1" ht="16.5">
      <c r="A138" s="225"/>
      <c r="B138" s="924"/>
      <c r="C138" s="1298" t="s">
        <v>1586</v>
      </c>
      <c r="D138" s="1257" t="s">
        <v>1587</v>
      </c>
      <c r="E138" s="794">
        <v>17.1</v>
      </c>
      <c r="F138" s="919" cm="1" t="str">
        <f t="array" ref="F138:F138">OFFSET(G138,-1,-1)</f>
        <v>2</v>
      </c>
      <c r="G138" s="190" t="s">
        <v>1292</v>
      </c>
      <c r="H138" s="227"/>
      <c r="I138" s="227"/>
      <c r="J138" s="227"/>
      <c r="K138" s="227"/>
      <c r="L138" s="190"/>
      <c r="M138" s="1281"/>
      <c r="N138" s="1281" cm="1" t="str">
        <f t="array" ref="N138:N138">INDEX('Общие сведения'!$N$169:$N$218,MATCH($F138,'Общие сведения'!$Z$169:$Z$218,0)+1)</f>
        <v>ТЭ.42.26824396.0005</v>
      </c>
      <c r="O138" s="1282"/>
      <c r="P138" s="1282"/>
      <c r="Q138" s="1282"/>
      <c r="R138" s="1282"/>
      <c r="S138" s="1619"/>
      <c r="T138" s="805" cm="1" t="str">
        <f t="array" ref="T138:T138">T137</f>
        <v>true</v>
      </c>
      <c r="U138" s="1461"/>
      <c r="V138" s="1461"/>
      <c r="W138" s="1461"/>
      <c r="X138" s="1461"/>
      <c r="Y138" s="1461"/>
      <c r="Z138" s="1461"/>
      <c r="AA138" s="227"/>
      <c r="AB138" s="157" t="s">
        <v>335</v>
      </c>
      <c r="AC138" s="738" t="s">
        <v>1344</v>
      </c>
      <c r="AD138" s="485" t="s">
        <v>1019</v>
      </c>
      <c r="AE138" s="612">
        <f>_xlfn.SUMIFS('Операционные (5.1)'!AE$26:AE$99,'Операционные (5.1)'!$F$26:$F$99,$F138,'Операционные (5.1)'!$G$26:$G$99,$G138)</f>
        <v>0</v>
      </c>
      <c r="AF138" s="612">
        <f>_xlfn.SUMIFS('Операционные (5.1)'!AF$26:AF$99,'Операционные (5.1)'!$F$26:$F$99,$F138,'Операционные (5.1)'!$G$26:$G$99,$G138)</f>
        <v>0</v>
      </c>
      <c r="AG138" s="612">
        <f>_xlfn.SUMIFS('Операционные (5.1)'!AG$26:AG$99,'Операционные (5.1)'!$F$26:$F$99,$F138,'Операционные (5.1)'!$G$26:$G$99,$G138)</f>
        <v>0</v>
      </c>
      <c r="AH138" s="307">
        <f>AG138-AF138</f>
        <v>0</v>
      </c>
      <c r="AI138" s="612">
        <f>_xlfn.SUMIFS('Операционные (5.1)'!AI$26:AI$99,'Операционные (5.1)'!$F$26:$F$99,$F138,'Операционные (5.1)'!$G$26:$G$99,$G138)</f>
        <v>0</v>
      </c>
      <c r="AJ138" s="737">
        <f>_xlfn.SUMIFS(INDEX('Операционные (5.2)'!$AJ$26:$BC$54,,MATCH(AJ$8,'Операционные (5.2)'!$AJ$8:$BC$8,0)),'Операционные (5.2)'!$F$26:$F$54,$F138,'Операционные (5.2)'!$G$26:$G$54,$G138)</f>
        <v>2955.99992</v>
      </c>
      <c r="AK138" s="737">
        <f>_xlfn.SUMIFS(INDEX('Операционные (5.2)'!$AJ$26:$BC$54,,MATCH(AK$8,'Операционные (5.2)'!$AJ$8:$BC$8,0)),'Операционные (5.2)'!$F$26:$F$54,$F138,'Операционные (5.2)'!$G$26:$G$54,$G138)</f>
        <v>3043.497517632</v>
      </c>
      <c r="AL138" s="737">
        <f>_xlfn.SUMIFS(INDEX('Операционные (5.2)'!$AJ$26:$BC$54,,MATCH(AL$8,'Операционные (5.2)'!$AJ$8:$BC$8,0)),'Операционные (5.2)'!$F$26:$F$54,$F138,'Операционные (5.2)'!$G$26:$G$54,$G138)</f>
        <v>3133.58504415391</v>
      </c>
      <c r="AM138" s="737">
        <f>_xlfn.SUMIFS(INDEX('Операционные (5.2)'!$AJ$26:$BC$54,,MATCH(AM$8,'Операционные (5.2)'!$AJ$8:$BC$8,0)),'Операционные (5.2)'!$F$26:$F$54,$F138,'Операционные (5.2)'!$G$26:$G$54,$G138)</f>
        <v>3226.33916146087</v>
      </c>
      <c r="AN138" s="737">
        <f>_xlfn.SUMIFS(INDEX('Операционные (5.2)'!$AJ$26:$BC$54,,MATCH(AN$8,'Операционные (5.2)'!$AJ$8:$BC$8,0)),'Операционные (5.2)'!$F$26:$F$54,$F138,'Операционные (5.2)'!$G$26:$G$54,$G138)</f>
        <v>3321.83880064011</v>
      </c>
      <c r="AO138" s="737">
        <f>_xlfn.SUMIFS(INDEX('Операционные (5.2)'!$AJ$26:$BC$54,,MATCH(AO$8,'Операционные (5.2)'!$AJ$8:$BC$8,0)),'Операционные (5.2)'!$F$26:$F$54,$F138,'Операционные (5.2)'!$G$26:$G$54,$G138)</f>
        <v>3288.62041263371</v>
      </c>
      <c r="AP138" s="737">
        <f>_xlfn.SUMIFS(INDEX('Операционные (5.2)'!$AJ$26:$BC$54,,MATCH(AP$8,'Операционные (5.2)'!$AJ$8:$BC$8,0)),'Операционные (5.2)'!$F$26:$F$54,$F138,'Операционные (5.2)'!$G$26:$G$54,$G138)</f>
        <v>3255.73420850737</v>
      </c>
      <c r="AQ138" s="737">
        <f>_xlfn.SUMIFS(INDEX('Операционные (5.2)'!$AJ$26:$BC$54,,MATCH(AQ$8,'Операционные (5.2)'!$AJ$8:$BC$8,0)),'Операционные (5.2)'!$F$26:$F$54,$F138,'Операционные (5.2)'!$G$26:$G$54,$G138)</f>
        <v>3223.1768664223</v>
      </c>
      <c r="AR138" s="737">
        <f>_xlfn.SUMIFS(INDEX('Операционные (5.2)'!$AJ$26:$BC$54,,MATCH(AR$8,'Операционные (5.2)'!$AJ$8:$BC$8,0)),'Операционные (5.2)'!$F$26:$F$54,$F138,'Операционные (5.2)'!$G$26:$G$54,$G138)</f>
        <v>3190.94509775808</v>
      </c>
      <c r="AS138" s="737">
        <f>_xlfn.SUMIFS(INDEX('Операционные (5.2)'!$AJ$26:$BC$54,,MATCH(AS$8,'Операционные (5.2)'!$AJ$8:$BC$8,0)),'Операционные (5.2)'!$F$26:$F$54,$F138,'Операционные (5.2)'!$G$26:$G$54,$G138)</f>
        <v>3159.0356467805</v>
      </c>
      <c r="AT138" s="737">
        <f>_xlfn.SUMIFS(INDEX('Операционные (5.2)'!$AJ$26:$BC$54,,MATCH(AT$8,'Операционные (5.2)'!$AJ$8:$BC$8,0)),'Операционные (5.2)'!$F$26:$F$54,$F138,'Операционные (5.2)'!$G$26:$G$54,$G138)</f>
        <v>1635.99992</v>
      </c>
      <c r="AU138" s="737">
        <f>_xlfn.SUMIFS(INDEX('Операционные (5.2)'!$AJ$26:$BC$54,,MATCH(AU$8,'Операционные (5.2)'!$AJ$8:$BC$8,0)),'Операционные (5.2)'!$F$26:$F$54,$F138,'Операционные (5.2)'!$G$26:$G$54,$G138)</f>
        <v>1684.425517632</v>
      </c>
      <c r="AV138" s="737">
        <f>_xlfn.SUMIFS(INDEX('Операционные (5.2)'!$AJ$26:$BC$54,,MATCH(AV$8,'Операционные (5.2)'!$AJ$8:$BC$8,0)),'Операционные (5.2)'!$F$26:$F$54,$F138,'Операционные (5.2)'!$G$26:$G$54,$G138)</f>
        <v>1734.28451295391</v>
      </c>
      <c r="AW138" s="737">
        <f>_xlfn.SUMIFS(INDEX('Операционные (5.2)'!$AJ$26:$BC$54,,MATCH(AW$8,'Операционные (5.2)'!$AJ$8:$BC$8,0)),'Операционные (5.2)'!$F$26:$F$54,$F138,'Операционные (5.2)'!$G$26:$G$54,$G138)</f>
        <v>1785.61933453735</v>
      </c>
      <c r="AX138" s="737">
        <f>_xlfn.SUMIFS(INDEX('Операционные (5.2)'!$AJ$26:$BC$54,,MATCH(AX$8,'Операционные (5.2)'!$AJ$8:$BC$8,0)),'Операционные (5.2)'!$F$26:$F$54,$F138,'Операционные (5.2)'!$G$26:$G$54,$G138)</f>
        <v>1838.47366683966</v>
      </c>
      <c r="AY138" s="737">
        <f>_xlfn.SUMIFS(INDEX('Операционные (5.2)'!$AJ$26:$BC$54,,MATCH(AY$8,'Операционные (5.2)'!$AJ$8:$BC$8,0)),'Операционные (5.2)'!$F$26:$F$54,$F138,'Операционные (5.2)'!$G$26:$G$54,$G138)</f>
        <v>1820.08893017126</v>
      </c>
      <c r="AZ138" s="737">
        <f>_xlfn.SUMIFS(INDEX('Операционные (5.2)'!$AJ$26:$BC$54,,MATCH(AZ$8,'Операционные (5.2)'!$AJ$8:$BC$8,0)),'Операционные (5.2)'!$F$26:$F$54,$F138,'Операционные (5.2)'!$G$26:$G$54,$G138)</f>
        <v>1801.88804086955</v>
      </c>
      <c r="BA138" s="737">
        <f>_xlfn.SUMIFS(INDEX('Операционные (5.2)'!$AJ$26:$BC$54,,MATCH(BA$8,'Операционные (5.2)'!$AJ$8:$BC$8,0)),'Операционные (5.2)'!$F$26:$F$54,$F138,'Операционные (5.2)'!$G$26:$G$54,$G138)</f>
        <v>1783.86916046085</v>
      </c>
      <c r="BB138" s="737">
        <f>_xlfn.SUMIFS(INDEX('Операционные (5.2)'!$AJ$26:$BC$54,,MATCH(BB$8,'Операционные (5.2)'!$AJ$8:$BC$8,0)),'Операционные (5.2)'!$F$26:$F$54,$F138,'Операционные (5.2)'!$G$26:$G$54,$G138)</f>
        <v>1766.03046885624</v>
      </c>
      <c r="BC138" s="737">
        <f>_xlfn.SUMIFS(INDEX('Операционные (5.2)'!$AJ$26:$BC$54,,MATCH(BC$8,'Операционные (5.2)'!$AJ$8:$BC$8,0)),'Операционные (5.2)'!$F$26:$F$54,$F138,'Операционные (5.2)'!$G$26:$G$54,$G138)</f>
        <v>1748.37016416768</v>
      </c>
      <c r="BD138" s="307">
        <f>IF(AI138=0,0,(AT138-AI138)/AI138*100)</f>
        <v>0</v>
      </c>
      <c r="BE138" s="307">
        <f>IF(AT138=0,0,(AU138-AT138)/AT138*100)</f>
        <v>2.96</v>
      </c>
      <c r="BF138" s="307">
        <f>IF(AU138=0,0,(AV138-AU138)/AU138*100)</f>
        <v>2.96000000000017</v>
      </c>
      <c r="BG138" s="307">
        <f>IF(AV138=0,0,(AW138-AV138)/AV138*100)</f>
        <v>2.96000000000024</v>
      </c>
      <c r="BH138" s="307">
        <f>IF(AW138=0,0,(AX138-AW138)/AW138*100)</f>
        <v>2.96000000000025</v>
      </c>
      <c r="BI138" s="307">
        <f>IF(AX138=0,0,(AY138-AX138)/AX138*100)</f>
        <v>-1.0000000000002</v>
      </c>
      <c r="BJ138" s="307">
        <f>IF(AY138=0,0,(AZ138-AY138)/AY138*100)</f>
        <v>-0.99999999999986</v>
      </c>
      <c r="BK138" s="307">
        <f>IF(AZ138=0,0,(BA138-AZ138)/AZ138*100)</f>
        <v>-1.0000000000003</v>
      </c>
      <c r="BL138" s="307">
        <f>IF(BA138=0,0,(BB138-BA138)/BA138*100)</f>
        <v>-1.0000000000001</v>
      </c>
      <c r="BM138" s="307">
        <f>IF(BB138=0,0,(BC138-BB138)/BB138*100)</f>
        <v>-0.99999999999986</v>
      </c>
      <c r="BN138" s="1730"/>
      <c r="BO138" s="1730"/>
      <c r="BP138" s="1730"/>
      <c r="BQ138" s="227"/>
      <c r="BR138" s="227"/>
      <c r="BS138" s="1232" t="s">
        <v>1588</v>
      </c>
      <c r="BT138" s="1232"/>
      <c r="BU138" s="1232"/>
      <c r="BV138" s="1233"/>
      <c r="BW138" s="1233"/>
      <c r="BX138" s="1268"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M10746::ТЭ.42.26824396.0005::Неопределено::Неопределено::Неопределено::Неопределено::Неопределено</v>
      </c>
    </row>
    <row s="1619" customFormat="1" customHeight="1" ht="16.5">
      <c r="A139" s="225"/>
      <c r="B139" s="924"/>
      <c r="C139" s="1298" t="s">
        <v>1589</v>
      </c>
      <c r="D139" s="1257" t="s">
        <v>1590</v>
      </c>
      <c r="E139" s="794">
        <v>17.1</v>
      </c>
      <c r="F139" s="919" cm="1" t="str">
        <f t="array" ref="F139:F139">OFFSET(G139,-1,-1)</f>
        <v>2</v>
      </c>
      <c r="G139" s="190" t="s">
        <v>1350</v>
      </c>
      <c r="H139" s="227"/>
      <c r="I139" s="227"/>
      <c r="J139" s="227"/>
      <c r="K139" s="227"/>
      <c r="L139" s="190"/>
      <c r="M139" s="1281"/>
      <c r="N139" s="1281" cm="1" t="str">
        <f t="array" ref="N139:N139">OFFSET(M139,-1,1)</f>
        <v>ТЭ.42.26824396.0005</v>
      </c>
      <c r="O139" s="1282"/>
      <c r="P139" s="1282"/>
      <c r="Q139" s="1282"/>
      <c r="R139" s="1282"/>
      <c r="S139" s="1619"/>
      <c r="T139" s="805" cm="1" t="str">
        <f t="array" ref="T139:T139">T138</f>
        <v>true</v>
      </c>
      <c r="U139" s="1461"/>
      <c r="V139" s="1461"/>
      <c r="W139" s="1461"/>
      <c r="X139" s="1461"/>
      <c r="Y139" s="1461"/>
      <c r="Z139" s="1461"/>
      <c r="AA139" s="227"/>
      <c r="AB139" s="157" t="s">
        <v>343</v>
      </c>
      <c r="AC139" s="649" t="s">
        <v>1591</v>
      </c>
      <c r="AD139" s="485" t="s">
        <v>1019</v>
      </c>
      <c r="AE139" s="612">
        <f>_xlfn.SUMIFS('Неподконтрольные (5.3)'!AE$26:AE$87,'Неподконтрольные (5.3)'!$F$26:$F$87,$F139,'Неподконтрольные (5.3)'!$G$26:$G$87,$G139)</f>
        <v>0</v>
      </c>
      <c r="AF139" s="612">
        <f>_xlfn.SUMIFS('Неподконтрольные (5.3)'!AF$26:AF$87,'Неподконтрольные (5.3)'!$F$26:$F$87,$F139,'Неподконтрольные (5.3)'!$G$26:$G$87,$G139)</f>
        <v>0</v>
      </c>
      <c r="AG139" s="612">
        <f>_xlfn.SUMIFS('Неподконтрольные (5.3)'!AG$26:AG$87,'Неподконтрольные (5.3)'!$F$26:$F$87,$F139,'Неподконтрольные (5.3)'!$G$26:$G$87,$G139)</f>
        <v>0</v>
      </c>
      <c r="AH139" s="307">
        <f>AG139-AF139</f>
        <v>0</v>
      </c>
      <c r="AI139" s="612">
        <f>_xlfn.SUMIFS('Неподконтрольные (5.3)'!AI$26:AI$87,'Неподконтрольные (5.3)'!$F$26:$F$87,$F139,'Неподконтрольные (5.3)'!$G$26:$G$87,$G139)</f>
        <v>0</v>
      </c>
      <c r="AJ139" s="612">
        <f>_xlfn.SUMIFS('Неподконтрольные (5.3)'!AJ$26:AJ$87,'Неподконтрольные (5.3)'!$F$26:$F$87,$F139,'Неподконтрольные (5.3)'!$G$26:$G$87,$G139)</f>
        <v>1433</v>
      </c>
      <c r="AK139" s="612">
        <f>_xlfn.SUMIFS('Неподконтрольные (5.3)'!AK$26:AK$87,'Неподконтрольные (5.3)'!$F$26:$F$87,$F139,'Неподконтрольные (5.3)'!$G$26:$G$87,$G139)</f>
        <v>885</v>
      </c>
      <c r="AL139" s="612">
        <f>_xlfn.SUMIFS('Неподконтрольные (5.3)'!AL$26:AL$87,'Неподконтрольные (5.3)'!$F$26:$F$87,$F139,'Неподконтрольные (5.3)'!$G$26:$G$87,$G139)</f>
        <v>895</v>
      </c>
      <c r="AM139" s="612">
        <f>_xlfn.SUMIFS('Неподконтрольные (5.3)'!AM$26:AM$87,'Неподконтрольные (5.3)'!$F$26:$F$87,$F139,'Неподконтрольные (5.3)'!$G$26:$G$87,$G139)</f>
        <v>863</v>
      </c>
      <c r="AN139" s="612">
        <f>_xlfn.SUMIFS('Неподконтрольные (5.3)'!AN$26:AN$87,'Неподконтрольные (5.3)'!$F$26:$F$87,$F139,'Неподконтрольные (5.3)'!$G$26:$G$87,$G139)</f>
        <v>874</v>
      </c>
      <c r="AO139" s="612">
        <f>_xlfn.SUMIFS('Неподконтрольные (5.3)'!AO$26:AO$87,'Неподконтрольные (5.3)'!$F$26:$F$87,$F139,'Неподконтрольные (5.3)'!$G$26:$G$87,$G139)</f>
        <v>0</v>
      </c>
      <c r="AP139" s="612">
        <f>_xlfn.SUMIFS('Неподконтрольные (5.3)'!AP$26:AP$87,'Неподконтрольные (5.3)'!$F$26:$F$87,$F139,'Неподконтрольные (5.3)'!$G$26:$G$87,$G139)</f>
        <v>0</v>
      </c>
      <c r="AQ139" s="612">
        <f>_xlfn.SUMIFS('Неподконтрольные (5.3)'!AQ$26:AQ$87,'Неподконтрольные (5.3)'!$F$26:$F$87,$F139,'Неподконтрольные (5.3)'!$G$26:$G$87,$G139)</f>
        <v>0</v>
      </c>
      <c r="AR139" s="612">
        <f>_xlfn.SUMIFS('Неподконтрольные (5.3)'!AR$26:AR$87,'Неподконтрольные (5.3)'!$F$26:$F$87,$F139,'Неподконтрольные (5.3)'!$G$26:$G$87,$G139)</f>
        <v>0</v>
      </c>
      <c r="AS139" s="612">
        <f>_xlfn.SUMIFS('Неподконтрольные (5.3)'!AS$26:AS$87,'Неподконтрольные (5.3)'!$F$26:$F$87,$F139,'Неподконтрольные (5.3)'!$G$26:$G$87,$G139)</f>
        <v>0</v>
      </c>
      <c r="AT139" s="612">
        <f>_xlfn.SUMIFS('Неподконтрольные (5.3)'!AT$26:AT$87,'Неподконтрольные (5.3)'!$F$26:$F$87,$F139,'Неподконтрольные (5.3)'!$G$26:$G$87,$G139)</f>
        <v>469</v>
      </c>
      <c r="AU139" s="612">
        <f>_xlfn.SUMIFS('Неподконтрольные (5.3)'!AU$26:AU$87,'Неподконтрольные (5.3)'!$F$26:$F$87,$F139,'Неподконтрольные (5.3)'!$G$26:$G$87,$G139)</f>
        <v>473</v>
      </c>
      <c r="AV139" s="612">
        <f>_xlfn.SUMIFS('Неподконтрольные (5.3)'!AV$26:AV$87,'Неподконтрольные (5.3)'!$F$26:$F$87,$F139,'Неподконтрольные (5.3)'!$G$26:$G$87,$G139)</f>
        <v>161</v>
      </c>
      <c r="AW139" s="612">
        <f>_xlfn.SUMIFS('Неподконтрольные (5.3)'!AW$26:AW$87,'Неподконтрольные (5.3)'!$F$26:$F$87,$F139,'Неподконтрольные (5.3)'!$G$26:$G$87,$G139)</f>
        <v>168</v>
      </c>
      <c r="AX139" s="612">
        <f>_xlfn.SUMIFS('Неподконтрольные (5.3)'!AX$26:AX$87,'Неподконтрольные (5.3)'!$F$26:$F$87,$F139,'Неподконтрольные (5.3)'!$G$26:$G$87,$G139)</f>
        <v>172</v>
      </c>
      <c r="AY139" s="612">
        <f>_xlfn.SUMIFS('Неподконтрольные (5.3)'!AY$26:AY$87,'Неподконтрольные (5.3)'!$F$26:$F$87,$F139,'Неподконтрольные (5.3)'!$G$26:$G$87,$G139)</f>
        <v>0</v>
      </c>
      <c r="AZ139" s="612">
        <f>_xlfn.SUMIFS('Неподконтрольные (5.3)'!AZ$26:AZ$87,'Неподконтрольные (5.3)'!$F$26:$F$87,$F139,'Неподконтрольные (5.3)'!$G$26:$G$87,$G139)</f>
        <v>0</v>
      </c>
      <c r="BA139" s="612">
        <f>_xlfn.SUMIFS('Неподконтрольные (5.3)'!BA$26:BA$87,'Неподконтрольные (5.3)'!$F$26:$F$87,$F139,'Неподконтрольные (5.3)'!$G$26:$G$87,$G139)</f>
        <v>0</v>
      </c>
      <c r="BB139" s="612">
        <f>_xlfn.SUMIFS('Неподконтрольные (5.3)'!BB$26:BB$87,'Неподконтрольные (5.3)'!$F$26:$F$87,$F139,'Неподконтрольные (5.3)'!$G$26:$G$87,$G139)</f>
        <v>0</v>
      </c>
      <c r="BC139" s="612">
        <f>_xlfn.SUMIFS('Неподконтрольные (5.3)'!BC$26:BC$87,'Неподконтрольные (5.3)'!$F$26:$F$87,$F139,'Неподконтрольные (5.3)'!$G$26:$G$87,$G139)</f>
        <v>0</v>
      </c>
      <c r="BD139" s="307">
        <f>IF(AI139=0,0,(AT139-AI139)/AI139*100)</f>
        <v>0</v>
      </c>
      <c r="BE139" s="307">
        <f>IF(AT139=0,0,(AU139-AT139)/AT139*100)</f>
        <v>0.852878464818763</v>
      </c>
      <c r="BF139" s="307">
        <f>IF(AU139=0,0,(AV139-AU139)/AU139*100)</f>
        <v>-65.9619450317125</v>
      </c>
      <c r="BG139" s="307">
        <f>IF(AV139=0,0,(AW139-AV139)/AV139*100)</f>
        <v>4.34782608695652</v>
      </c>
      <c r="BH139" s="307">
        <f>IF(AW139=0,0,(AX139-AW139)/AW139*100)</f>
        <v>2.38095238095238</v>
      </c>
      <c r="BI139" s="307">
        <f>IF(AX139=0,0,(AY139-AX139)/AX139*100)</f>
        <v>-100</v>
      </c>
      <c r="BJ139" s="307">
        <f>IF(AY139=0,0,(AZ139-AY139)/AY139*100)</f>
        <v>0</v>
      </c>
      <c r="BK139" s="307">
        <f>IF(AZ139=0,0,(BA139-AZ139)/AZ139*100)</f>
        <v>0</v>
      </c>
      <c r="BL139" s="307">
        <f>IF(BA139=0,0,(BB139-BA139)/BA139*100)</f>
        <v>0</v>
      </c>
      <c r="BM139" s="307">
        <f>IF(BB139=0,0,(BC139-BB139)/BB139*100)</f>
        <v>0</v>
      </c>
      <c r="BN139" s="1730"/>
      <c r="BO139" s="1730"/>
      <c r="BP139" s="1730"/>
      <c r="BQ139" s="227"/>
      <c r="BR139" s="227"/>
      <c r="BS139" s="1232" t="s">
        <v>1592</v>
      </c>
      <c r="BT139" s="1232"/>
      <c r="BU139" s="1232"/>
      <c r="BV139" s="1233"/>
      <c r="BW139" s="1233"/>
      <c r="BX139" s="1268" cm="1" t="str">
        <f t="array" ref="BX139:BX139">D139&amp;"::"&amp;IF(N139&lt;&gt;"",N139,"Неопределено")&amp;"::"&amp;IF(M139&lt;&gt;"",M139,"Неопределено")&amp;"::"&amp;IF(O139&lt;&gt;"",O139,"Неопределено")&amp;"::"&amp;IF(P139&lt;&gt;"",P139,"Неопределено")&amp;"::"&amp;IF(Q139&lt;&gt;"",Q139,"Неопределено")&amp;"::"&amp;IF(R139&lt;&gt;"",R139,"Неопределено")</f>
        <v>M10747::ТЭ.42.26824396.0005::Неопределено::Неопределено::Неопределено::Неопределено::Неопределено</v>
      </c>
    </row>
    <row s="1619" customFormat="1" customHeight="1" ht="25.5">
      <c r="A140" s="225"/>
      <c r="B140" s="924"/>
      <c r="C140" s="1298" t="s">
        <v>1593</v>
      </c>
      <c r="D140" s="1257" t="s">
        <v>1594</v>
      </c>
      <c r="E140" s="794">
        <v>26.3</v>
      </c>
      <c r="F140" s="919" cm="1" t="str">
        <f t="array" ref="F140:F140">OFFSET(G140,-1,-1)</f>
        <v>2</v>
      </c>
      <c r="G140" s="190" t="s">
        <v>1392</v>
      </c>
      <c r="H140" s="227"/>
      <c r="I140" s="227"/>
      <c r="J140" s="227"/>
      <c r="K140" s="227"/>
      <c r="L140" s="190"/>
      <c r="M140" s="1281"/>
      <c r="N140" s="1281" cm="1" t="str">
        <f t="array" ref="N140:N140">OFFSET(M140,-1,1)</f>
        <v>ТЭ.42.26824396.0005</v>
      </c>
      <c r="O140" s="1282"/>
      <c r="P140" s="1282"/>
      <c r="Q140" s="1282"/>
      <c r="R140" s="1282"/>
      <c r="S140" s="1619"/>
      <c r="T140" s="805" cm="1" t="str">
        <f t="array" ref="T140:T140">T139</f>
        <v>true</v>
      </c>
      <c r="U140" s="1461"/>
      <c r="V140" s="1461"/>
      <c r="W140" s="1461"/>
      <c r="X140" s="1461"/>
      <c r="Y140" s="1461"/>
      <c r="Z140" s="1461"/>
      <c r="AA140" s="227"/>
      <c r="AB140" s="157" t="s">
        <v>614</v>
      </c>
      <c r="AC140" s="649" t="s">
        <v>1595</v>
      </c>
      <c r="AD140" s="485" t="s">
        <v>1019</v>
      </c>
      <c r="AE140" s="612">
        <f>_xlfn.SUMIFS('Ресурсы (5.4)'!AE$26:AE$57,'Ресурсы (5.4)'!$F$26:$F$57,$F140,'Ресурсы (5.4)'!$G$26:$G$57,$G140)</f>
        <v>0</v>
      </c>
      <c r="AF140" s="612">
        <f>_xlfn.SUMIFS('Ресурсы (5.4)'!AF$26:AF$57,'Ресурсы (5.4)'!$F$26:$F$57,$F140,'Ресурсы (5.4)'!$G$26:$G$57,$G140)</f>
        <v>0</v>
      </c>
      <c r="AG140" s="612">
        <f>_xlfn.SUMIFS('Ресурсы (5.4)'!AG$26:AG$57,'Ресурсы (5.4)'!$F$26:$F$57,$F140,'Ресурсы (5.4)'!$G$26:$G$57,$G140)</f>
        <v>0</v>
      </c>
      <c r="AH140" s="307">
        <f>AG140-AF140</f>
        <v>0</v>
      </c>
      <c r="AI140" s="612">
        <f>_xlfn.SUMIFS('Ресурсы (5.4)'!AI$26:AI$57,'Ресурсы (5.4)'!$F$26:$F$57,$F140,'Ресурсы (5.4)'!$G$26:$G$57,$G140)</f>
        <v>0</v>
      </c>
      <c r="AJ140" s="612">
        <f>_xlfn.SUMIFS('Ресурсы (5.4)'!AJ$26:AJ$57,'Ресурсы (5.4)'!$F$26:$F$57,$F140,'Ресурсы (5.4)'!$G$26:$G$57,$G140)</f>
        <v>4941.9999935</v>
      </c>
      <c r="AK140" s="612">
        <f>_xlfn.SUMIFS('Ресурсы (5.4)'!AK$26:AK$57,'Ресурсы (5.4)'!$F$26:$F$57,$F140,'Ресурсы (5.4)'!$G$26:$G$57,$G140)</f>
        <v>5210.998484</v>
      </c>
      <c r="AL140" s="612">
        <f>_xlfn.SUMIFS('Ресурсы (5.4)'!AL$26:AL$57,'Ресурсы (5.4)'!$F$26:$F$57,$F140,'Ресурсы (5.4)'!$G$26:$G$57,$G140)</f>
        <v>5407.9996015</v>
      </c>
      <c r="AM140" s="612">
        <f>_xlfn.SUMIFS('Ресурсы (5.4)'!AM$26:AM$57,'Ресурсы (5.4)'!$F$26:$F$57,$F140,'Ресурсы (5.4)'!$G$26:$G$57,$G140)</f>
        <v>5613.9992955</v>
      </c>
      <c r="AN140" s="612">
        <f>_xlfn.SUMIFS('Ресурсы (5.4)'!AN$26:AN$57,'Ресурсы (5.4)'!$F$26:$F$57,$F140,'Ресурсы (5.4)'!$G$26:$G$57,$G140)</f>
        <v>5828.0043105</v>
      </c>
      <c r="AO140" s="612">
        <f>_xlfn.SUMIFS('Ресурсы (5.4)'!AO$26:AO$57,'Ресурсы (5.4)'!$F$26:$F$57,$F140,'Ресурсы (5.4)'!$G$26:$G$57,$G140)</f>
        <v>0</v>
      </c>
      <c r="AP140" s="612">
        <f>_xlfn.SUMIFS('Ресурсы (5.4)'!AP$26:AP$57,'Ресурсы (5.4)'!$F$26:$F$57,$F140,'Ресурсы (5.4)'!$G$26:$G$57,$G140)</f>
        <v>0</v>
      </c>
      <c r="AQ140" s="612">
        <f>_xlfn.SUMIFS('Ресурсы (5.4)'!AQ$26:AQ$57,'Ресурсы (5.4)'!$F$26:$F$57,$F140,'Ресурсы (5.4)'!$G$26:$G$57,$G140)</f>
        <v>0</v>
      </c>
      <c r="AR140" s="612">
        <f>_xlfn.SUMIFS('Ресурсы (5.4)'!AR$26:AR$57,'Ресурсы (5.4)'!$F$26:$F$57,$F140,'Ресурсы (5.4)'!$G$26:$G$57,$G140)</f>
        <v>0</v>
      </c>
      <c r="AS140" s="612">
        <f>_xlfn.SUMIFS('Ресурсы (5.4)'!AS$26:AS$57,'Ресурсы (5.4)'!$F$26:$F$57,$F140,'Ресурсы (5.4)'!$G$26:$G$57,$G140)</f>
        <v>0</v>
      </c>
      <c r="AT140" s="612">
        <f>_xlfn.SUMIFS('Ресурсы (5.4)'!AT$26:AT$57,'Ресурсы (5.4)'!$F$26:$F$57,$F140,'Ресурсы (5.4)'!$G$26:$G$57,$G140)</f>
        <v>4273.0440814893</v>
      </c>
      <c r="AU140" s="612">
        <f>_xlfn.SUMIFS('Ресурсы (5.4)'!AU$26:AU$57,'Ресурсы (5.4)'!$F$26:$F$57,$F140,'Ресурсы (5.4)'!$G$26:$G$57,$G140)</f>
        <v>4472.72384966631</v>
      </c>
      <c r="AV140" s="612">
        <f>_xlfn.SUMIFS('Ресурсы (5.4)'!AV$26:AV$57,'Ресурсы (5.4)'!$F$26:$F$57,$F140,'Ресурсы (5.4)'!$G$26:$G$57,$G140)</f>
        <v>4601.06399719003</v>
      </c>
      <c r="AW140" s="612">
        <f>_xlfn.SUMIFS('Ресурсы (5.4)'!AW$26:AW$57,'Ресурсы (5.4)'!$F$26:$F$57,$F140,'Ресурсы (5.4)'!$G$26:$G$57,$G140)</f>
        <v>4733.35876361082</v>
      </c>
      <c r="AX140" s="612">
        <f>_xlfn.SUMIFS('Ресурсы (5.4)'!AX$26:AX$57,'Ресурсы (5.4)'!$F$26:$F$57,$F140,'Ресурсы (5.4)'!$G$26:$G$57,$G140)</f>
        <v>4870.68514225501</v>
      </c>
      <c r="AY140" s="612">
        <f>_xlfn.SUMIFS('Ресурсы (5.4)'!AY$26:AY$57,'Ресурсы (5.4)'!$F$26:$F$57,$F140,'Ресурсы (5.4)'!$G$26:$G$57,$G140)</f>
        <v>0</v>
      </c>
      <c r="AZ140" s="612">
        <f>_xlfn.SUMIFS('Ресурсы (5.4)'!AZ$26:AZ$57,'Ресурсы (5.4)'!$F$26:$F$57,$F140,'Ресурсы (5.4)'!$G$26:$G$57,$G140)</f>
        <v>0</v>
      </c>
      <c r="BA140" s="612">
        <f>_xlfn.SUMIFS('Ресурсы (5.4)'!BA$26:BA$57,'Ресурсы (5.4)'!$F$26:$F$57,$F140,'Ресурсы (5.4)'!$G$26:$G$57,$G140)</f>
        <v>0</v>
      </c>
      <c r="BB140" s="612">
        <f>_xlfn.SUMIFS('Ресурсы (5.4)'!BB$26:BB$57,'Ресурсы (5.4)'!$F$26:$F$57,$F140,'Ресурсы (5.4)'!$G$26:$G$57,$G140)</f>
        <v>0</v>
      </c>
      <c r="BC140" s="612">
        <f>_xlfn.SUMIFS('Ресурсы (5.4)'!BC$26:BC$57,'Ресурсы (5.4)'!$F$26:$F$57,$F140,'Ресурсы (5.4)'!$G$26:$G$57,$G140)</f>
        <v>0</v>
      </c>
      <c r="BD140" s="307">
        <f>IF(AI140=0,0,(AT140-AI140)/AI140*100)</f>
        <v>0</v>
      </c>
      <c r="BE140" s="307">
        <f>IF(AT140=0,0,(AU140-AT140)/AT140*100)</f>
        <v>4.67300978808099</v>
      </c>
      <c r="BF140" s="307">
        <f>IF(AU140=0,0,(AV140-AU140)/AU140*100)</f>
        <v>2.86939573819865</v>
      </c>
      <c r="BG140" s="307">
        <f>IF(AV140=0,0,(AW140-AV140)/AV140*100)</f>
        <v>2.87530811354906</v>
      </c>
      <c r="BH140" s="307">
        <f>IF(AW140=0,0,(AX140-AW140)/AW140*100)</f>
        <v>2.90124593343589</v>
      </c>
      <c r="BI140" s="307">
        <f>IF(AX140=0,0,(AY140-AX140)/AX140*100)</f>
        <v>-100</v>
      </c>
      <c r="BJ140" s="307">
        <f>IF(AY140=0,0,(AZ140-AY140)/AY140*100)</f>
        <v>0</v>
      </c>
      <c r="BK140" s="307">
        <f>IF(AZ140=0,0,(BA140-AZ140)/AZ140*100)</f>
        <v>0</v>
      </c>
      <c r="BL140" s="307">
        <f>IF(BA140=0,0,(BB140-BA140)/BA140*100)</f>
        <v>0</v>
      </c>
      <c r="BM140" s="307">
        <f>IF(BB140=0,0,(BC140-BB140)/BB140*100)</f>
        <v>0</v>
      </c>
      <c r="BN140" s="1730"/>
      <c r="BO140" s="1730"/>
      <c r="BP140" s="1730"/>
      <c r="BQ140" s="227"/>
      <c r="BR140" s="227"/>
      <c r="BS140" s="1232" t="s">
        <v>1596</v>
      </c>
      <c r="BT140" s="1232"/>
      <c r="BU140" s="1232"/>
      <c r="BV140" s="1233"/>
      <c r="BW140" s="1233"/>
      <c r="BX140" s="1268" cm="1" t="str">
        <f t="array" ref="BX140:BX140">D140&amp;"::"&amp;IF(N140&lt;&gt;"",N140,"Неопределено")&amp;"::"&amp;IF(M140&lt;&gt;"",M140,"Неопределено")&amp;"::"&amp;IF(O140&lt;&gt;"",O140,"Неопределено")&amp;"::"&amp;IF(P140&lt;&gt;"",P140,"Неопределено")&amp;"::"&amp;IF(Q140&lt;&gt;"",Q140,"Неопределено")&amp;"::"&amp;IF(R140&lt;&gt;"",R140,"Неопределено")</f>
        <v>M10748::ТЭ.42.26824396.0005::Неопределено::Неопределено::Неопределено::Неопределено::Неопределено</v>
      </c>
    </row>
    <row s="1619" customFormat="1" customHeight="1" ht="16.5" hidden="1">
      <c r="A141" s="225"/>
      <c r="B141" s="924"/>
      <c r="C141" s="1298" t="s">
        <v>1597</v>
      </c>
      <c r="D141" s="1257" t="s">
        <v>1598</v>
      </c>
      <c r="E141" s="794">
        <v>17.1</v>
      </c>
      <c r="F141" s="919" cm="1" t="str">
        <f t="array" ref="F141:F141">OFFSET(G141,-1,-1)</f>
        <v>2</v>
      </c>
      <c r="G141" s="227"/>
      <c r="H141" s="227"/>
      <c r="I141" s="227"/>
      <c r="J141" s="227"/>
      <c r="K141" s="227"/>
      <c r="L141" s="190"/>
      <c r="M141" s="1281"/>
      <c r="N141" s="1281" cm="1" t="str">
        <f t="array" ref="N141:N141">OFFSET(M141,-1,1)</f>
        <v>ТЭ.42.26824396.0005</v>
      </c>
      <c r="O141" s="1282"/>
      <c r="P141" s="1282"/>
      <c r="Q141" s="1282"/>
      <c r="R141" s="1282"/>
      <c r="S141" s="1619"/>
      <c r="T141" s="805">
        <f>AND(F141&gt;0,method_reg="Метод обеспечения доходности инвестированного капитала")</f>
        <v>0</v>
      </c>
      <c r="U141" s="1461"/>
      <c r="V141" s="1461"/>
      <c r="W141" s="1461"/>
      <c r="X141" s="1461"/>
      <c r="Y141" s="1461"/>
      <c r="Z141" s="1461"/>
      <c r="AA141" s="227"/>
      <c r="AB141" s="311" t="s">
        <v>624</v>
      </c>
      <c r="AC141" s="839" t="s">
        <v>1599</v>
      </c>
      <c r="AD141" s="309" t="s">
        <v>805</v>
      </c>
      <c r="AE141" s="121"/>
      <c r="AF141" s="121"/>
      <c r="AG141" s="121"/>
      <c r="AH141" s="307">
        <f>AG141-AF141</f>
        <v>0</v>
      </c>
      <c r="AI141" s="121"/>
      <c r="AJ141" s="614"/>
      <c r="AK141" s="614"/>
      <c r="AL141" s="614"/>
      <c r="AM141" s="614"/>
      <c r="AN141" s="614"/>
      <c r="AO141" s="121"/>
      <c r="AP141" s="121"/>
      <c r="AQ141" s="121"/>
      <c r="AR141" s="121"/>
      <c r="AS141" s="121"/>
      <c r="AT141" s="614"/>
      <c r="AU141" s="614"/>
      <c r="AV141" s="614"/>
      <c r="AW141" s="614"/>
      <c r="AX141" s="614"/>
      <c r="AY141" s="121"/>
      <c r="AZ141" s="121"/>
      <c r="BA141" s="121"/>
      <c r="BB141" s="121"/>
      <c r="BC141" s="121"/>
      <c r="BD141" s="307">
        <f>IF(AI141=0,0,(AT141-AI141)/AI141*100)</f>
        <v>0</v>
      </c>
      <c r="BE141" s="307">
        <f>IF(AT141=0,0,(AU141-AT141)/AT141*100)</f>
        <v>0</v>
      </c>
      <c r="BF141" s="307">
        <f>IF(AU141=0,0,(AV141-AU141)/AU141*100)</f>
        <v>0</v>
      </c>
      <c r="BG141" s="307">
        <f>IF(AV141=0,0,(AW141-AV141)/AV141*100)</f>
        <v>0</v>
      </c>
      <c r="BH141" s="307">
        <f>IF(AW141=0,0,(AX141-AW141)/AW141*100)</f>
        <v>0</v>
      </c>
      <c r="BI141" s="307">
        <f>IF(AX141=0,0,(AY141-AX141)/AX141*100)</f>
        <v>0</v>
      </c>
      <c r="BJ141" s="307">
        <f>IF(AY141=0,0,(AZ141-AY141)/AY141*100)</f>
        <v>0</v>
      </c>
      <c r="BK141" s="307">
        <f>IF(AZ141=0,0,(BA141-AZ141)/AZ141*100)</f>
        <v>0</v>
      </c>
      <c r="BL141" s="307">
        <f>IF(BA141=0,0,(BB141-BA141)/BA141*100)</f>
        <v>0</v>
      </c>
      <c r="BM141" s="307">
        <f>IF(BB141=0,0,(BC141-BB141)/BB141*100)</f>
        <v>0</v>
      </c>
      <c r="BN141" s="73"/>
      <c r="BO141" s="73"/>
      <c r="BP141" s="73"/>
      <c r="BQ141" s="227"/>
      <c r="BR141" s="227"/>
      <c r="BS141" s="1232" t="s">
        <v>1600</v>
      </c>
      <c r="BT141" s="1232"/>
      <c r="BU141" s="1232"/>
      <c r="BV141" s="1233"/>
      <c r="BW141" s="1233"/>
      <c r="BX141" s="1268" cm="1" t="str">
        <f t="array" ref="BX141:BX141">D141&amp;"::"&amp;IF(N141&lt;&gt;"",N141,"Неопределено")&amp;"::"&amp;IF(M141&lt;&gt;"",M141,"Неопределено")&amp;"::"&amp;IF(O141&lt;&gt;"",O141,"Неопределено")&amp;"::"&amp;IF(P141&lt;&gt;"",P141,"Неопределено")&amp;"::"&amp;IF(Q141&lt;&gt;"",Q141,"Неопределено")&amp;"::"&amp;IF(R141&lt;&gt;"",R141,"Неопределено")</f>
        <v>M11483::ТЭ.42.26824396.0005::Неопределено::Неопределено::Неопределено::Неопределено::Неопределено</v>
      </c>
    </row>
    <row s="1619" customFormat="1" customHeight="1" ht="16.5" hidden="1">
      <c r="A142" s="225"/>
      <c r="B142" s="924"/>
      <c r="C142" s="1298" t="s">
        <v>1601</v>
      </c>
      <c r="D142" s="1257" t="s">
        <v>1602</v>
      </c>
      <c r="E142" s="794">
        <v>17.1</v>
      </c>
      <c r="F142" s="919" cm="1" t="str">
        <f t="array" ref="F142:F142">OFFSET(G142,-1,-1)</f>
        <v>2</v>
      </c>
      <c r="G142" s="227"/>
      <c r="H142" s="227"/>
      <c r="I142" s="227"/>
      <c r="J142" s="227"/>
      <c r="K142" s="227"/>
      <c r="L142" s="190"/>
      <c r="M142" s="1281"/>
      <c r="N142" s="1281" cm="1" t="str">
        <f t="array" ref="N142:N142">OFFSET(M142,-1,1)</f>
        <v>ТЭ.42.26824396.0005</v>
      </c>
      <c r="O142" s="1282"/>
      <c r="P142" s="1282"/>
      <c r="Q142" s="1282"/>
      <c r="R142" s="1282"/>
      <c r="S142" s="1619"/>
      <c r="T142" s="805">
        <f>AND(F142&gt;0,method_reg="Метод обеспечения доходности инвестированного капитала")</f>
        <v>0</v>
      </c>
      <c r="U142" s="1461"/>
      <c r="V142" s="1461"/>
      <c r="W142" s="1461"/>
      <c r="X142" s="1461"/>
      <c r="Y142" s="1461"/>
      <c r="Z142" s="1461"/>
      <c r="AA142" s="227"/>
      <c r="AB142" s="311" t="s">
        <v>746</v>
      </c>
      <c r="AC142" s="312" t="s">
        <v>1603</v>
      </c>
      <c r="AD142" s="309" t="s">
        <v>805</v>
      </c>
      <c r="AE142" s="121"/>
      <c r="AF142" s="121"/>
      <c r="AG142" s="121"/>
      <c r="AH142" s="307">
        <f>AG142-AF142</f>
        <v>0</v>
      </c>
      <c r="AI142" s="121"/>
      <c r="AJ142" s="614"/>
      <c r="AK142" s="614"/>
      <c r="AL142" s="614"/>
      <c r="AM142" s="614"/>
      <c r="AN142" s="614"/>
      <c r="AO142" s="121"/>
      <c r="AP142" s="121"/>
      <c r="AQ142" s="121"/>
      <c r="AR142" s="121"/>
      <c r="AS142" s="121"/>
      <c r="AT142" s="614"/>
      <c r="AU142" s="614"/>
      <c r="AV142" s="614"/>
      <c r="AW142" s="614"/>
      <c r="AX142" s="614"/>
      <c r="AY142" s="121"/>
      <c r="AZ142" s="121"/>
      <c r="BA142" s="121"/>
      <c r="BB142" s="121"/>
      <c r="BC142" s="121"/>
      <c r="BD142" s="307">
        <f>IF(AI142=0,0,(AT142-AI142)/AI142*100)</f>
        <v>0</v>
      </c>
      <c r="BE142" s="307">
        <f>IF(AT142=0,0,(AU142-AT142)/AT142*100)</f>
        <v>0</v>
      </c>
      <c r="BF142" s="307">
        <f>IF(AU142=0,0,(AV142-AU142)/AU142*100)</f>
        <v>0</v>
      </c>
      <c r="BG142" s="307">
        <f>IF(AV142=0,0,(AW142-AV142)/AV142*100)</f>
        <v>0</v>
      </c>
      <c r="BH142" s="307">
        <f>IF(AW142=0,0,(AX142-AW142)/AW142*100)</f>
        <v>0</v>
      </c>
      <c r="BI142" s="307">
        <f>IF(AX142=0,0,(AY142-AX142)/AX142*100)</f>
        <v>0</v>
      </c>
      <c r="BJ142" s="307">
        <f>IF(AY142=0,0,(AZ142-AY142)/AY142*100)</f>
        <v>0</v>
      </c>
      <c r="BK142" s="307">
        <f>IF(AZ142=0,0,(BA142-AZ142)/AZ142*100)</f>
        <v>0</v>
      </c>
      <c r="BL142" s="307">
        <f>IF(BA142=0,0,(BB142-BA142)/BA142*100)</f>
        <v>0</v>
      </c>
      <c r="BM142" s="307">
        <f>IF(BB142=0,0,(BC142-BB142)/BB142*100)</f>
        <v>0</v>
      </c>
      <c r="BN142" s="73"/>
      <c r="BO142" s="73"/>
      <c r="BP142" s="73"/>
      <c r="BQ142" s="227"/>
      <c r="BR142" s="227"/>
      <c r="BS142" s="1232" t="s">
        <v>1604</v>
      </c>
      <c r="BT142" s="1232"/>
      <c r="BU142" s="1232"/>
      <c r="BV142" s="1233"/>
      <c r="BW142" s="1233"/>
      <c r="BX142" s="1268" cm="1" t="str">
        <f t="array" ref="BX142:BX142">D142&amp;"::"&amp;IF(N142&lt;&gt;"",N142,"Неопределено")&amp;"::"&amp;IF(M142&lt;&gt;"",M142,"Неопределено")&amp;"::"&amp;IF(O142&lt;&gt;"",O142,"Неопределено")&amp;"::"&amp;IF(P142&lt;&gt;"",P142,"Неопределено")&amp;"::"&amp;IF(Q142&lt;&gt;"",Q142,"Неопределено")&amp;"::"&amp;IF(R142&lt;&gt;"",R142,"Неопределено")</f>
        <v>M11484::ТЭ.42.26824396.0005::Неопределено::Неопределено::Неопределено::Неопределено::Неопределено</v>
      </c>
    </row>
    <row s="1619" customFormat="1" customHeight="1" ht="16.5" hidden="1">
      <c r="A143" s="225"/>
      <c r="B143" s="924"/>
      <c r="C143" s="1298" t="s">
        <v>1605</v>
      </c>
      <c r="D143" s="1257" t="s">
        <v>1606</v>
      </c>
      <c r="E143" s="794">
        <v>17.1</v>
      </c>
      <c r="F143" s="919" cm="1" t="str">
        <f t="array" ref="F143:F143">OFFSET(G143,-1,-1)</f>
        <v>2</v>
      </c>
      <c r="G143" s="227"/>
      <c r="H143" s="227"/>
      <c r="I143" s="227"/>
      <c r="J143" s="227"/>
      <c r="K143" s="227"/>
      <c r="L143" s="190"/>
      <c r="M143" s="1281"/>
      <c r="N143" s="1281" cm="1" t="str">
        <f t="array" ref="N143:N143">OFFSET(M143,-1,1)</f>
        <v>ТЭ.42.26824396.0005</v>
      </c>
      <c r="O143" s="1282"/>
      <c r="P143" s="1282"/>
      <c r="Q143" s="1282"/>
      <c r="R143" s="1282"/>
      <c r="S143" s="1619"/>
      <c r="T143" s="805">
        <f>AND(F143&gt;0,method_reg="Метод обеспечения доходности инвестированного капитала")</f>
        <v>0</v>
      </c>
      <c r="U143" s="1461"/>
      <c r="V143" s="1461"/>
      <c r="W143" s="1461"/>
      <c r="X143" s="1461"/>
      <c r="Y143" s="1461"/>
      <c r="Z143" s="1461"/>
      <c r="AA143" s="227"/>
      <c r="AB143" s="311" t="s">
        <v>1607</v>
      </c>
      <c r="AC143" s="312" t="s">
        <v>1608</v>
      </c>
      <c r="AD143" s="309" t="s">
        <v>1609</v>
      </c>
      <c r="AE143" s="121"/>
      <c r="AF143" s="121"/>
      <c r="AG143" s="121"/>
      <c r="AH143" s="307">
        <f>AG143-AF143</f>
        <v>0</v>
      </c>
      <c r="AI143" s="121"/>
      <c r="AJ143" s="614"/>
      <c r="AK143" s="614"/>
      <c r="AL143" s="614"/>
      <c r="AM143" s="614"/>
      <c r="AN143" s="614"/>
      <c r="AO143" s="121"/>
      <c r="AP143" s="121"/>
      <c r="AQ143" s="121"/>
      <c r="AR143" s="121"/>
      <c r="AS143" s="121"/>
      <c r="AT143" s="614"/>
      <c r="AU143" s="614"/>
      <c r="AV143" s="614"/>
      <c r="AW143" s="614"/>
      <c r="AX143" s="614"/>
      <c r="AY143" s="121"/>
      <c r="AZ143" s="121"/>
      <c r="BA143" s="121"/>
      <c r="BB143" s="121"/>
      <c r="BC143" s="121"/>
      <c r="BD143" s="307">
        <f>IF(AI143=0,0,(AT143-AI143)/AI143*100)</f>
        <v>0</v>
      </c>
      <c r="BE143" s="307">
        <f>IF(AT143=0,0,(AU143-AT143)/AT143*100)</f>
        <v>0</v>
      </c>
      <c r="BF143" s="307">
        <f>IF(AU143=0,0,(AV143-AU143)/AU143*100)</f>
        <v>0</v>
      </c>
      <c r="BG143" s="307">
        <f>IF(AV143=0,0,(AW143-AV143)/AV143*100)</f>
        <v>0</v>
      </c>
      <c r="BH143" s="307">
        <f>IF(AW143=0,0,(AX143-AW143)/AW143*100)</f>
        <v>0</v>
      </c>
      <c r="BI143" s="307">
        <f>IF(AX143=0,0,(AY143-AX143)/AX143*100)</f>
        <v>0</v>
      </c>
      <c r="BJ143" s="307">
        <f>IF(AY143=0,0,(AZ143-AY143)/AY143*100)</f>
        <v>0</v>
      </c>
      <c r="BK143" s="307">
        <f>IF(AZ143=0,0,(BA143-AZ143)/AZ143*100)</f>
        <v>0</v>
      </c>
      <c r="BL143" s="307">
        <f>IF(BA143=0,0,(BB143-BA143)/BA143*100)</f>
        <v>0</v>
      </c>
      <c r="BM143" s="307">
        <f>IF(BB143=0,0,(BC143-BB143)/BB143*100)</f>
        <v>0</v>
      </c>
      <c r="BN143" s="73"/>
      <c r="BO143" s="73"/>
      <c r="BP143" s="73"/>
      <c r="BQ143" s="227"/>
      <c r="BR143" s="227"/>
      <c r="BS143" s="1232" t="s">
        <v>1610</v>
      </c>
      <c r="BT143" s="1232"/>
      <c r="BU143" s="1232"/>
      <c r="BV143" s="1233"/>
      <c r="BW143" s="1233"/>
      <c r="BX143" s="1268" cm="1" t="str">
        <f t="array" ref="BX143:BX143">D143&amp;"::"&amp;IF(N143&lt;&gt;"",N143,"Неопределено")&amp;"::"&amp;IF(M143&lt;&gt;"",M143,"Неопределено")&amp;"::"&amp;IF(O143&lt;&gt;"",O143,"Неопределено")&amp;"::"&amp;IF(P143&lt;&gt;"",P143,"Неопределено")&amp;"::"&amp;IF(Q143&lt;&gt;"",Q143,"Неопределено")&amp;"::"&amp;IF(R143&lt;&gt;"",R143,"Неопределено")</f>
        <v>M11485::ТЭ.42.26824396.0005::Неопределено::Неопределено::Неопределено::Неопределено::Неопределено</v>
      </c>
    </row>
    <row s="1619" customFormat="1" customHeight="1" ht="16.5" hidden="1">
      <c r="A144" s="225"/>
      <c r="B144" s="924"/>
      <c r="C144" s="1298" t="s">
        <v>1611</v>
      </c>
      <c r="D144" s="1257" t="s">
        <v>1612</v>
      </c>
      <c r="E144" s="794">
        <v>17.1</v>
      </c>
      <c r="F144" s="919" cm="1" t="str">
        <f t="array" ref="F144:F144">OFFSET(G144,-1,-1)</f>
        <v>2</v>
      </c>
      <c r="G144" s="227"/>
      <c r="H144" s="227"/>
      <c r="I144" s="227"/>
      <c r="J144" s="227"/>
      <c r="K144" s="227"/>
      <c r="L144" s="190"/>
      <c r="M144" s="1281"/>
      <c r="N144" s="1281" cm="1" t="str">
        <f t="array" ref="N144:N144">OFFSET(M144,-1,1)</f>
        <v>ТЭ.42.26824396.0005</v>
      </c>
      <c r="O144" s="1282"/>
      <c r="P144" s="1282"/>
      <c r="Q144" s="1282"/>
      <c r="R144" s="1282"/>
      <c r="S144" s="1619"/>
      <c r="T144" s="805">
        <f>AND(F144&gt;0,method_reg="Метод обеспечения доходности инвестированного капитала")</f>
        <v>0</v>
      </c>
      <c r="U144" s="1461"/>
      <c r="V144" s="1461"/>
      <c r="W144" s="1461"/>
      <c r="X144" s="1461"/>
      <c r="Y144" s="1461"/>
      <c r="Z144" s="1461"/>
      <c r="AA144" s="227"/>
      <c r="AB144" s="311" t="s">
        <v>629</v>
      </c>
      <c r="AC144" s="839" t="s">
        <v>1613</v>
      </c>
      <c r="AD144" s="309" t="s">
        <v>805</v>
      </c>
      <c r="AE144" s="121"/>
      <c r="AF144" s="121"/>
      <c r="AG144" s="121"/>
      <c r="AH144" s="307">
        <f>AG144-AF144</f>
        <v>0</v>
      </c>
      <c r="AI144" s="121"/>
      <c r="AJ144" s="614"/>
      <c r="AK144" s="614"/>
      <c r="AL144" s="614"/>
      <c r="AM144" s="614"/>
      <c r="AN144" s="614"/>
      <c r="AO144" s="121"/>
      <c r="AP144" s="121"/>
      <c r="AQ144" s="121"/>
      <c r="AR144" s="121"/>
      <c r="AS144" s="121"/>
      <c r="AT144" s="614"/>
      <c r="AU144" s="614"/>
      <c r="AV144" s="614"/>
      <c r="AW144" s="614"/>
      <c r="AX144" s="614"/>
      <c r="AY144" s="121"/>
      <c r="AZ144" s="121"/>
      <c r="BA144" s="121"/>
      <c r="BB144" s="121"/>
      <c r="BC144" s="121"/>
      <c r="BD144" s="307">
        <f>IF(AI144=0,0,(AT144-AI144)/AI144*100)</f>
        <v>0</v>
      </c>
      <c r="BE144" s="307">
        <f>IF(AT144=0,0,(AU144-AT144)/AT144*100)</f>
        <v>0</v>
      </c>
      <c r="BF144" s="307">
        <f>IF(AU144=0,0,(AV144-AU144)/AU144*100)</f>
        <v>0</v>
      </c>
      <c r="BG144" s="307">
        <f>IF(AV144=0,0,(AW144-AV144)/AV144*100)</f>
        <v>0</v>
      </c>
      <c r="BH144" s="307">
        <f>IF(AW144=0,0,(AX144-AW144)/AW144*100)</f>
        <v>0</v>
      </c>
      <c r="BI144" s="307">
        <f>IF(AX144=0,0,(AY144-AX144)/AX144*100)</f>
        <v>0</v>
      </c>
      <c r="BJ144" s="307">
        <f>IF(AY144=0,0,(AZ144-AY144)/AY144*100)</f>
        <v>0</v>
      </c>
      <c r="BK144" s="307">
        <f>IF(AZ144=0,0,(BA144-AZ144)/AZ144*100)</f>
        <v>0</v>
      </c>
      <c r="BL144" s="307">
        <f>IF(BA144=0,0,(BB144-BA144)/BA144*100)</f>
        <v>0</v>
      </c>
      <c r="BM144" s="307">
        <f>IF(BB144=0,0,(BC144-BB144)/BB144*100)</f>
        <v>0</v>
      </c>
      <c r="BN144" s="73"/>
      <c r="BO144" s="73"/>
      <c r="BP144" s="73"/>
      <c r="BQ144" s="227"/>
      <c r="BR144" s="227"/>
      <c r="BS144" s="1232" t="s">
        <v>1614</v>
      </c>
      <c r="BT144" s="1232"/>
      <c r="BU144" s="1232"/>
      <c r="BV144" s="1233"/>
      <c r="BW144" s="1233"/>
      <c r="BX144" s="1268" cm="1" t="str">
        <f t="array" ref="BX144:BX144">D144&amp;"::"&amp;IF(N144&lt;&gt;"",N144,"Неопределено")&amp;"::"&amp;IF(M144&lt;&gt;"",M144,"Неопределено")&amp;"::"&amp;IF(O144&lt;&gt;"",O144,"Неопределено")&amp;"::"&amp;IF(P144&lt;&gt;"",P144,"Неопределено")&amp;"::"&amp;IF(Q144&lt;&gt;"",Q144,"Неопределено")&amp;"::"&amp;IF(R144&lt;&gt;"",R144,"Неопределено")</f>
        <v>M11486::ТЭ.42.26824396.0005::Неопределено::Неопределено::Неопределено::Неопределено::Неопределено</v>
      </c>
    </row>
    <row s="1619" customFormat="1" customHeight="1" ht="16.5" hidden="1">
      <c r="A145" s="225"/>
      <c r="B145" s="924"/>
      <c r="C145" s="1298" t="s">
        <v>1615</v>
      </c>
      <c r="D145" s="1257" t="s">
        <v>1616</v>
      </c>
      <c r="E145" s="794">
        <v>17.1</v>
      </c>
      <c r="F145" s="919" cm="1" t="str">
        <f t="array" ref="F145:F145">OFFSET(G145,-1,-1)</f>
        <v>2</v>
      </c>
      <c r="G145" s="227"/>
      <c r="H145" s="227"/>
      <c r="I145" s="227"/>
      <c r="J145" s="227"/>
      <c r="K145" s="227"/>
      <c r="L145" s="190"/>
      <c r="M145" s="1281"/>
      <c r="N145" s="1281" cm="1" t="str">
        <f t="array" ref="N145:N145">OFFSET(M145,-1,1)</f>
        <v>ТЭ.42.26824396.0005</v>
      </c>
      <c r="O145" s="1282"/>
      <c r="P145" s="1282"/>
      <c r="Q145" s="1282"/>
      <c r="R145" s="1282"/>
      <c r="S145" s="1619"/>
      <c r="T145" s="805">
        <f>AND(F145&gt;0,method_reg="Метод обеспечения доходности инвестированного капитала")</f>
        <v>0</v>
      </c>
      <c r="U145" s="1461"/>
      <c r="V145" s="1461"/>
      <c r="W145" s="1461"/>
      <c r="X145" s="1461"/>
      <c r="Y145" s="1461"/>
      <c r="Z145" s="1461"/>
      <c r="AA145" s="227"/>
      <c r="AB145" s="311" t="s">
        <v>751</v>
      </c>
      <c r="AC145" s="312" t="s">
        <v>1617</v>
      </c>
      <c r="AD145" s="309" t="s">
        <v>805</v>
      </c>
      <c r="AE145" s="121"/>
      <c r="AF145" s="121"/>
      <c r="AG145" s="121"/>
      <c r="AH145" s="307">
        <f>AG145-AF145</f>
        <v>0</v>
      </c>
      <c r="AI145" s="121"/>
      <c r="AJ145" s="614"/>
      <c r="AK145" s="614"/>
      <c r="AL145" s="614"/>
      <c r="AM145" s="614"/>
      <c r="AN145" s="614"/>
      <c r="AO145" s="121"/>
      <c r="AP145" s="121"/>
      <c r="AQ145" s="121"/>
      <c r="AR145" s="121"/>
      <c r="AS145" s="121"/>
      <c r="AT145" s="614"/>
      <c r="AU145" s="614"/>
      <c r="AV145" s="614"/>
      <c r="AW145" s="614"/>
      <c r="AX145" s="614"/>
      <c r="AY145" s="121"/>
      <c r="AZ145" s="121"/>
      <c r="BA145" s="121"/>
      <c r="BB145" s="121"/>
      <c r="BC145" s="121"/>
      <c r="BD145" s="307">
        <f>IF(AI145=0,0,(AT145-AI145)/AI145*100)</f>
        <v>0</v>
      </c>
      <c r="BE145" s="307">
        <f>IF(AT145=0,0,(AU145-AT145)/AT145*100)</f>
        <v>0</v>
      </c>
      <c r="BF145" s="307">
        <f>IF(AU145=0,0,(AV145-AU145)/AU145*100)</f>
        <v>0</v>
      </c>
      <c r="BG145" s="307">
        <f>IF(AV145=0,0,(AW145-AV145)/AV145*100)</f>
        <v>0</v>
      </c>
      <c r="BH145" s="307">
        <f>IF(AW145=0,0,(AX145-AW145)/AW145*100)</f>
        <v>0</v>
      </c>
      <c r="BI145" s="307">
        <f>IF(AX145=0,0,(AY145-AX145)/AX145*100)</f>
        <v>0</v>
      </c>
      <c r="BJ145" s="307">
        <f>IF(AY145=0,0,(AZ145-AY145)/AY145*100)</f>
        <v>0</v>
      </c>
      <c r="BK145" s="307">
        <f>IF(AZ145=0,0,(BA145-AZ145)/AZ145*100)</f>
        <v>0</v>
      </c>
      <c r="BL145" s="307">
        <f>IF(BA145=0,0,(BB145-BA145)/BA145*100)</f>
        <v>0</v>
      </c>
      <c r="BM145" s="307">
        <f>IF(BB145=0,0,(BC145-BB145)/BB145*100)</f>
        <v>0</v>
      </c>
      <c r="BN145" s="73"/>
      <c r="BO145" s="73"/>
      <c r="BP145" s="73"/>
      <c r="BQ145" s="227"/>
      <c r="BR145" s="227"/>
      <c r="BS145" s="1232" t="s">
        <v>1618</v>
      </c>
      <c r="BT145" s="1232"/>
      <c r="BU145" s="1232"/>
      <c r="BV145" s="1233"/>
      <c r="BW145" s="1233"/>
      <c r="BX145" s="1268" cm="1" t="str">
        <f t="array" ref="BX145:BX145">D145&amp;"::"&amp;IF(N145&lt;&gt;"",N145,"Неопределено")&amp;"::"&amp;IF(M145&lt;&gt;"",M145,"Неопределено")&amp;"::"&amp;IF(O145&lt;&gt;"",O145,"Неопределено")&amp;"::"&amp;IF(P145&lt;&gt;"",P145,"Неопределено")&amp;"::"&amp;IF(Q145&lt;&gt;"",Q145,"Неопределено")&amp;"::"&amp;IF(R145&lt;&gt;"",R145,"Неопределено")</f>
        <v>M11487::ТЭ.42.26824396.0005::Неопределено::Неопределено::Неопределено::Неопределено::Неопределено</v>
      </c>
    </row>
    <row s="1619" customFormat="1" customHeight="1" ht="16.5" hidden="1">
      <c r="A146" s="225"/>
      <c r="B146" s="924"/>
      <c r="C146" s="1298" t="s">
        <v>1619</v>
      </c>
      <c r="D146" s="1257" t="s">
        <v>1620</v>
      </c>
      <c r="E146" s="794">
        <v>17.1</v>
      </c>
      <c r="F146" s="919" cm="1" t="str">
        <f t="array" ref="F146:F146">OFFSET(G146,-1,-1)</f>
        <v>2</v>
      </c>
      <c r="G146" s="227"/>
      <c r="H146" s="227"/>
      <c r="I146" s="227"/>
      <c r="J146" s="227"/>
      <c r="K146" s="227"/>
      <c r="L146" s="190"/>
      <c r="M146" s="1281"/>
      <c r="N146" s="1281" cm="1" t="str">
        <f t="array" ref="N146:N146">OFFSET(M146,-1,1)</f>
        <v>ТЭ.42.26824396.0005</v>
      </c>
      <c r="O146" s="1282"/>
      <c r="P146" s="1282"/>
      <c r="Q146" s="1282"/>
      <c r="R146" s="1282"/>
      <c r="S146" s="1619"/>
      <c r="T146" s="805">
        <f>AND(F146&gt;0,method_reg="Метод обеспечения доходности инвестированного капитала")</f>
        <v>0</v>
      </c>
      <c r="U146" s="1461"/>
      <c r="V146" s="1461"/>
      <c r="W146" s="1461"/>
      <c r="X146" s="1461"/>
      <c r="Y146" s="1461"/>
      <c r="Z146" s="1461"/>
      <c r="AA146" s="227"/>
      <c r="AB146" s="311" t="s">
        <v>1306</v>
      </c>
      <c r="AC146" s="312" t="s">
        <v>1621</v>
      </c>
      <c r="AD146" s="309" t="s">
        <v>490</v>
      </c>
      <c r="AE146" s="121"/>
      <c r="AF146" s="121"/>
      <c r="AG146" s="121"/>
      <c r="AH146" s="307">
        <f>AG146-AF146</f>
        <v>0</v>
      </c>
      <c r="AI146" s="121"/>
      <c r="AJ146" s="614"/>
      <c r="AK146" s="614"/>
      <c r="AL146" s="614"/>
      <c r="AM146" s="614"/>
      <c r="AN146" s="614"/>
      <c r="AO146" s="121"/>
      <c r="AP146" s="121"/>
      <c r="AQ146" s="121"/>
      <c r="AR146" s="121"/>
      <c r="AS146" s="121"/>
      <c r="AT146" s="614"/>
      <c r="AU146" s="614"/>
      <c r="AV146" s="614"/>
      <c r="AW146" s="614"/>
      <c r="AX146" s="614"/>
      <c r="AY146" s="121"/>
      <c r="AZ146" s="121"/>
      <c r="BA146" s="121"/>
      <c r="BB146" s="121"/>
      <c r="BC146" s="121"/>
      <c r="BD146" s="307">
        <f>IF(AI146=0,0,(AT146-AI146)/AI146*100)</f>
        <v>0</v>
      </c>
      <c r="BE146" s="307">
        <f>IF(AT146=0,0,(AU146-AT146)/AT146*100)</f>
        <v>0</v>
      </c>
      <c r="BF146" s="307">
        <f>IF(AU146=0,0,(AV146-AU146)/AU146*100)</f>
        <v>0</v>
      </c>
      <c r="BG146" s="307">
        <f>IF(AV146=0,0,(AW146-AV146)/AV146*100)</f>
        <v>0</v>
      </c>
      <c r="BH146" s="307">
        <f>IF(AW146=0,0,(AX146-AW146)/AW146*100)</f>
        <v>0</v>
      </c>
      <c r="BI146" s="307">
        <f>IF(AX146=0,0,(AY146-AX146)/AX146*100)</f>
        <v>0</v>
      </c>
      <c r="BJ146" s="307">
        <f>IF(AY146=0,0,(AZ146-AY146)/AY146*100)</f>
        <v>0</v>
      </c>
      <c r="BK146" s="307">
        <f>IF(AZ146=0,0,(BA146-AZ146)/AZ146*100)</f>
        <v>0</v>
      </c>
      <c r="BL146" s="307">
        <f>IF(BA146=0,0,(BB146-BA146)/BA146*100)</f>
        <v>0</v>
      </c>
      <c r="BM146" s="307">
        <f>IF(BB146=0,0,(BC146-BB146)/BB146*100)</f>
        <v>0</v>
      </c>
      <c r="BN146" s="73"/>
      <c r="BO146" s="73"/>
      <c r="BP146" s="73"/>
      <c r="BQ146" s="227"/>
      <c r="BR146" s="227"/>
      <c r="BS146" s="1232" t="s">
        <v>1622</v>
      </c>
      <c r="BT146" s="1232"/>
      <c r="BU146" s="1232"/>
      <c r="BV146" s="1233"/>
      <c r="BW146" s="1233"/>
      <c r="BX146" s="1268" cm="1" t="str">
        <f t="array" ref="BX146:BX146">D146&amp;"::"&amp;IF(N146&lt;&gt;"",N146,"Неопределено")&amp;"::"&amp;IF(M146&lt;&gt;"",M146,"Неопределено")&amp;"::"&amp;IF(O146&lt;&gt;"",O146,"Неопределено")&amp;"::"&amp;IF(P146&lt;&gt;"",P146,"Неопределено")&amp;"::"&amp;IF(Q146&lt;&gt;"",Q146,"Неопределено")&amp;"::"&amp;IF(R146&lt;&gt;"",R146,"Неопределено")</f>
        <v>M11488::ТЭ.42.26824396.0005::Неопределено::Неопределено::Неопределено::Неопределено::Неопределено</v>
      </c>
    </row>
    <row s="1619" customFormat="1" customHeight="1" ht="16.5" hidden="1">
      <c r="A147" s="225"/>
      <c r="B147" s="924"/>
      <c r="C147" s="1298" t="s">
        <v>1623</v>
      </c>
      <c r="D147" s="1257" t="s">
        <v>1624</v>
      </c>
      <c r="E147" s="794">
        <v>17.1</v>
      </c>
      <c r="F147" s="919" cm="1" t="str">
        <f t="array" ref="F147:F147">OFFSET(G147,-1,-1)</f>
        <v>2</v>
      </c>
      <c r="G147" s="227"/>
      <c r="H147" s="227"/>
      <c r="I147" s="227"/>
      <c r="J147" s="227"/>
      <c r="K147" s="227"/>
      <c r="L147" s="190"/>
      <c r="M147" s="1281"/>
      <c r="N147" s="1281" cm="1" t="str">
        <f t="array" ref="N147:N147">OFFSET(M147,-1,1)</f>
        <v>ТЭ.42.26824396.0005</v>
      </c>
      <c r="O147" s="1282"/>
      <c r="P147" s="1282"/>
      <c r="Q147" s="1282"/>
      <c r="R147" s="1282"/>
      <c r="S147" s="1619"/>
      <c r="T147" s="805">
        <f>AND(F147&gt;0,method_reg="Метод обеспечения доходности инвестированного капитала")</f>
        <v>0</v>
      </c>
      <c r="U147" s="1461"/>
      <c r="V147" s="1461"/>
      <c r="W147" s="1461"/>
      <c r="X147" s="1461"/>
      <c r="Y147" s="1461"/>
      <c r="Z147" s="1461"/>
      <c r="AA147" s="227"/>
      <c r="AB147" s="311" t="s">
        <v>1309</v>
      </c>
      <c r="AC147" s="127" t="s">
        <v>1625</v>
      </c>
      <c r="AD147" s="309" t="s">
        <v>805</v>
      </c>
      <c r="AE147" s="121"/>
      <c r="AF147" s="121"/>
      <c r="AG147" s="121"/>
      <c r="AH147" s="307">
        <f>AG147-AF147</f>
        <v>0</v>
      </c>
      <c r="AI147" s="121"/>
      <c r="AJ147" s="614"/>
      <c r="AK147" s="614"/>
      <c r="AL147" s="614"/>
      <c r="AM147" s="614"/>
      <c r="AN147" s="614"/>
      <c r="AO147" s="121"/>
      <c r="AP147" s="121"/>
      <c r="AQ147" s="121"/>
      <c r="AR147" s="121"/>
      <c r="AS147" s="121"/>
      <c r="AT147" s="614"/>
      <c r="AU147" s="614"/>
      <c r="AV147" s="614"/>
      <c r="AW147" s="614"/>
      <c r="AX147" s="614"/>
      <c r="AY147" s="121"/>
      <c r="AZ147" s="121"/>
      <c r="BA147" s="121"/>
      <c r="BB147" s="121"/>
      <c r="BC147" s="121"/>
      <c r="BD147" s="307">
        <f>IF(AI147=0,0,(AT147-AI147)/AI147*100)</f>
        <v>0</v>
      </c>
      <c r="BE147" s="307">
        <f>IF(AT147=0,0,(AU147-AT147)/AT147*100)</f>
        <v>0</v>
      </c>
      <c r="BF147" s="307">
        <f>IF(AU147=0,0,(AV147-AU147)/AU147*100)</f>
        <v>0</v>
      </c>
      <c r="BG147" s="307">
        <f>IF(AV147=0,0,(AW147-AV147)/AV147*100)</f>
        <v>0</v>
      </c>
      <c r="BH147" s="307">
        <f>IF(AW147=0,0,(AX147-AW147)/AW147*100)</f>
        <v>0</v>
      </c>
      <c r="BI147" s="307">
        <f>IF(AX147=0,0,(AY147-AX147)/AX147*100)</f>
        <v>0</v>
      </c>
      <c r="BJ147" s="307">
        <f>IF(AY147=0,0,(AZ147-AY147)/AY147*100)</f>
        <v>0</v>
      </c>
      <c r="BK147" s="307">
        <f>IF(AZ147=0,0,(BA147-AZ147)/AZ147*100)</f>
        <v>0</v>
      </c>
      <c r="BL147" s="307">
        <f>IF(BA147=0,0,(BB147-BA147)/BA147*100)</f>
        <v>0</v>
      </c>
      <c r="BM147" s="307">
        <f>IF(BB147=0,0,(BC147-BB147)/BB147*100)</f>
        <v>0</v>
      </c>
      <c r="BN147" s="73"/>
      <c r="BO147" s="73"/>
      <c r="BP147" s="73"/>
      <c r="BQ147" s="227"/>
      <c r="BR147" s="227"/>
      <c r="BS147" s="1232" t="s">
        <v>1626</v>
      </c>
      <c r="BT147" s="1232"/>
      <c r="BU147" s="1232"/>
      <c r="BV147" s="1233"/>
      <c r="BW147" s="1233"/>
      <c r="BX147" s="1268" cm="1" t="str">
        <f t="array" ref="BX147:BX147">D147&amp;"::"&amp;IF(N147&lt;&gt;"",N147,"Неопределено")&amp;"::"&amp;IF(M147&lt;&gt;"",M147,"Неопределено")&amp;"::"&amp;IF(O147&lt;&gt;"",O147,"Неопределено")&amp;"::"&amp;IF(P147&lt;&gt;"",P147,"Неопределено")&amp;"::"&amp;IF(Q147&lt;&gt;"",Q147,"Неопределено")&amp;"::"&amp;IF(R147&lt;&gt;"",R147,"Неопределено")</f>
        <v>M11489::ТЭ.42.26824396.0005::Неопределено::Неопределено::Неопределено::Неопределено::Неопределено</v>
      </c>
    </row>
    <row s="1619" customFormat="1" customHeight="1" ht="16.5" hidden="1">
      <c r="A148" s="225"/>
      <c r="B148" s="924"/>
      <c r="C148" s="1298" t="s">
        <v>1627</v>
      </c>
      <c r="D148" s="1257" t="s">
        <v>1628</v>
      </c>
      <c r="E148" s="794">
        <v>17.1</v>
      </c>
      <c r="F148" s="919" cm="1" t="str">
        <f t="array" ref="F148:F148">OFFSET(G148,-1,-1)</f>
        <v>2</v>
      </c>
      <c r="G148" s="227"/>
      <c r="H148" s="227"/>
      <c r="I148" s="227"/>
      <c r="J148" s="227"/>
      <c r="K148" s="227"/>
      <c r="L148" s="190"/>
      <c r="M148" s="1281"/>
      <c r="N148" s="1281" cm="1" t="str">
        <f t="array" ref="N148:N148">OFFSET(M148,-1,1)</f>
        <v>ТЭ.42.26824396.0005</v>
      </c>
      <c r="O148" s="1282"/>
      <c r="P148" s="1282"/>
      <c r="Q148" s="1282"/>
      <c r="R148" s="1282"/>
      <c r="S148" s="1619"/>
      <c r="T148" s="805">
        <f>AND(F148&gt;0,method_reg="Метод обеспечения доходности инвестированного капитала")</f>
        <v>0</v>
      </c>
      <c r="U148" s="1461"/>
      <c r="V148" s="1461"/>
      <c r="W148" s="1461"/>
      <c r="X148" s="1461"/>
      <c r="Y148" s="1461"/>
      <c r="Z148" s="1461"/>
      <c r="AA148" s="227"/>
      <c r="AB148" s="311" t="s">
        <v>1312</v>
      </c>
      <c r="AC148" s="127" t="s">
        <v>1629</v>
      </c>
      <c r="AD148" s="309" t="s">
        <v>805</v>
      </c>
      <c r="AE148" s="121"/>
      <c r="AF148" s="121"/>
      <c r="AG148" s="121"/>
      <c r="AH148" s="307">
        <f>AG148-AF148</f>
        <v>0</v>
      </c>
      <c r="AI148" s="121"/>
      <c r="AJ148" s="614"/>
      <c r="AK148" s="614"/>
      <c r="AL148" s="614"/>
      <c r="AM148" s="614"/>
      <c r="AN148" s="614"/>
      <c r="AO148" s="121"/>
      <c r="AP148" s="121"/>
      <c r="AQ148" s="121"/>
      <c r="AR148" s="121"/>
      <c r="AS148" s="121"/>
      <c r="AT148" s="614"/>
      <c r="AU148" s="614"/>
      <c r="AV148" s="614"/>
      <c r="AW148" s="614"/>
      <c r="AX148" s="614"/>
      <c r="AY148" s="121"/>
      <c r="AZ148" s="121"/>
      <c r="BA148" s="121"/>
      <c r="BB148" s="121"/>
      <c r="BC148" s="121"/>
      <c r="BD148" s="307">
        <f>IF(AI148=0,0,(AT148-AI148)/AI148*100)</f>
        <v>0</v>
      </c>
      <c r="BE148" s="307">
        <f>IF(AT148=0,0,(AU148-AT148)/AT148*100)</f>
        <v>0</v>
      </c>
      <c r="BF148" s="307">
        <f>IF(AU148=0,0,(AV148-AU148)/AU148*100)</f>
        <v>0</v>
      </c>
      <c r="BG148" s="307">
        <f>IF(AV148=0,0,(AW148-AV148)/AV148*100)</f>
        <v>0</v>
      </c>
      <c r="BH148" s="307">
        <f>IF(AW148=0,0,(AX148-AW148)/AW148*100)</f>
        <v>0</v>
      </c>
      <c r="BI148" s="307">
        <f>IF(AX148=0,0,(AY148-AX148)/AX148*100)</f>
        <v>0</v>
      </c>
      <c r="BJ148" s="307">
        <f>IF(AY148=0,0,(AZ148-AY148)/AY148*100)</f>
        <v>0</v>
      </c>
      <c r="BK148" s="307">
        <f>IF(AZ148=0,0,(BA148-AZ148)/AZ148*100)</f>
        <v>0</v>
      </c>
      <c r="BL148" s="307">
        <f>IF(BA148=0,0,(BB148-BA148)/BA148*100)</f>
        <v>0</v>
      </c>
      <c r="BM148" s="307">
        <f>IF(BB148=0,0,(BC148-BB148)/BB148*100)</f>
        <v>0</v>
      </c>
      <c r="BN148" s="73"/>
      <c r="BO148" s="73"/>
      <c r="BP148" s="73"/>
      <c r="BQ148" s="227"/>
      <c r="BR148" s="227"/>
      <c r="BS148" s="1232" t="s">
        <v>1630</v>
      </c>
      <c r="BT148" s="1232"/>
      <c r="BU148" s="1232"/>
      <c r="BV148" s="1233"/>
      <c r="BW148" s="1233"/>
      <c r="BX148" s="1268" cm="1" t="str">
        <f t="array" ref="BX148:BX148">D148&amp;"::"&amp;IF(N148&lt;&gt;"",N148,"Неопределено")&amp;"::"&amp;IF(M148&lt;&gt;"",M148,"Неопределено")&amp;"::"&amp;IF(O148&lt;&gt;"",O148,"Неопределено")&amp;"::"&amp;IF(P148&lt;&gt;"",P148,"Неопределено")&amp;"::"&amp;IF(Q148&lt;&gt;"",Q148,"Неопределено")&amp;"::"&amp;IF(R148&lt;&gt;"",R148,"Неопределено")</f>
        <v>M11490::ТЭ.42.26824396.0005::Неопределено::Неопределено::Неопределено::Неопределено::Неопределено</v>
      </c>
    </row>
    <row s="1619" customFormat="1" customHeight="1" ht="16.5" hidden="1">
      <c r="A149" s="225"/>
      <c r="B149" s="924"/>
      <c r="C149" s="1298" t="s">
        <v>1631</v>
      </c>
      <c r="D149" s="1257" t="s">
        <v>1632</v>
      </c>
      <c r="E149" s="794">
        <v>17.1</v>
      </c>
      <c r="F149" s="919" cm="1" t="str">
        <f t="array" ref="F149:F149">OFFSET(G149,-1,-1)</f>
        <v>2</v>
      </c>
      <c r="G149" s="227"/>
      <c r="H149" s="227"/>
      <c r="I149" s="227"/>
      <c r="J149" s="227"/>
      <c r="K149" s="227"/>
      <c r="L149" s="190"/>
      <c r="M149" s="1281"/>
      <c r="N149" s="1281" cm="1" t="str">
        <f t="array" ref="N149:N149">OFFSET(M149,-1,1)</f>
        <v>ТЭ.42.26824396.0005</v>
      </c>
      <c r="O149" s="1282"/>
      <c r="P149" s="1282"/>
      <c r="Q149" s="1282"/>
      <c r="R149" s="1282"/>
      <c r="S149" s="1619"/>
      <c r="T149" s="805">
        <f>AND(F149&gt;0,method_reg="Метод обеспечения доходности инвестированного капитала")</f>
        <v>0</v>
      </c>
      <c r="U149" s="1461"/>
      <c r="V149" s="1461"/>
      <c r="W149" s="1461"/>
      <c r="X149" s="1461"/>
      <c r="Y149" s="1461"/>
      <c r="Z149" s="1461"/>
      <c r="AA149" s="227"/>
      <c r="AB149" s="311" t="s">
        <v>1633</v>
      </c>
      <c r="AC149" s="128" t="s">
        <v>1634</v>
      </c>
      <c r="AD149" s="309" t="s">
        <v>490</v>
      </c>
      <c r="AE149" s="121"/>
      <c r="AF149" s="121"/>
      <c r="AG149" s="121"/>
      <c r="AH149" s="307">
        <f>AG149-AF149</f>
        <v>0</v>
      </c>
      <c r="AI149" s="121"/>
      <c r="AJ149" s="614"/>
      <c r="AK149" s="614"/>
      <c r="AL149" s="614"/>
      <c r="AM149" s="614"/>
      <c r="AN149" s="614"/>
      <c r="AO149" s="121"/>
      <c r="AP149" s="121"/>
      <c r="AQ149" s="121"/>
      <c r="AR149" s="121"/>
      <c r="AS149" s="121"/>
      <c r="AT149" s="614"/>
      <c r="AU149" s="614"/>
      <c r="AV149" s="614"/>
      <c r="AW149" s="614"/>
      <c r="AX149" s="614"/>
      <c r="AY149" s="121"/>
      <c r="AZ149" s="121"/>
      <c r="BA149" s="121"/>
      <c r="BB149" s="121"/>
      <c r="BC149" s="121"/>
      <c r="BD149" s="307">
        <f>IF(AI149=0,0,(AT149-AI149)/AI149*100)</f>
        <v>0</v>
      </c>
      <c r="BE149" s="307">
        <f>IF(AT149=0,0,(AU149-AT149)/AT149*100)</f>
        <v>0</v>
      </c>
      <c r="BF149" s="307">
        <f>IF(AU149=0,0,(AV149-AU149)/AU149*100)</f>
        <v>0</v>
      </c>
      <c r="BG149" s="307">
        <f>IF(AV149=0,0,(AW149-AV149)/AV149*100)</f>
        <v>0</v>
      </c>
      <c r="BH149" s="307">
        <f>IF(AW149=0,0,(AX149-AW149)/AW149*100)</f>
        <v>0</v>
      </c>
      <c r="BI149" s="307">
        <f>IF(AX149=0,0,(AY149-AX149)/AX149*100)</f>
        <v>0</v>
      </c>
      <c r="BJ149" s="307">
        <f>IF(AY149=0,0,(AZ149-AY149)/AY149*100)</f>
        <v>0</v>
      </c>
      <c r="BK149" s="307">
        <f>IF(AZ149=0,0,(BA149-AZ149)/AZ149*100)</f>
        <v>0</v>
      </c>
      <c r="BL149" s="307">
        <f>IF(BA149=0,0,(BB149-BA149)/BA149*100)</f>
        <v>0</v>
      </c>
      <c r="BM149" s="307">
        <f>IF(BB149=0,0,(BC149-BB149)/BB149*100)</f>
        <v>0</v>
      </c>
      <c r="BN149" s="73"/>
      <c r="BO149" s="73"/>
      <c r="BP149" s="73"/>
      <c r="BQ149" s="227"/>
      <c r="BR149" s="227"/>
      <c r="BS149" s="1232" t="s">
        <v>1635</v>
      </c>
      <c r="BT149" s="1232"/>
      <c r="BU149" s="1232"/>
      <c r="BV149" s="1233"/>
      <c r="BW149" s="1233"/>
      <c r="BX149" s="1268" cm="1" t="str">
        <f t="array" ref="BX149:BX149">D149&amp;"::"&amp;IF(N149&lt;&gt;"",N149,"Неопределено")&amp;"::"&amp;IF(M149&lt;&gt;"",M149,"Неопределено")&amp;"::"&amp;IF(O149&lt;&gt;"",O149,"Неопределено")&amp;"::"&amp;IF(P149&lt;&gt;"",P149,"Неопределено")&amp;"::"&amp;IF(Q149&lt;&gt;"",Q149,"Неопределено")&amp;"::"&amp;IF(R149&lt;&gt;"",R149,"Неопределено")</f>
        <v>M11491::ТЭ.42.26824396.0005::Неопределено::Неопределено::Неопределено::Неопределено::Неопределено</v>
      </c>
    </row>
    <row s="1619" customFormat="1" customHeight="1" ht="16.5" hidden="1">
      <c r="A150" s="225"/>
      <c r="B150" s="924"/>
      <c r="C150" s="1298" t="s">
        <v>1636</v>
      </c>
      <c r="D150" s="1257" t="s">
        <v>1637</v>
      </c>
      <c r="E150" s="794">
        <v>17.1</v>
      </c>
      <c r="F150" s="919" cm="1" t="str">
        <f t="array" ref="F150:F150">OFFSET(G150,-1,-1)</f>
        <v>2</v>
      </c>
      <c r="G150" s="227"/>
      <c r="H150" s="227"/>
      <c r="I150" s="227"/>
      <c r="J150" s="227"/>
      <c r="K150" s="227"/>
      <c r="L150" s="190"/>
      <c r="M150" s="1281"/>
      <c r="N150" s="1281" cm="1" t="str">
        <f t="array" ref="N150:N150">OFFSET(M150,-1,1)</f>
        <v>ТЭ.42.26824396.0005</v>
      </c>
      <c r="O150" s="1282"/>
      <c r="P150" s="1282"/>
      <c r="Q150" s="1282"/>
      <c r="R150" s="1282"/>
      <c r="S150" s="1619"/>
      <c r="T150" s="805">
        <f>AND(F150&gt;0,method_reg="Метод обеспечения доходности инвестированного капитала")</f>
        <v>0</v>
      </c>
      <c r="U150" s="1461"/>
      <c r="V150" s="1461"/>
      <c r="W150" s="1461"/>
      <c r="X150" s="1461"/>
      <c r="Y150" s="1461"/>
      <c r="Z150" s="1461"/>
      <c r="AA150" s="227"/>
      <c r="AB150" s="311" t="s">
        <v>1315</v>
      </c>
      <c r="AC150" s="127" t="s">
        <v>1638</v>
      </c>
      <c r="AD150" s="309" t="s">
        <v>490</v>
      </c>
      <c r="AE150" s="121"/>
      <c r="AF150" s="121"/>
      <c r="AG150" s="121"/>
      <c r="AH150" s="307">
        <f>AG150-AF150</f>
        <v>0</v>
      </c>
      <c r="AI150" s="121"/>
      <c r="AJ150" s="614"/>
      <c r="AK150" s="614"/>
      <c r="AL150" s="614"/>
      <c r="AM150" s="614"/>
      <c r="AN150" s="614"/>
      <c r="AO150" s="121"/>
      <c r="AP150" s="121"/>
      <c r="AQ150" s="121"/>
      <c r="AR150" s="121"/>
      <c r="AS150" s="121"/>
      <c r="AT150" s="614"/>
      <c r="AU150" s="614"/>
      <c r="AV150" s="614"/>
      <c r="AW150" s="614"/>
      <c r="AX150" s="614"/>
      <c r="AY150" s="121"/>
      <c r="AZ150" s="121"/>
      <c r="BA150" s="121"/>
      <c r="BB150" s="121"/>
      <c r="BC150" s="121"/>
      <c r="BD150" s="307">
        <f>IF(AI150=0,0,(AT150-AI150)/AI150*100)</f>
        <v>0</v>
      </c>
      <c r="BE150" s="307">
        <f>IF(AT150=0,0,(AU150-AT150)/AT150*100)</f>
        <v>0</v>
      </c>
      <c r="BF150" s="307">
        <f>IF(AU150=0,0,(AV150-AU150)/AU150*100)</f>
        <v>0</v>
      </c>
      <c r="BG150" s="307">
        <f>IF(AV150=0,0,(AW150-AV150)/AV150*100)</f>
        <v>0</v>
      </c>
      <c r="BH150" s="307">
        <f>IF(AW150=0,0,(AX150-AW150)/AW150*100)</f>
        <v>0</v>
      </c>
      <c r="BI150" s="307">
        <f>IF(AX150=0,0,(AY150-AX150)/AX150*100)</f>
        <v>0</v>
      </c>
      <c r="BJ150" s="307">
        <f>IF(AY150=0,0,(AZ150-AY150)/AY150*100)</f>
        <v>0</v>
      </c>
      <c r="BK150" s="307">
        <f>IF(AZ150=0,0,(BA150-AZ150)/AZ150*100)</f>
        <v>0</v>
      </c>
      <c r="BL150" s="307">
        <f>IF(BA150=0,0,(BB150-BA150)/BA150*100)</f>
        <v>0</v>
      </c>
      <c r="BM150" s="307">
        <f>IF(BB150=0,0,(BC150-BB150)/BB150*100)</f>
        <v>0</v>
      </c>
      <c r="BN150" s="73"/>
      <c r="BO150" s="73"/>
      <c r="BP150" s="73"/>
      <c r="BQ150" s="227"/>
      <c r="BR150" s="227"/>
      <c r="BS150" s="1232" t="s">
        <v>1639</v>
      </c>
      <c r="BT150" s="1232"/>
      <c r="BU150" s="1232"/>
      <c r="BV150" s="1233"/>
      <c r="BW150" s="1233"/>
      <c r="BX150" s="1268" cm="1" t="str">
        <f t="array" ref="BX150:BX150">D150&amp;"::"&amp;IF(N150&lt;&gt;"",N150,"Неопределено")&amp;"::"&amp;IF(M150&lt;&gt;"",M150,"Неопределено")&amp;"::"&amp;IF(O150&lt;&gt;"",O150,"Неопределено")&amp;"::"&amp;IF(P150&lt;&gt;"",P150,"Неопределено")&amp;"::"&amp;IF(Q150&lt;&gt;"",Q150,"Неопределено")&amp;"::"&amp;IF(R150&lt;&gt;"",R150,"Неопределено")</f>
        <v>M11493::ТЭ.42.26824396.0005::Неопределено::Неопределено::Неопределено::Неопределено::Неопределено</v>
      </c>
    </row>
    <row s="1619" customFormat="1" customHeight="1" ht="16.5" hidden="1">
      <c r="A151" s="225"/>
      <c r="B151" s="924"/>
      <c r="C151" s="1298" t="s">
        <v>1640</v>
      </c>
      <c r="D151" s="1257" t="s">
        <v>1641</v>
      </c>
      <c r="E151" s="794">
        <v>17.1</v>
      </c>
      <c r="F151" s="919" cm="1" t="str">
        <f t="array" ref="F151:F151">OFFSET(G151,-1,-1)</f>
        <v>2</v>
      </c>
      <c r="G151" s="227"/>
      <c r="H151" s="227"/>
      <c r="I151" s="227"/>
      <c r="J151" s="227"/>
      <c r="K151" s="227"/>
      <c r="L151" s="190"/>
      <c r="M151" s="1281"/>
      <c r="N151" s="1281" cm="1" t="str">
        <f t="array" ref="N151:N151">OFFSET(M151,-1,1)</f>
        <v>ТЭ.42.26824396.0005</v>
      </c>
      <c r="O151" s="1282"/>
      <c r="P151" s="1282"/>
      <c r="Q151" s="1282"/>
      <c r="R151" s="1282"/>
      <c r="S151" s="1619"/>
      <c r="T151" s="805">
        <f>AND(F151&gt;0,method_reg="Метод обеспечения доходности инвестированного капитала")</f>
        <v>0</v>
      </c>
      <c r="U151" s="1461"/>
      <c r="V151" s="1461"/>
      <c r="W151" s="1461"/>
      <c r="X151" s="1461"/>
      <c r="Y151" s="1461"/>
      <c r="Z151" s="1461"/>
      <c r="AA151" s="227"/>
      <c r="AB151" s="311" t="s">
        <v>1642</v>
      </c>
      <c r="AC151" s="128" t="s">
        <v>1643</v>
      </c>
      <c r="AD151" s="309" t="s">
        <v>490</v>
      </c>
      <c r="AE151" s="121"/>
      <c r="AF151" s="121"/>
      <c r="AG151" s="121"/>
      <c r="AH151" s="307">
        <f>AG151-AF151</f>
        <v>0</v>
      </c>
      <c r="AI151" s="121"/>
      <c r="AJ151" s="614"/>
      <c r="AK151" s="614"/>
      <c r="AL151" s="614"/>
      <c r="AM151" s="614"/>
      <c r="AN151" s="614"/>
      <c r="AO151" s="121"/>
      <c r="AP151" s="121"/>
      <c r="AQ151" s="121"/>
      <c r="AR151" s="121"/>
      <c r="AS151" s="121"/>
      <c r="AT151" s="614"/>
      <c r="AU151" s="614"/>
      <c r="AV151" s="614"/>
      <c r="AW151" s="614"/>
      <c r="AX151" s="614"/>
      <c r="AY151" s="121"/>
      <c r="AZ151" s="121"/>
      <c r="BA151" s="121"/>
      <c r="BB151" s="121"/>
      <c r="BC151" s="121"/>
      <c r="BD151" s="307">
        <f>IF(AI151=0,0,(AT151-AI151)/AI151*100)</f>
        <v>0</v>
      </c>
      <c r="BE151" s="307">
        <f>IF(AT151=0,0,(AU151-AT151)/AT151*100)</f>
        <v>0</v>
      </c>
      <c r="BF151" s="307">
        <f>IF(AU151=0,0,(AV151-AU151)/AU151*100)</f>
        <v>0</v>
      </c>
      <c r="BG151" s="307">
        <f>IF(AV151=0,0,(AW151-AV151)/AV151*100)</f>
        <v>0</v>
      </c>
      <c r="BH151" s="307">
        <f>IF(AW151=0,0,(AX151-AW151)/AW151*100)</f>
        <v>0</v>
      </c>
      <c r="BI151" s="307">
        <f>IF(AX151=0,0,(AY151-AX151)/AX151*100)</f>
        <v>0</v>
      </c>
      <c r="BJ151" s="307">
        <f>IF(AY151=0,0,(AZ151-AY151)/AY151*100)</f>
        <v>0</v>
      </c>
      <c r="BK151" s="307">
        <f>IF(AZ151=0,0,(BA151-AZ151)/AZ151*100)</f>
        <v>0</v>
      </c>
      <c r="BL151" s="307">
        <f>IF(BA151=0,0,(BB151-BA151)/BA151*100)</f>
        <v>0</v>
      </c>
      <c r="BM151" s="307">
        <f>IF(BB151=0,0,(BC151-BB151)/BB151*100)</f>
        <v>0</v>
      </c>
      <c r="BN151" s="73"/>
      <c r="BO151" s="73"/>
      <c r="BP151" s="73"/>
      <c r="BQ151" s="227"/>
      <c r="BR151" s="227"/>
      <c r="BS151" s="1232" t="s">
        <v>1644</v>
      </c>
      <c r="BT151" s="1232"/>
      <c r="BU151" s="1232"/>
      <c r="BV151" s="1233"/>
      <c r="BW151" s="1233"/>
      <c r="BX151" s="1268" cm="1" t="str">
        <f t="array" ref="BX151:BX151">D151&amp;"::"&amp;IF(N151&lt;&gt;"",N151,"Неопределено")&amp;"::"&amp;IF(M151&lt;&gt;"",M151,"Неопределено")&amp;"::"&amp;IF(O151&lt;&gt;"",O151,"Неопределено")&amp;"::"&amp;IF(P151&lt;&gt;"",P151,"Неопределено")&amp;"::"&amp;IF(Q151&lt;&gt;"",Q151,"Неопределено")&amp;"::"&amp;IF(R151&lt;&gt;"",R151,"Неопределено")</f>
        <v>M11494::ТЭ.42.26824396.0005::Неопределено::Неопределено::Неопределено::Неопределено::Неопределено</v>
      </c>
    </row>
    <row s="1619" customFormat="1" customHeight="1" ht="16.5" hidden="1">
      <c r="A152" s="225"/>
      <c r="B152" s="924"/>
      <c r="C152" s="1298" t="s">
        <v>1645</v>
      </c>
      <c r="D152" s="1257" t="s">
        <v>1646</v>
      </c>
      <c r="E152" s="794">
        <v>17.1</v>
      </c>
      <c r="F152" s="919" cm="1" t="str">
        <f t="array" ref="F152:F152">OFFSET(G152,-1,-1)</f>
        <v>2</v>
      </c>
      <c r="G152" s="227"/>
      <c r="H152" s="227"/>
      <c r="I152" s="227"/>
      <c r="J152" s="227"/>
      <c r="K152" s="227"/>
      <c r="L152" s="190"/>
      <c r="M152" s="1281"/>
      <c r="N152" s="1281" cm="1" t="str">
        <f t="array" ref="N152:N152">OFFSET(M152,-1,1)</f>
        <v>ТЭ.42.26824396.0005</v>
      </c>
      <c r="O152" s="1282"/>
      <c r="P152" s="1282"/>
      <c r="Q152" s="1282"/>
      <c r="R152" s="1282"/>
      <c r="S152" s="1619"/>
      <c r="T152" s="805">
        <f>AND(F152&gt;0,method_reg="Метод обеспечения доходности инвестированного капитала")</f>
        <v>0</v>
      </c>
      <c r="U152" s="1461"/>
      <c r="V152" s="1461"/>
      <c r="W152" s="1461"/>
      <c r="X152" s="1461"/>
      <c r="Y152" s="1461"/>
      <c r="Z152" s="1461"/>
      <c r="AA152" s="227"/>
      <c r="AB152" s="311" t="s">
        <v>1647</v>
      </c>
      <c r="AC152" s="128" t="s">
        <v>1648</v>
      </c>
      <c r="AD152" s="309" t="s">
        <v>490</v>
      </c>
      <c r="AE152" s="121"/>
      <c r="AF152" s="121"/>
      <c r="AG152" s="121"/>
      <c r="AH152" s="307">
        <f>AG152-AF152</f>
        <v>0</v>
      </c>
      <c r="AI152" s="121"/>
      <c r="AJ152" s="614"/>
      <c r="AK152" s="614"/>
      <c r="AL152" s="614"/>
      <c r="AM152" s="614"/>
      <c r="AN152" s="614"/>
      <c r="AO152" s="121"/>
      <c r="AP152" s="121"/>
      <c r="AQ152" s="121"/>
      <c r="AR152" s="121"/>
      <c r="AS152" s="121"/>
      <c r="AT152" s="614"/>
      <c r="AU152" s="614"/>
      <c r="AV152" s="614"/>
      <c r="AW152" s="614"/>
      <c r="AX152" s="614"/>
      <c r="AY152" s="121"/>
      <c r="AZ152" s="121"/>
      <c r="BA152" s="121"/>
      <c r="BB152" s="121"/>
      <c r="BC152" s="121"/>
      <c r="BD152" s="307">
        <f>IF(AI152=0,0,(AT152-AI152)/AI152*100)</f>
        <v>0</v>
      </c>
      <c r="BE152" s="307">
        <f>IF(AT152=0,0,(AU152-AT152)/AT152*100)</f>
        <v>0</v>
      </c>
      <c r="BF152" s="307">
        <f>IF(AU152=0,0,(AV152-AU152)/AU152*100)</f>
        <v>0</v>
      </c>
      <c r="BG152" s="307">
        <f>IF(AV152=0,0,(AW152-AV152)/AV152*100)</f>
        <v>0</v>
      </c>
      <c r="BH152" s="307">
        <f>IF(AW152=0,0,(AX152-AW152)/AW152*100)</f>
        <v>0</v>
      </c>
      <c r="BI152" s="307">
        <f>IF(AX152=0,0,(AY152-AX152)/AX152*100)</f>
        <v>0</v>
      </c>
      <c r="BJ152" s="307">
        <f>IF(AY152=0,0,(AZ152-AY152)/AY152*100)</f>
        <v>0</v>
      </c>
      <c r="BK152" s="307">
        <f>IF(AZ152=0,0,(BA152-AZ152)/AZ152*100)</f>
        <v>0</v>
      </c>
      <c r="BL152" s="307">
        <f>IF(BA152=0,0,(BB152-BA152)/BA152*100)</f>
        <v>0</v>
      </c>
      <c r="BM152" s="307">
        <f>IF(BB152=0,0,(BC152-BB152)/BB152*100)</f>
        <v>0</v>
      </c>
      <c r="BN152" s="73"/>
      <c r="BO152" s="73"/>
      <c r="BP152" s="73"/>
      <c r="BQ152" s="227"/>
      <c r="BR152" s="227"/>
      <c r="BS152" s="1232" t="s">
        <v>1649</v>
      </c>
      <c r="BT152" s="1232"/>
      <c r="BU152" s="1232"/>
      <c r="BV152" s="1233"/>
      <c r="BW152" s="1233"/>
      <c r="BX152" s="1268" cm="1" t="str">
        <f t="array" ref="BX152:BX152">D152&amp;"::"&amp;IF(N152&lt;&gt;"",N152,"Неопределено")&amp;"::"&amp;IF(M152&lt;&gt;"",M152,"Неопределено")&amp;"::"&amp;IF(O152&lt;&gt;"",O152,"Неопределено")&amp;"::"&amp;IF(P152&lt;&gt;"",P152,"Неопределено")&amp;"::"&amp;IF(Q152&lt;&gt;"",Q152,"Неопределено")&amp;"::"&amp;IF(R152&lt;&gt;"",R152,"Неопределено")</f>
        <v>M11495::ТЭ.42.26824396.0005::Неопределено::Неопределено::Неопределено::Неопределено::Неопределено</v>
      </c>
    </row>
    <row s="1619" customFormat="1" customHeight="1" ht="16.5">
      <c r="A153" s="225"/>
      <c r="B153" s="924"/>
      <c r="C153" s="1298" t="s">
        <v>1650</v>
      </c>
      <c r="D153" s="1257" t="s">
        <v>1651</v>
      </c>
      <c r="E153" s="794">
        <v>17.1</v>
      </c>
      <c r="F153" s="919" cm="1" t="str">
        <f t="array" ref="F153:F153">OFFSET(G153,-1,-1)</f>
        <v>2</v>
      </c>
      <c r="G153" s="190" t="s">
        <v>1497</v>
      </c>
      <c r="H153" s="227"/>
      <c r="I153" s="227"/>
      <c r="J153" s="227"/>
      <c r="K153" s="227"/>
      <c r="L153" s="190"/>
      <c r="M153" s="1281"/>
      <c r="N153" s="1281" cm="1" t="str">
        <f t="array" ref="N153:N153">OFFSET(M153,-1,1)</f>
        <v>ТЭ.42.26824396.0005</v>
      </c>
      <c r="O153" s="1282"/>
      <c r="P153" s="1282"/>
      <c r="Q153" s="1282"/>
      <c r="R153" s="1282"/>
      <c r="S153" s="1619"/>
      <c r="T153" s="805">
        <f>AND(F153&gt;0,method_reg="Метод индексации")</f>
        <v>1</v>
      </c>
      <c r="U153" s="1461"/>
      <c r="V153" s="1461"/>
      <c r="W153" s="1461"/>
      <c r="X153" s="1461"/>
      <c r="Y153" s="1461"/>
      <c r="Z153" s="1461"/>
      <c r="AA153" s="227"/>
      <c r="AB153" s="157" t="s">
        <v>624</v>
      </c>
      <c r="AC153" s="610" t="s">
        <v>1499</v>
      </c>
      <c r="AD153" s="485" t="s">
        <v>1019</v>
      </c>
      <c r="AE153" s="1903">
        <f>AE154+AE155+AE156</f>
        <v>0</v>
      </c>
      <c r="AF153" s="1903">
        <f>AF154+AF155+AF156</f>
        <v>0</v>
      </c>
      <c r="AG153" s="1903">
        <f>AG154+AG155+AG156</f>
        <v>0</v>
      </c>
      <c r="AH153" s="307">
        <f>AG153-AF153</f>
        <v>0</v>
      </c>
      <c r="AI153" s="1903">
        <f>AI154+AI155+AI156</f>
        <v>0</v>
      </c>
      <c r="AJ153" s="614">
        <f>AJ154+AJ155+AJ156</f>
        <v>113</v>
      </c>
      <c r="AK153" s="614">
        <f>AK154+AK155+AK156</f>
        <v>117</v>
      </c>
      <c r="AL153" s="614">
        <f>AL154+AL155+AL156</f>
        <v>122</v>
      </c>
      <c r="AM153" s="614">
        <f>AM154+AM155+AM156</f>
        <v>127</v>
      </c>
      <c r="AN153" s="614">
        <f>AN154+AN155+AN156</f>
        <v>132</v>
      </c>
      <c r="AO153" s="1903">
        <f>AO154+AO155+AO156</f>
        <v>0</v>
      </c>
      <c r="AP153" s="1903">
        <f>AP154+AP155+AP156</f>
        <v>0</v>
      </c>
      <c r="AQ153" s="1903">
        <f>AQ154+AQ155+AQ156</f>
        <v>0</v>
      </c>
      <c r="AR153" s="1903">
        <f>AR154+AR155+AR156</f>
        <v>0</v>
      </c>
      <c r="AS153" s="1903">
        <f>AS154+AS155+AS156</f>
        <v>0</v>
      </c>
      <c r="AT153" s="614">
        <f>AT154+AT155+AT156</f>
        <v>0</v>
      </c>
      <c r="AU153" s="614">
        <f>AU154+AU155+AU156</f>
        <v>0</v>
      </c>
      <c r="AV153" s="614">
        <f>AV154+AV155+AV156</f>
        <v>0</v>
      </c>
      <c r="AW153" s="614">
        <f>AW154+AW155+AW156</f>
        <v>0</v>
      </c>
      <c r="AX153" s="614">
        <f>AX154+AX155+AX156</f>
        <v>0</v>
      </c>
      <c r="AY153" s="1903">
        <f>AY154+AY155+AY156</f>
        <v>0</v>
      </c>
      <c r="AZ153" s="1903">
        <f>AZ154+AZ155+AZ156</f>
        <v>0</v>
      </c>
      <c r="BA153" s="1903">
        <f>BA154+BA155+BA156</f>
        <v>0</v>
      </c>
      <c r="BB153" s="1903">
        <f>BB154+BB155+BB156</f>
        <v>0</v>
      </c>
      <c r="BC153" s="1903">
        <f>BC154+BC155+BC156</f>
        <v>0</v>
      </c>
      <c r="BD153" s="307">
        <f>IF(AI153=0,0,(AT153-AI153)/AI153*100)</f>
        <v>0</v>
      </c>
      <c r="BE153" s="307">
        <f>IF(AT153=0,0,(AU153-AT153)/AT153*100)</f>
        <v>0</v>
      </c>
      <c r="BF153" s="307">
        <f>IF(AU153=0,0,(AV153-AU153)/AU153*100)</f>
        <v>0</v>
      </c>
      <c r="BG153" s="307">
        <f>IF(AV153=0,0,(AW153-AV153)/AV153*100)</f>
        <v>0</v>
      </c>
      <c r="BH153" s="307">
        <f>IF(AW153=0,0,(AX153-AW153)/AW153*100)</f>
        <v>0</v>
      </c>
      <c r="BI153" s="307">
        <f>IF(AX153=0,0,(AY153-AX153)/AX153*100)</f>
        <v>0</v>
      </c>
      <c r="BJ153" s="307">
        <f>IF(AY153=0,0,(AZ153-AY153)/AY153*100)</f>
        <v>0</v>
      </c>
      <c r="BK153" s="307">
        <f>IF(AZ153=0,0,(BA153-AZ153)/AZ153*100)</f>
        <v>0</v>
      </c>
      <c r="BL153" s="307">
        <f>IF(BA153=0,0,(BB153-BA153)/BA153*100)</f>
        <v>0</v>
      </c>
      <c r="BM153" s="307">
        <f>IF(BB153=0,0,(BC153-BB153)/BB153*100)</f>
        <v>0</v>
      </c>
      <c r="BN153" s="1730"/>
      <c r="BO153" s="1730"/>
      <c r="BP153" s="1730"/>
      <c r="BQ153" s="227"/>
      <c r="BR153" s="227"/>
      <c r="BS153" s="1232" t="s">
        <v>1500</v>
      </c>
      <c r="BT153" s="1232"/>
      <c r="BU153" s="1232"/>
      <c r="BV153" s="1233"/>
      <c r="BW153" s="1233"/>
      <c r="BX153" s="1268" cm="1" t="str">
        <f t="array" ref="BX153:BX153">D153&amp;"::"&amp;IF(N153&lt;&gt;"",N153,"Неопределено")&amp;"::"&amp;IF(M153&lt;&gt;"",M153,"Неопределено")&amp;"::"&amp;IF(O153&lt;&gt;"",O153,"Неопределено")&amp;"::"&amp;IF(P153&lt;&gt;"",P153,"Неопределено")&amp;"::"&amp;IF(Q153&lt;&gt;"",Q153,"Неопределено")&amp;"::"&amp;IF(R153&lt;&gt;"",R153,"Неопределено")</f>
        <v>M10606::ТЭ.42.26824396.0005::Неопределено::Неопределено::Неопределено::Неопределено::Неопределено</v>
      </c>
    </row>
    <row s="1619" customFormat="1" customHeight="1" ht="58.5">
      <c r="A154" s="225"/>
      <c r="B154" s="924"/>
      <c r="C154" s="1298" t="s">
        <v>1652</v>
      </c>
      <c r="D154" s="1257" t="s">
        <v>1653</v>
      </c>
      <c r="E154" s="794">
        <v>60</v>
      </c>
      <c r="F154" s="919" cm="1" t="str">
        <f t="array" ref="F154:F154">OFFSET(G154,-1,-1)</f>
        <v>2</v>
      </c>
      <c r="G154" s="227"/>
      <c r="H154" s="227"/>
      <c r="I154" s="227"/>
      <c r="J154" s="227"/>
      <c r="K154" s="227"/>
      <c r="L154" s="190"/>
      <c r="M154" s="1281"/>
      <c r="N154" s="1281" cm="1" t="str">
        <f t="array" ref="N154:N154">OFFSET(M154,-1,1)</f>
        <v>ТЭ.42.26824396.0005</v>
      </c>
      <c r="O154" s="1282"/>
      <c r="P154" s="1282"/>
      <c r="Q154" s="1282"/>
      <c r="R154" s="1282"/>
      <c r="S154" s="1619"/>
      <c r="T154" s="805">
        <f>AND(F154&gt;0,method_reg="Метод индексации")</f>
        <v>1</v>
      </c>
      <c r="U154" s="1461"/>
      <c r="V154" s="1461"/>
      <c r="W154" s="1461"/>
      <c r="X154" s="1461"/>
      <c r="Y154" s="1461"/>
      <c r="Z154" s="1461"/>
      <c r="AA154" s="227"/>
      <c r="AB154" s="157" t="s">
        <v>746</v>
      </c>
      <c r="AC154" s="1022" t="s">
        <v>1654</v>
      </c>
      <c r="AD154" s="485" t="s">
        <v>1400</v>
      </c>
      <c r="AE154" s="1903"/>
      <c r="AF154" s="1903"/>
      <c r="AG154" s="1903"/>
      <c r="AH154" s="307">
        <f>AG154-AF154</f>
        <v>0</v>
      </c>
      <c r="AI154" s="1903"/>
      <c r="AJ154" s="614"/>
      <c r="AK154" s="614"/>
      <c r="AL154" s="614"/>
      <c r="AM154" s="614"/>
      <c r="AN154" s="614"/>
      <c r="AO154" s="1903"/>
      <c r="AP154" s="1903"/>
      <c r="AQ154" s="1903"/>
      <c r="AR154" s="1903"/>
      <c r="AS154" s="1903"/>
      <c r="AT154" s="614"/>
      <c r="AU154" s="614"/>
      <c r="AV154" s="614"/>
      <c r="AW154" s="614"/>
      <c r="AX154" s="614"/>
      <c r="AY154" s="1903"/>
      <c r="AZ154" s="1903"/>
      <c r="BA154" s="1903"/>
      <c r="BB154" s="1903"/>
      <c r="BC154" s="1903"/>
      <c r="BD154" s="307">
        <f>IF(AI154=0,0,(AT154-AI154)/AI154*100)</f>
        <v>0</v>
      </c>
      <c r="BE154" s="307">
        <f>IF(AT154=0,0,(AU154-AT154)/AT154*100)</f>
        <v>0</v>
      </c>
      <c r="BF154" s="307">
        <f>IF(AU154=0,0,(AV154-AU154)/AU154*100)</f>
        <v>0</v>
      </c>
      <c r="BG154" s="307">
        <f>IF(AV154=0,0,(AW154-AV154)/AV154*100)</f>
        <v>0</v>
      </c>
      <c r="BH154" s="307">
        <f>IF(AW154=0,0,(AX154-AW154)/AW154*100)</f>
        <v>0</v>
      </c>
      <c r="BI154" s="307">
        <f>IF(AX154=0,0,(AY154-AX154)/AX154*100)</f>
        <v>0</v>
      </c>
      <c r="BJ154" s="307">
        <f>IF(AY154=0,0,(AZ154-AY154)/AY154*100)</f>
        <v>0</v>
      </c>
      <c r="BK154" s="307">
        <f>IF(AZ154=0,0,(BA154-AZ154)/AZ154*100)</f>
        <v>0</v>
      </c>
      <c r="BL154" s="307">
        <f>IF(BA154=0,0,(BB154-BA154)/BA154*100)</f>
        <v>0</v>
      </c>
      <c r="BM154" s="307">
        <f>IF(BB154=0,0,(BC154-BB154)/BB154*100)</f>
        <v>0</v>
      </c>
      <c r="BN154" s="1730"/>
      <c r="BO154" s="1730"/>
      <c r="BP154" s="1730"/>
      <c r="BQ154" s="227"/>
      <c r="BR154" s="227"/>
      <c r="BS154" s="1232" t="s">
        <v>1655</v>
      </c>
      <c r="BT154" s="1232"/>
      <c r="BU154" s="1232"/>
      <c r="BV154" s="1233"/>
      <c r="BW154" s="1233"/>
      <c r="BX154" s="1268" cm="1" t="str">
        <f t="array" ref="BX154:BX154">D154&amp;"::"&amp;IF(N154&lt;&gt;"",N154,"Неопределено")&amp;"::"&amp;IF(M154&lt;&gt;"",M154,"Неопределено")&amp;"::"&amp;IF(O154&lt;&gt;"",O154,"Неопределено")&amp;"::"&amp;IF(P154&lt;&gt;"",P154,"Неопределено")&amp;"::"&amp;IF(Q154&lt;&gt;"",Q154,"Неопределено")&amp;"::"&amp;IF(R154&lt;&gt;"",R154,"Неопределено")</f>
        <v>M10614::ТЭ.42.26824396.0005::Неопределено::Неопределено::Неопределено::Неопределено::Неопределено</v>
      </c>
    </row>
    <row s="1619" customFormat="1" customHeight="1" ht="29.25">
      <c r="A155" s="225"/>
      <c r="B155" s="924"/>
      <c r="C155" s="1298" t="s">
        <v>1656</v>
      </c>
      <c r="D155" s="1257" t="s">
        <v>1657</v>
      </c>
      <c r="E155" s="794">
        <v>30</v>
      </c>
      <c r="F155" s="919" cm="1" t="str">
        <f t="array" ref="F155:F155">OFFSET(G155,-1,-1)</f>
        <v>2</v>
      </c>
      <c r="G155" s="227"/>
      <c r="H155" s="227"/>
      <c r="I155" s="227"/>
      <c r="J155" s="227"/>
      <c r="K155" s="227"/>
      <c r="L155" s="190"/>
      <c r="M155" s="1281"/>
      <c r="N155" s="1281" cm="1" t="str">
        <f t="array" ref="N155:N155">OFFSET(M155,-1,1)</f>
        <v>ТЭ.42.26824396.0005</v>
      </c>
      <c r="O155" s="1282"/>
      <c r="P155" s="1282"/>
      <c r="Q155" s="1282"/>
      <c r="R155" s="1282"/>
      <c r="S155" s="1619"/>
      <c r="T155" s="805">
        <f>AND(F155&gt;0,method_reg="Метод индексации")</f>
        <v>1</v>
      </c>
      <c r="U155" s="1461"/>
      <c r="V155" s="1461"/>
      <c r="W155" s="1461"/>
      <c r="X155" s="1461"/>
      <c r="Y155" s="1461"/>
      <c r="Z155" s="1461"/>
      <c r="AA155" s="227"/>
      <c r="AB155" s="157" t="s">
        <v>1607</v>
      </c>
      <c r="AC155" s="610" t="s">
        <v>1658</v>
      </c>
      <c r="AD155" s="485" t="s">
        <v>1400</v>
      </c>
      <c r="AE155" s="1903"/>
      <c r="AF155" s="1903"/>
      <c r="AG155" s="1903"/>
      <c r="AH155" s="307">
        <f>AG155-AF155</f>
        <v>0</v>
      </c>
      <c r="AI155" s="1903"/>
      <c r="AJ155" s="614"/>
      <c r="AK155" s="614"/>
      <c r="AL155" s="614"/>
      <c r="AM155" s="614"/>
      <c r="AN155" s="614"/>
      <c r="AO155" s="1903"/>
      <c r="AP155" s="1903"/>
      <c r="AQ155" s="1903"/>
      <c r="AR155" s="1903"/>
      <c r="AS155" s="1903"/>
      <c r="AT155" s="614"/>
      <c r="AU155" s="614"/>
      <c r="AV155" s="614"/>
      <c r="AW155" s="614"/>
      <c r="AX155" s="614"/>
      <c r="AY155" s="1903"/>
      <c r="AZ155" s="1903"/>
      <c r="BA155" s="1903"/>
      <c r="BB155" s="1903"/>
      <c r="BC155" s="1903"/>
      <c r="BD155" s="307">
        <f>IF(AI155=0,0,(AT155-AI155)/AI155*100)</f>
        <v>0</v>
      </c>
      <c r="BE155" s="307">
        <f>IF(AT155=0,0,(AU155-AT155)/AT155*100)</f>
        <v>0</v>
      </c>
      <c r="BF155" s="307">
        <f>IF(AU155=0,0,(AV155-AU155)/AU155*100)</f>
        <v>0</v>
      </c>
      <c r="BG155" s="307">
        <f>IF(AV155=0,0,(AW155-AV155)/AV155*100)</f>
        <v>0</v>
      </c>
      <c r="BH155" s="307">
        <f>IF(AW155=0,0,(AX155-AW155)/AW155*100)</f>
        <v>0</v>
      </c>
      <c r="BI155" s="307">
        <f>IF(AX155=0,0,(AY155-AX155)/AX155*100)</f>
        <v>0</v>
      </c>
      <c r="BJ155" s="307">
        <f>IF(AY155=0,0,(AZ155-AY155)/AY155*100)</f>
        <v>0</v>
      </c>
      <c r="BK155" s="307">
        <f>IF(AZ155=0,0,(BA155-AZ155)/AZ155*100)</f>
        <v>0</v>
      </c>
      <c r="BL155" s="307">
        <f>IF(BA155=0,0,(BB155-BA155)/BA155*100)</f>
        <v>0</v>
      </c>
      <c r="BM155" s="307">
        <f>IF(BB155=0,0,(BC155-BB155)/BB155*100)</f>
        <v>0</v>
      </c>
      <c r="BN155" s="1730"/>
      <c r="BO155" s="1730"/>
      <c r="BP155" s="1730"/>
      <c r="BQ155" s="227"/>
      <c r="BR155" s="227"/>
      <c r="BS155" s="1232" t="s">
        <v>1659</v>
      </c>
      <c r="BT155" s="1232"/>
      <c r="BU155" s="1232"/>
      <c r="BV155" s="1233"/>
      <c r="BW155" s="1233"/>
      <c r="BX155" s="1268" cm="1" t="str">
        <f t="array" ref="BX155:BX155">D155&amp;"::"&amp;IF(N155&lt;&gt;"",N155,"Неопределено")&amp;"::"&amp;IF(M155&lt;&gt;"",M155,"Неопределено")&amp;"::"&amp;IF(O155&lt;&gt;"",O155,"Неопределено")&amp;"::"&amp;IF(P155&lt;&gt;"",P155,"Неопределено")&amp;"::"&amp;IF(Q155&lt;&gt;"",Q155,"Неопределено")&amp;"::"&amp;IF(R155&lt;&gt;"",R155,"Неопределено")</f>
        <v>M10608::ТЭ.42.26824396.0005::Неопределено::Неопределено::Неопределено::Неопределено::Неопределено</v>
      </c>
    </row>
    <row s="1619" customFormat="1" customHeight="1" ht="43.5">
      <c r="A156" s="225"/>
      <c r="B156" s="924"/>
      <c r="C156" s="1298" t="s">
        <v>1660</v>
      </c>
      <c r="D156" s="1257" t="s">
        <v>1661</v>
      </c>
      <c r="E156" s="794">
        <v>45</v>
      </c>
      <c r="F156" s="919" cm="1" t="str">
        <f t="array" ref="F156:F156">OFFSET(G156,-1,-1)</f>
        <v>2</v>
      </c>
      <c r="G156" s="227"/>
      <c r="H156" s="227"/>
      <c r="I156" s="227"/>
      <c r="J156" s="227"/>
      <c r="K156" s="227"/>
      <c r="L156" s="190"/>
      <c r="M156" s="1281"/>
      <c r="N156" s="1281" cm="1" t="str">
        <f t="array" ref="N156:N156">OFFSET(M156,-1,1)</f>
        <v>ТЭ.42.26824396.0005</v>
      </c>
      <c r="O156" s="1282"/>
      <c r="P156" s="1282"/>
      <c r="Q156" s="1282"/>
      <c r="R156" s="1282"/>
      <c r="S156" s="1619"/>
      <c r="T156" s="805">
        <f>AND(F156&gt;0,method_reg="Метод индексации")</f>
        <v>1</v>
      </c>
      <c r="U156" s="1461"/>
      <c r="V156" s="1461"/>
      <c r="W156" s="1461"/>
      <c r="X156" s="1461"/>
      <c r="Y156" s="1461"/>
      <c r="Z156" s="1461"/>
      <c r="AA156" s="227"/>
      <c r="AB156" s="157" t="s">
        <v>1662</v>
      </c>
      <c r="AC156" s="610" t="s">
        <v>1663</v>
      </c>
      <c r="AD156" s="485" t="s">
        <v>1400</v>
      </c>
      <c r="AE156" s="1903"/>
      <c r="AF156" s="1903"/>
      <c r="AG156" s="1903"/>
      <c r="AH156" s="307">
        <f>AG156-AF156</f>
        <v>0</v>
      </c>
      <c r="AI156" s="1903"/>
      <c r="AJ156" s="614">
        <v>113</v>
      </c>
      <c r="AK156" s="614">
        <v>117</v>
      </c>
      <c r="AL156" s="614">
        <v>122</v>
      </c>
      <c r="AM156" s="614">
        <v>127</v>
      </c>
      <c r="AN156" s="614">
        <v>132</v>
      </c>
      <c r="AO156" s="1903"/>
      <c r="AP156" s="1903"/>
      <c r="AQ156" s="1903"/>
      <c r="AR156" s="1903"/>
      <c r="AS156" s="1903"/>
      <c r="AT156" s="614">
        <v>0</v>
      </c>
      <c r="AU156" s="614">
        <v>0</v>
      </c>
      <c r="AV156" s="614">
        <v>0</v>
      </c>
      <c r="AW156" s="614">
        <v>0</v>
      </c>
      <c r="AX156" s="614">
        <v>0</v>
      </c>
      <c r="AY156" s="1903"/>
      <c r="AZ156" s="1903"/>
      <c r="BA156" s="1903"/>
      <c r="BB156" s="1903"/>
      <c r="BC156" s="1903"/>
      <c r="BD156" s="307">
        <f>IF(AI156=0,0,(AT156-AI156)/AI156*100)</f>
        <v>0</v>
      </c>
      <c r="BE156" s="307">
        <f>IF(AT156=0,0,(AU156-AT156)/AT156*100)</f>
        <v>0</v>
      </c>
      <c r="BF156" s="307">
        <f>IF(AU156=0,0,(AV156-AU156)/AU156*100)</f>
        <v>0</v>
      </c>
      <c r="BG156" s="307">
        <f>IF(AV156=0,0,(AW156-AV156)/AV156*100)</f>
        <v>0</v>
      </c>
      <c r="BH156" s="307">
        <f>IF(AW156=0,0,(AX156-AW156)/AW156*100)</f>
        <v>0</v>
      </c>
      <c r="BI156" s="307">
        <f>IF(AX156=0,0,(AY156-AX156)/AX156*100)</f>
        <v>0</v>
      </c>
      <c r="BJ156" s="307">
        <f>IF(AY156=0,0,(AZ156-AY156)/AY156*100)</f>
        <v>0</v>
      </c>
      <c r="BK156" s="307">
        <f>IF(AZ156=0,0,(BA156-AZ156)/AZ156*100)</f>
        <v>0</v>
      </c>
      <c r="BL156" s="307">
        <f>IF(BA156=0,0,(BB156-BA156)/BA156*100)</f>
        <v>0</v>
      </c>
      <c r="BM156" s="307">
        <f>IF(BB156=0,0,(BC156-BB156)/BB156*100)</f>
        <v>0</v>
      </c>
      <c r="BN156" s="1730"/>
      <c r="BO156" s="1730"/>
      <c r="BP156" s="1730"/>
      <c r="BQ156" s="227"/>
      <c r="BR156" s="227"/>
      <c r="BS156" s="1232" t="s">
        <v>1664</v>
      </c>
      <c r="BT156" s="1232"/>
      <c r="BU156" s="1232"/>
      <c r="BV156" s="1233"/>
      <c r="BW156" s="1233"/>
      <c r="BX156" s="1268" cm="1" t="str">
        <f t="array" ref="BX156:BX156">D156&amp;"::"&amp;IF(N156&lt;&gt;"",N156,"Неопределено")&amp;"::"&amp;IF(M156&lt;&gt;"",M156,"Неопределено")&amp;"::"&amp;IF(O156&lt;&gt;"",O156,"Неопределено")&amp;"::"&amp;IF(P156&lt;&gt;"",P156,"Неопределено")&amp;"::"&amp;IF(Q156&lt;&gt;"",Q156,"Неопределено")&amp;"::"&amp;IF(R156&lt;&gt;"",R156,"Неопределено")</f>
        <v>M10610::ТЭ.42.26824396.0005::Неопределено::Неопределено::Неопределено::Неопределено::Неопределено</v>
      </c>
    </row>
    <row s="1619" customFormat="1" customHeight="1" ht="14.25">
      <c r="A157" s="225"/>
      <c r="B157" s="924"/>
      <c r="C157" s="1298" t="s">
        <v>1665</v>
      </c>
      <c r="D157" s="1257" t="s">
        <v>1666</v>
      </c>
      <c r="E157" s="794">
        <v>15</v>
      </c>
      <c r="F157" s="919" cm="1" t="str">
        <f t="array" ref="F157:F157">OFFSET(G157,-1,-1)</f>
        <v>2</v>
      </c>
      <c r="G157" s="190" t="s">
        <v>1504</v>
      </c>
      <c r="H157" s="227"/>
      <c r="I157" s="227"/>
      <c r="J157" s="227"/>
      <c r="K157" s="227"/>
      <c r="L157" s="190"/>
      <c r="M157" s="1281"/>
      <c r="N157" s="1281" cm="1" t="str">
        <f t="array" ref="N157:N157">OFFSET(M157,-1,1)</f>
        <v>ТЭ.42.26824396.0005</v>
      </c>
      <c r="O157" s="1282"/>
      <c r="P157" s="1282"/>
      <c r="Q157" s="1282"/>
      <c r="R157" s="1282"/>
      <c r="S157" s="1619"/>
      <c r="T157" s="805">
        <f>AND(F157&gt;0,method_reg="Метод индексации")</f>
        <v>1</v>
      </c>
      <c r="U157" s="1461"/>
      <c r="V157" s="1461"/>
      <c r="W157" s="1461"/>
      <c r="X157" s="1461"/>
      <c r="Y157" s="1461"/>
      <c r="Z157" s="1461"/>
      <c r="AA157" s="227"/>
      <c r="AB157" s="157" t="s">
        <v>629</v>
      </c>
      <c r="AC157" s="610" t="s">
        <v>1506</v>
      </c>
      <c r="AD157" s="485" t="s">
        <v>1019</v>
      </c>
      <c r="AE157" s="1903"/>
      <c r="AF157" s="1903"/>
      <c r="AG157" s="1903"/>
      <c r="AH157" s="307">
        <f>AG157-AF157</f>
        <v>0</v>
      </c>
      <c r="AI157" s="1903"/>
      <c r="AJ157" s="614">
        <v>214</v>
      </c>
      <c r="AK157" s="614">
        <v>220</v>
      </c>
      <c r="AL157" s="614">
        <v>225</v>
      </c>
      <c r="AM157" s="614">
        <v>229</v>
      </c>
      <c r="AN157" s="614">
        <v>212</v>
      </c>
      <c r="AO157" s="1903"/>
      <c r="AP157" s="1903"/>
      <c r="AQ157" s="1903"/>
      <c r="AR157" s="1903"/>
      <c r="AS157" s="1903"/>
      <c r="AT157" s="614">
        <v>125</v>
      </c>
      <c r="AU157" s="614">
        <v>156</v>
      </c>
      <c r="AV157" s="614">
        <v>118</v>
      </c>
      <c r="AW157" s="614">
        <v>123</v>
      </c>
      <c r="AX157" s="614">
        <v>127</v>
      </c>
      <c r="AY157" s="1903"/>
      <c r="AZ157" s="1903"/>
      <c r="BA157" s="1903"/>
      <c r="BB157" s="1903"/>
      <c r="BC157" s="1903"/>
      <c r="BD157" s="307">
        <f>IF(AI157=0,0,(AT157-AI157)/AI157*100)</f>
        <v>0</v>
      </c>
      <c r="BE157" s="307">
        <f>IF(AT157=0,0,(AU157-AT157)/AT157*100)</f>
        <v>24.8</v>
      </c>
      <c r="BF157" s="307">
        <f>IF(AU157=0,0,(AV157-AU157)/AU157*100)</f>
        <v>-24.3589743589744</v>
      </c>
      <c r="BG157" s="307">
        <f>IF(AV157=0,0,(AW157-AV157)/AV157*100)</f>
        <v>4.23728813559322</v>
      </c>
      <c r="BH157" s="307">
        <f>IF(AW157=0,0,(AX157-AW157)/AW157*100)</f>
        <v>3.2520325203252</v>
      </c>
      <c r="BI157" s="307">
        <f>IF(AX157=0,0,(AY157-AX157)/AX157*100)</f>
        <v>-100</v>
      </c>
      <c r="BJ157" s="307">
        <f>IF(AY157=0,0,(AZ157-AY157)/AY157*100)</f>
        <v>0</v>
      </c>
      <c r="BK157" s="307">
        <f>IF(AZ157=0,0,(BA157-AZ157)/AZ157*100)</f>
        <v>0</v>
      </c>
      <c r="BL157" s="307">
        <f>IF(BA157=0,0,(BB157-BA157)/BA157*100)</f>
        <v>0</v>
      </c>
      <c r="BM157" s="307">
        <f>IF(BB157=0,0,(BC157-BB157)/BB157*100)</f>
        <v>0</v>
      </c>
      <c r="BN157" s="1730"/>
      <c r="BO157" s="1730"/>
      <c r="BP157" s="1730"/>
      <c r="BQ157" s="227"/>
      <c r="BR157" s="227"/>
      <c r="BS157" s="1232" t="s">
        <v>1667</v>
      </c>
      <c r="BT157" s="1232"/>
      <c r="BU157" s="1232"/>
      <c r="BV157" s="1233"/>
      <c r="BW157" s="1233"/>
      <c r="BX157" s="1268" cm="1" t="str">
        <f t="array" ref="BX157:BX157">D157&amp;"::"&amp;IF(N157&lt;&gt;"",N157,"Неопределено")&amp;"::"&amp;IF(M157&lt;&gt;"",M157,"Неопределено")&amp;"::"&amp;IF(O157&lt;&gt;"",O157,"Неопределено")&amp;"::"&amp;IF(P157&lt;&gt;"",P157,"Неопределено")&amp;"::"&amp;IF(Q157&lt;&gt;"",Q157,"Неопределено")&amp;"::"&amp;IF(R157&lt;&gt;"",R157,"Неопределено")</f>
        <v>M11281::ТЭ.42.26824396.0005::Неопределено::Неопределено::Неопределено::Неопределено::Неопределено</v>
      </c>
    </row>
    <row s="1619" customFormat="1" customHeight="1" ht="14.25">
      <c r="A158" s="225"/>
      <c r="B158" s="924"/>
      <c r="C158" s="1298" t="s">
        <v>1668</v>
      </c>
      <c r="D158" s="1257" t="s">
        <v>1669</v>
      </c>
      <c r="E158" s="794">
        <v>15</v>
      </c>
      <c r="F158" s="919" cm="1" t="str">
        <f t="array" ref="F158:F158">OFFSET(G158,-1,-1)</f>
        <v>2</v>
      </c>
      <c r="G158" s="227"/>
      <c r="H158" s="227"/>
      <c r="I158" s="227"/>
      <c r="J158" s="227"/>
      <c r="K158" s="227"/>
      <c r="L158" s="190"/>
      <c r="M158" s="1281"/>
      <c r="N158" s="1281" cm="1" t="str">
        <f t="array" ref="N158:N158">OFFSET(M158,-1,1)</f>
        <v>ТЭ.42.26824396.0005</v>
      </c>
      <c r="O158" s="1282"/>
      <c r="P158" s="1282"/>
      <c r="Q158" s="1282"/>
      <c r="R158" s="1282"/>
      <c r="S158" s="1619"/>
      <c r="T158" s="805">
        <f>AND(F158&gt;0,method_reg="Метод индексации")</f>
        <v>1</v>
      </c>
      <c r="U158" s="1461"/>
      <c r="V158" s="1461"/>
      <c r="W158" s="1461"/>
      <c r="X158" s="1461"/>
      <c r="Y158" s="1461"/>
      <c r="Z158" s="1461"/>
      <c r="AA158" s="227"/>
      <c r="AB158" s="157" t="s">
        <v>751</v>
      </c>
      <c r="AC158" s="162" t="s">
        <v>1502</v>
      </c>
      <c r="AD158" s="485" t="s">
        <v>490</v>
      </c>
      <c r="AE158" s="1889"/>
      <c r="AF158" s="1889"/>
      <c r="AG158" s="1889"/>
      <c r="AH158" s="307">
        <f>AG158-AF158</f>
        <v>0</v>
      </c>
      <c r="AI158" s="1889"/>
      <c r="AJ158" s="1132"/>
      <c r="AK158" s="1132"/>
      <c r="AL158" s="1132"/>
      <c r="AM158" s="1132"/>
      <c r="AN158" s="1132"/>
      <c r="AO158" s="1889"/>
      <c r="AP158" s="1889"/>
      <c r="AQ158" s="1889"/>
      <c r="AR158" s="1889"/>
      <c r="AS158" s="1889"/>
      <c r="AT158" s="1132"/>
      <c r="AU158" s="1132"/>
      <c r="AV158" s="1132"/>
      <c r="AW158" s="1132"/>
      <c r="AX158" s="1132"/>
      <c r="AY158" s="1889"/>
      <c r="AZ158" s="1889"/>
      <c r="BA158" s="1889"/>
      <c r="BB158" s="1889"/>
      <c r="BC158" s="1889"/>
      <c r="BD158" s="307">
        <f>IF(AI158=0,0,(AT158-AI158)/AI158*100)</f>
        <v>0</v>
      </c>
      <c r="BE158" s="307">
        <f>IF(AT158=0,0,(AU158-AT158)/AT158*100)</f>
        <v>0</v>
      </c>
      <c r="BF158" s="307">
        <f>IF(AU158=0,0,(AV158-AU158)/AU158*100)</f>
        <v>0</v>
      </c>
      <c r="BG158" s="307">
        <f>IF(AV158=0,0,(AW158-AV158)/AV158*100)</f>
        <v>0</v>
      </c>
      <c r="BH158" s="307">
        <f>IF(AW158=0,0,(AX158-AW158)/AW158*100)</f>
        <v>0</v>
      </c>
      <c r="BI158" s="307">
        <f>IF(AX158=0,0,(AY158-AX158)/AX158*100)</f>
        <v>0</v>
      </c>
      <c r="BJ158" s="307">
        <f>IF(AY158=0,0,(AZ158-AY158)/AY158*100)</f>
        <v>0</v>
      </c>
      <c r="BK158" s="307">
        <f>IF(AZ158=0,0,(BA158-AZ158)/AZ158*100)</f>
        <v>0</v>
      </c>
      <c r="BL158" s="307">
        <f>IF(BA158=0,0,(BB158-BA158)/BA158*100)</f>
        <v>0</v>
      </c>
      <c r="BM158" s="307">
        <f>IF(BB158=0,0,(BC158-BB158)/BB158*100)</f>
        <v>0</v>
      </c>
      <c r="BN158" s="1730"/>
      <c r="BO158" s="1730"/>
      <c r="BP158" s="1730"/>
      <c r="BQ158" s="227"/>
      <c r="BR158" s="227"/>
      <c r="BS158" s="1232" t="s">
        <v>1670</v>
      </c>
      <c r="BT158" s="1232"/>
      <c r="BU158" s="1232"/>
      <c r="BV158" s="1233"/>
      <c r="BW158" s="1233"/>
      <c r="BX158" s="1268" cm="1" t="str">
        <f t="array" ref="BX158:BX158">D158&amp;"::"&amp;IF(N158&lt;&gt;"",N158,"Неопределено")&amp;"::"&amp;IF(M158&lt;&gt;"",M158,"Неопределено")&amp;"::"&amp;IF(O158&lt;&gt;"",O158,"Неопределено")&amp;"::"&amp;IF(P158&lt;&gt;"",P158,"Неопределено")&amp;"::"&amp;IF(Q158&lt;&gt;"",Q158,"Неопределено")&amp;"::"&amp;IF(R158&lt;&gt;"",R158,"Неопределено")</f>
        <v>M10607::ТЭ.42.26824396.0005::Неопределено::Неопределено::Неопределено::Неопределено::Неопределено</v>
      </c>
    </row>
    <row s="1619" customFormat="1" customHeight="1" ht="28.5">
      <c r="A159" s="225"/>
      <c r="B159" s="924"/>
      <c r="C159" s="1298" t="s">
        <v>1671</v>
      </c>
      <c r="D159" s="1257" t="s">
        <v>1672</v>
      </c>
      <c r="E159" s="794">
        <v>29.3</v>
      </c>
      <c r="F159" s="919" cm="1" t="str">
        <f t="array" ref="F159:F159">OFFSET(G159,-1,-1)</f>
        <v>2</v>
      </c>
      <c r="G159" s="190">
        <v>6</v>
      </c>
      <c r="H159" s="227"/>
      <c r="I159" s="227"/>
      <c r="J159" s="227"/>
      <c r="K159" s="227"/>
      <c r="L159" s="190"/>
      <c r="M159" s="1281"/>
      <c r="N159" s="1281" cm="1" t="str">
        <f t="array" ref="N159:N159">OFFSET(M159,-1,1)</f>
        <v>ТЭ.42.26824396.0005</v>
      </c>
      <c r="O159" s="1282"/>
      <c r="P159" s="1282"/>
      <c r="Q159" s="1282"/>
      <c r="R159" s="1282"/>
      <c r="S159" s="1619"/>
      <c r="T159" s="805">
        <f>F159&gt;0</f>
        <v>1</v>
      </c>
      <c r="U159" s="1461"/>
      <c r="V159" s="1461"/>
      <c r="W159" s="1461"/>
      <c r="X159" s="1461"/>
      <c r="Y159" s="1461"/>
      <c r="Z159" s="1461"/>
      <c r="AA159" s="227"/>
      <c r="AB159" s="157" t="s">
        <v>632</v>
      </c>
      <c r="AC159" s="610" t="s">
        <v>1509</v>
      </c>
      <c r="AD159" s="485" t="s">
        <v>1019</v>
      </c>
      <c r="AE159" s="1903"/>
      <c r="AF159" s="1903"/>
      <c r="AG159" s="1903"/>
      <c r="AH159" s="307">
        <f>AG159-AF159</f>
        <v>0</v>
      </c>
      <c r="AI159" s="1903"/>
      <c r="AJ159" s="614"/>
      <c r="AK159" s="614"/>
      <c r="AL159" s="614"/>
      <c r="AM159" s="614"/>
      <c r="AN159" s="614"/>
      <c r="AO159" s="1903"/>
      <c r="AP159" s="1903"/>
      <c r="AQ159" s="1903"/>
      <c r="AR159" s="1903"/>
      <c r="AS159" s="1903"/>
      <c r="AT159" s="614"/>
      <c r="AU159" s="614"/>
      <c r="AV159" s="614"/>
      <c r="AW159" s="614"/>
      <c r="AX159" s="614"/>
      <c r="AY159" s="1903"/>
      <c r="AZ159" s="1903"/>
      <c r="BA159" s="1903"/>
      <c r="BB159" s="1903"/>
      <c r="BC159" s="1903"/>
      <c r="BD159" s="307">
        <f>IF(AI159=0,0,(AT159-AI159)/AI159*100)</f>
        <v>0</v>
      </c>
      <c r="BE159" s="307">
        <f>IF(AT159=0,0,(AU159-AT159)/AT159*100)</f>
        <v>0</v>
      </c>
      <c r="BF159" s="307">
        <f>IF(AU159=0,0,(AV159-AU159)/AU159*100)</f>
        <v>0</v>
      </c>
      <c r="BG159" s="307">
        <f>IF(AV159=0,0,(AW159-AV159)/AV159*100)</f>
        <v>0</v>
      </c>
      <c r="BH159" s="307">
        <f>IF(AW159=0,0,(AX159-AW159)/AW159*100)</f>
        <v>0</v>
      </c>
      <c r="BI159" s="307">
        <f>IF(AX159=0,0,(AY159-AX159)/AX159*100)</f>
        <v>0</v>
      </c>
      <c r="BJ159" s="307">
        <f>IF(AY159=0,0,(AZ159-AY159)/AY159*100)</f>
        <v>0</v>
      </c>
      <c r="BK159" s="307">
        <f>IF(AZ159=0,0,(BA159-AZ159)/AZ159*100)</f>
        <v>0</v>
      </c>
      <c r="BL159" s="307">
        <f>IF(BA159=0,0,(BB159-BA159)/BA159*100)</f>
        <v>0</v>
      </c>
      <c r="BM159" s="307">
        <f>IF(BB159=0,0,(BC159-BB159)/BB159*100)</f>
        <v>0</v>
      </c>
      <c r="BN159" s="1730"/>
      <c r="BO159" s="1730"/>
      <c r="BP159" s="1730"/>
      <c r="BQ159" s="227"/>
      <c r="BR159" s="227"/>
      <c r="BS159" s="1232" t="s">
        <v>1673</v>
      </c>
      <c r="BT159" s="1232"/>
      <c r="BU159" s="1232"/>
      <c r="BV159" s="1233"/>
      <c r="BW159" s="1233"/>
      <c r="BX159" s="1268" cm="1" t="str">
        <f t="array" ref="BX159:BX159">D159&amp;"::"&amp;IF(N159&lt;&gt;"",N159,"Неопределено")&amp;"::"&amp;IF(M159&lt;&gt;"",M159,"Неопределено")&amp;"::"&amp;IF(O159&lt;&gt;"",O159,"Неопределено")&amp;"::"&amp;IF(P159&lt;&gt;"",P159,"Неопределено")&amp;"::"&amp;IF(Q159&lt;&gt;"",Q159,"Неопределено")&amp;"::"&amp;IF(R159&lt;&gt;"",R159,"Неопределено")</f>
        <v>M11584::ТЭ.42.26824396.0005::Неопределено::Неопределено::Неопределено::Неопределено::Неопределено</v>
      </c>
    </row>
    <row s="1619" customFormat="1" customHeight="1" ht="28.5">
      <c r="A160" s="225"/>
      <c r="B160" s="924"/>
      <c r="C160" s="1298" t="s">
        <v>1674</v>
      </c>
      <c r="D160" s="1257" t="s">
        <v>1675</v>
      </c>
      <c r="E160" s="794">
        <v>29.3</v>
      </c>
      <c r="F160" s="919" cm="1" t="str">
        <f t="array" ref="F160:F160">OFFSET(G160,-1,-1)</f>
        <v>2</v>
      </c>
      <c r="G160" s="190" t="s">
        <v>1536</v>
      </c>
      <c r="H160" s="227"/>
      <c r="I160" s="227"/>
      <c r="J160" s="227"/>
      <c r="K160" s="227"/>
      <c r="L160" s="190"/>
      <c r="M160" s="1281"/>
      <c r="N160" s="1281" cm="1" t="str">
        <f t="array" ref="N160:N160">OFFSET(M160,-1,1)</f>
        <v>ТЭ.42.26824396.0005</v>
      </c>
      <c r="O160" s="1282"/>
      <c r="P160" s="1282"/>
      <c r="Q160" s="1282"/>
      <c r="R160" s="1282"/>
      <c r="S160" s="1619"/>
      <c r="T160" s="805" cm="1" t="str">
        <f t="array" ref="T160:T160">T159</f>
        <v>true</v>
      </c>
      <c r="U160" s="1461"/>
      <c r="V160" s="1461"/>
      <c r="W160" s="1461"/>
      <c r="X160" s="1461"/>
      <c r="Y160" s="1461"/>
      <c r="Z160" s="1461"/>
      <c r="AA160" s="227"/>
      <c r="AB160" s="157" t="s">
        <v>651</v>
      </c>
      <c r="AC160" s="738" t="s">
        <v>1676</v>
      </c>
      <c r="AD160" s="485" t="s">
        <v>1019</v>
      </c>
      <c r="AE160" s="1903"/>
      <c r="AF160" s="1903"/>
      <c r="AG160" s="1903"/>
      <c r="AH160" s="307">
        <f>AG160-AF160</f>
        <v>0</v>
      </c>
      <c r="AI160" s="1903"/>
      <c r="AJ160" s="614">
        <f>_xlfn.SUMIFS('Корр Факт'!AH$27:AH$169,'Корр Факт'!$F$27:$F$169,$F160,'Корр Факт'!$G$27:$G$169,$G160)</f>
        <v>5525</v>
      </c>
      <c r="AK160" s="614"/>
      <c r="AL160" s="614"/>
      <c r="AM160" s="614"/>
      <c r="AN160" s="614"/>
      <c r="AO160" s="1903"/>
      <c r="AP160" s="1903"/>
      <c r="AQ160" s="1903"/>
      <c r="AR160" s="1903"/>
      <c r="AS160" s="1903"/>
      <c r="AT160" s="614">
        <f>_xlfn.SUMIFS('Корр Факт'!AN$27:AN$169,'Корр Факт'!$F$27:$F$169,$F160,'Корр Факт'!$G$27:$G$169,$G160)</f>
        <v>4955</v>
      </c>
      <c r="AU160" s="614"/>
      <c r="AV160" s="614"/>
      <c r="AW160" s="614"/>
      <c r="AX160" s="614"/>
      <c r="AY160" s="1903"/>
      <c r="AZ160" s="1903"/>
      <c r="BA160" s="1903"/>
      <c r="BB160" s="1903"/>
      <c r="BC160" s="1903"/>
      <c r="BD160" s="307">
        <f>IF(AI160=0,0,(AT160-AI160)/AI160*100)</f>
        <v>0</v>
      </c>
      <c r="BE160" s="307">
        <f>IF(AT160=0,0,(AU160-AT160)/AT160*100)</f>
        <v>-100</v>
      </c>
      <c r="BF160" s="307">
        <f>IF(AU160=0,0,(AV160-AU160)/AU160*100)</f>
        <v>0</v>
      </c>
      <c r="BG160" s="307">
        <f>IF(AV160=0,0,(AW160-AV160)/AV160*100)</f>
        <v>0</v>
      </c>
      <c r="BH160" s="307">
        <f>IF(AW160=0,0,(AX160-AW160)/AW160*100)</f>
        <v>0</v>
      </c>
      <c r="BI160" s="307">
        <f>IF(AX160=0,0,(AY160-AX160)/AX160*100)</f>
        <v>0</v>
      </c>
      <c r="BJ160" s="307">
        <f>IF(AY160=0,0,(AZ160-AY160)/AY160*100)</f>
        <v>0</v>
      </c>
      <c r="BK160" s="307">
        <f>IF(AZ160=0,0,(BA160-AZ160)/AZ160*100)</f>
        <v>0</v>
      </c>
      <c r="BL160" s="307">
        <f>IF(BA160=0,0,(BB160-BA160)/BA160*100)</f>
        <v>0</v>
      </c>
      <c r="BM160" s="307">
        <f>IF(BB160=0,0,(BC160-BB160)/BB160*100)</f>
        <v>0</v>
      </c>
      <c r="BN160" s="1730"/>
      <c r="BO160" s="1730"/>
      <c r="BP160" s="1730"/>
      <c r="BQ160" s="227"/>
      <c r="BR160" s="227"/>
      <c r="BS160" s="1232" t="s">
        <v>1677</v>
      </c>
      <c r="BT160" s="1232"/>
      <c r="BU160" s="1232"/>
      <c r="BV160" s="1233"/>
      <c r="BW160" s="1233"/>
      <c r="BX160" s="1268" cm="1" t="str">
        <f t="array" ref="BX160:BX160">D160&amp;"::"&amp;IF(N160&lt;&gt;"",N160,"Неопределено")&amp;"::"&amp;IF(M160&lt;&gt;"",M160,"Неопределено")&amp;"::"&amp;IF(O160&lt;&gt;"",O160,"Неопределено")&amp;"::"&amp;IF(P160&lt;&gt;"",P160,"Неопределено")&amp;"::"&amp;IF(Q160&lt;&gt;"",Q160,"Неопределено")&amp;"::"&amp;IF(R160&lt;&gt;"",R160,"Неопределено")</f>
        <v>M11585::ТЭ.42.26824396.0005::Неопределено::Неопределено::Неопределено::Неопределено::Неопределено</v>
      </c>
    </row>
    <row s="1942" customFormat="1" customHeight="1" ht="63.75">
      <c r="A161" s="232"/>
      <c r="B161" s="232"/>
      <c r="C161" s="1298" t="s">
        <v>1678</v>
      </c>
      <c r="D161" s="1257" t="s">
        <v>1679</v>
      </c>
      <c r="E161" s="794">
        <v>66</v>
      </c>
      <c r="F161" s="919" cm="1" t="str">
        <f t="array" ref="F161:F161">OFFSET(G161,-1,-1)</f>
        <v>2</v>
      </c>
      <c r="G161" s="232"/>
      <c r="H161" s="232"/>
      <c r="I161" s="232"/>
      <c r="J161" s="232"/>
      <c r="K161" s="232"/>
      <c r="L161" s="232"/>
      <c r="M161" s="1281"/>
      <c r="N161" s="1281" cm="1" t="str">
        <f t="array" ref="N161:N161">OFFSET(M161,-1,1)</f>
        <v>ТЭ.42.26824396.0005</v>
      </c>
      <c r="O161" s="1283"/>
      <c r="P161" s="1283"/>
      <c r="Q161" s="1283"/>
      <c r="R161" s="1283"/>
      <c r="S161" s="232"/>
      <c r="T161" s="805" cm="1" t="str">
        <f t="array" ref="T161:T161">T160</f>
        <v>true</v>
      </c>
      <c r="U161" s="232"/>
      <c r="V161" s="232"/>
      <c r="W161" s="232"/>
      <c r="X161" s="232"/>
      <c r="Y161" s="232"/>
      <c r="Z161" s="232"/>
      <c r="AA161" s="232"/>
      <c r="AB161" s="157" t="s">
        <v>656</v>
      </c>
      <c r="AC161" s="610" t="s">
        <v>1680</v>
      </c>
      <c r="AD161" s="485" t="s">
        <v>1019</v>
      </c>
      <c r="AE161" s="1903"/>
      <c r="AF161" s="1903"/>
      <c r="AG161" s="1903"/>
      <c r="AH161" s="307">
        <f>AG161-AF161</f>
        <v>0</v>
      </c>
      <c r="AI161" s="1903"/>
      <c r="AJ161" s="614"/>
      <c r="AK161" s="614"/>
      <c r="AL161" s="614"/>
      <c r="AM161" s="614"/>
      <c r="AN161" s="614"/>
      <c r="AO161" s="1903"/>
      <c r="AP161" s="1903"/>
      <c r="AQ161" s="1903"/>
      <c r="AR161" s="1903"/>
      <c r="AS161" s="1903"/>
      <c r="AT161" s="614"/>
      <c r="AU161" s="614"/>
      <c r="AV161" s="614"/>
      <c r="AW161" s="614"/>
      <c r="AX161" s="614"/>
      <c r="AY161" s="1903"/>
      <c r="AZ161" s="1903"/>
      <c r="BA161" s="1903"/>
      <c r="BB161" s="1903"/>
      <c r="BC161" s="1903"/>
      <c r="BD161" s="307">
        <f>IF(AI161=0,0,(AT161-AI161)/AI161*100)</f>
        <v>0</v>
      </c>
      <c r="BE161" s="307">
        <f>IF(AT161=0,0,(AU161-AT161)/AT161*100)</f>
        <v>0</v>
      </c>
      <c r="BF161" s="307">
        <f>IF(AU161=0,0,(AV161-AU161)/AU161*100)</f>
        <v>0</v>
      </c>
      <c r="BG161" s="307">
        <f>IF(AV161=0,0,(AW161-AV161)/AV161*100)</f>
        <v>0</v>
      </c>
      <c r="BH161" s="307">
        <f>IF(AW161=0,0,(AX161-AW161)/AW161*100)</f>
        <v>0</v>
      </c>
      <c r="BI161" s="307">
        <f>IF(AX161=0,0,(AY161-AX161)/AX161*100)</f>
        <v>0</v>
      </c>
      <c r="BJ161" s="307">
        <f>IF(AY161=0,0,(AZ161-AY161)/AY161*100)</f>
        <v>0</v>
      </c>
      <c r="BK161" s="307">
        <f>IF(AZ161=0,0,(BA161-AZ161)/AZ161*100)</f>
        <v>0</v>
      </c>
      <c r="BL161" s="307">
        <f>IF(BA161=0,0,(BB161-BA161)/BA161*100)</f>
        <v>0</v>
      </c>
      <c r="BM161" s="307">
        <f>IF(BB161=0,0,(BC161-BB161)/BB161*100)</f>
        <v>0</v>
      </c>
      <c r="BN161" s="1730"/>
      <c r="BO161" s="1730"/>
      <c r="BP161" s="1730"/>
      <c r="BQ161" s="232"/>
      <c r="BR161" s="232"/>
      <c r="BS161" s="1232" t="s">
        <v>1513</v>
      </c>
      <c r="BT161" s="1240"/>
      <c r="BU161" s="1240"/>
      <c r="BV161" s="1241"/>
      <c r="BW161" s="1241"/>
      <c r="BX161" s="1268" cm="1" t="str">
        <f t="array" ref="BX161:BX161">D161&amp;"::"&amp;IF(N161&lt;&gt;"",N161,"Неопределено")&amp;"::"&amp;IF(M161&lt;&gt;"",M161,"Неопределено")&amp;"::"&amp;IF(O161&lt;&gt;"",O161,"Неопределено")&amp;"::"&amp;IF(P161&lt;&gt;"",P161,"Неопределено")&amp;"::"&amp;IF(Q161&lt;&gt;"",Q161,"Неопределено")&amp;"::"&amp;IF(R161&lt;&gt;"",R161,"Неопределено")</f>
        <v>M11583::ТЭ.42.26824396.0005::Неопределено::Неопределено::Неопределено::Неопределено::Неопределено</v>
      </c>
    </row>
    <row s="1943" customFormat="1" customHeight="1" ht="32.25">
      <c r="A162" s="232"/>
      <c r="B162" s="232"/>
      <c r="C162" s="1298" t="s">
        <v>1681</v>
      </c>
      <c r="D162" s="1257" t="s">
        <v>1682</v>
      </c>
      <c r="E162" s="794">
        <v>33.8</v>
      </c>
      <c r="F162" s="919" cm="1" t="str">
        <f t="array" ref="F162:F162">OFFSET(G162,-1,-1)</f>
        <v>2</v>
      </c>
      <c r="G162" s="232"/>
      <c r="H162" s="232"/>
      <c r="I162" s="232"/>
      <c r="J162" s="232"/>
      <c r="K162" s="232"/>
      <c r="L162" s="232"/>
      <c r="M162" s="1281"/>
      <c r="N162" s="1281" cm="1" t="str">
        <f t="array" ref="N162:N162">OFFSET(M162,-1,1)</f>
        <v>ТЭ.42.26824396.0005</v>
      </c>
      <c r="O162" s="1283"/>
      <c r="P162" s="1283"/>
      <c r="Q162" s="1283"/>
      <c r="R162" s="1283"/>
      <c r="S162" s="232"/>
      <c r="T162" s="805" cm="1" t="str">
        <f t="array" ref="T162:T162">T161</f>
        <v>true</v>
      </c>
      <c r="U162" s="232"/>
      <c r="V162" s="232"/>
      <c r="W162" s="232"/>
      <c r="X162" s="232"/>
      <c r="Y162" s="232"/>
      <c r="Z162" s="232"/>
      <c r="AA162" s="232"/>
      <c r="AB162" s="157" t="s">
        <v>664</v>
      </c>
      <c r="AC162" s="610" t="s">
        <v>1683</v>
      </c>
      <c r="AD162" s="485" t="s">
        <v>1019</v>
      </c>
      <c r="AE162" s="1903"/>
      <c r="AF162" s="1903"/>
      <c r="AG162" s="1903"/>
      <c r="AH162" s="307">
        <f>AG162-AF162</f>
        <v>0</v>
      </c>
      <c r="AI162" s="1903"/>
      <c r="AJ162" s="614"/>
      <c r="AK162" s="614"/>
      <c r="AL162" s="614"/>
      <c r="AM162" s="614"/>
      <c r="AN162" s="614"/>
      <c r="AO162" s="1903"/>
      <c r="AP162" s="1903"/>
      <c r="AQ162" s="1903"/>
      <c r="AR162" s="1903"/>
      <c r="AS162" s="1903"/>
      <c r="AT162" s="614"/>
      <c r="AU162" s="614"/>
      <c r="AV162" s="614"/>
      <c r="AW162" s="614"/>
      <c r="AX162" s="614"/>
      <c r="AY162" s="1903"/>
      <c r="AZ162" s="1903"/>
      <c r="BA162" s="1903"/>
      <c r="BB162" s="1903"/>
      <c r="BC162" s="1903"/>
      <c r="BD162" s="307">
        <f>IF(AI162=0,0,(AT162-AI162)/AI162*100)</f>
        <v>0</v>
      </c>
      <c r="BE162" s="307">
        <f>IF(AT162=0,0,(AU162-AT162)/AT162*100)</f>
        <v>0</v>
      </c>
      <c r="BF162" s="307">
        <f>IF(AU162=0,0,(AV162-AU162)/AU162*100)</f>
        <v>0</v>
      </c>
      <c r="BG162" s="307">
        <f>IF(AV162=0,0,(AW162-AV162)/AV162*100)</f>
        <v>0</v>
      </c>
      <c r="BH162" s="307">
        <f>IF(AW162=0,0,(AX162-AW162)/AW162*100)</f>
        <v>0</v>
      </c>
      <c r="BI162" s="307">
        <f>IF(AX162=0,0,(AY162-AX162)/AX162*100)</f>
        <v>0</v>
      </c>
      <c r="BJ162" s="307">
        <f>IF(AY162=0,0,(AZ162-AY162)/AY162*100)</f>
        <v>0</v>
      </c>
      <c r="BK162" s="307">
        <f>IF(AZ162=0,0,(BA162-AZ162)/AZ162*100)</f>
        <v>0</v>
      </c>
      <c r="BL162" s="307">
        <f>IF(BA162=0,0,(BB162-BA162)/BA162*100)</f>
        <v>0</v>
      </c>
      <c r="BM162" s="307">
        <f>IF(BB162=0,0,(BC162-BB162)/BB162*100)</f>
        <v>0</v>
      </c>
      <c r="BN162" s="1730"/>
      <c r="BO162" s="1730"/>
      <c r="BP162" s="1730"/>
      <c r="BQ162" s="232"/>
      <c r="BR162" s="232"/>
      <c r="BS162" s="1232" t="s">
        <v>1684</v>
      </c>
      <c r="BT162" s="1240"/>
      <c r="BU162" s="1240"/>
      <c r="BV162" s="1241"/>
      <c r="BW162" s="1241"/>
      <c r="BX162" s="1268" cm="1" t="str">
        <f t="array" ref="BX162:BX162">D162&amp;"::"&amp;IF(N162&lt;&gt;"",N162,"Неопределено")&amp;"::"&amp;IF(M162&lt;&gt;"",M162,"Неопределено")&amp;"::"&amp;IF(O162&lt;&gt;"",O162,"Неопределено")&amp;"::"&amp;IF(P162&lt;&gt;"",P162,"Неопределено")&amp;"::"&amp;IF(Q162&lt;&gt;"",Q162,"Неопределено")&amp;"::"&amp;IF(R162&lt;&gt;"",R162,"Неопределено")</f>
        <v>M10742::ТЭ.42.26824396.0005::Неопределено::Неопределено::Неопределено::Неопределено::Неопределено</v>
      </c>
    </row>
    <row s="1619" customFormat="1" customHeight="1" ht="61.5">
      <c r="A163" s="225"/>
      <c r="B163" s="924"/>
      <c r="C163" s="1298" t="s">
        <v>1685</v>
      </c>
      <c r="D163" s="1257" t="s">
        <v>1686</v>
      </c>
      <c r="E163" s="794">
        <v>63.8</v>
      </c>
      <c r="F163" s="919" cm="1" t="str">
        <f t="array" ref="F163:F163">OFFSET(G163,-1,-1)</f>
        <v>2</v>
      </c>
      <c r="G163" s="227"/>
      <c r="H163" s="227"/>
      <c r="I163" s="227"/>
      <c r="J163" s="227"/>
      <c r="K163" s="227"/>
      <c r="L163" s="190"/>
      <c r="M163" s="1281"/>
      <c r="N163" s="1281" cm="1" t="str">
        <f t="array" ref="N163:N163">OFFSET(M163,-1,1)</f>
        <v>ТЭ.42.26824396.0005</v>
      </c>
      <c r="O163" s="1282"/>
      <c r="P163" s="1282"/>
      <c r="Q163" s="1282"/>
      <c r="R163" s="1282"/>
      <c r="S163" s="1619"/>
      <c r="T163" s="805" cm="1" t="str">
        <f t="array" ref="T163:T163">T162</f>
        <v>true</v>
      </c>
      <c r="U163" s="1461"/>
      <c r="V163" s="1461"/>
      <c r="W163" s="1461"/>
      <c r="X163" s="1461"/>
      <c r="Y163" s="1461"/>
      <c r="Z163" s="1461"/>
      <c r="AA163" s="227"/>
      <c r="AB163" s="639" t="s">
        <v>688</v>
      </c>
      <c r="AC163" s="641" t="s">
        <v>1687</v>
      </c>
      <c r="AD163" s="496" t="s">
        <v>1019</v>
      </c>
      <c r="AE163" s="1933"/>
      <c r="AF163" s="1903"/>
      <c r="AG163" s="1903"/>
      <c r="AH163" s="307">
        <f>AG163-AF163</f>
        <v>0</v>
      </c>
      <c r="AI163" s="1903"/>
      <c r="AJ163" s="614"/>
      <c r="AK163" s="614"/>
      <c r="AL163" s="614"/>
      <c r="AM163" s="614"/>
      <c r="AN163" s="614"/>
      <c r="AO163" s="1903"/>
      <c r="AP163" s="1903"/>
      <c r="AQ163" s="1903"/>
      <c r="AR163" s="1903"/>
      <c r="AS163" s="1903"/>
      <c r="AT163" s="614"/>
      <c r="AU163" s="614"/>
      <c r="AV163" s="614"/>
      <c r="AW163" s="614"/>
      <c r="AX163" s="614"/>
      <c r="AY163" s="1903"/>
      <c r="AZ163" s="1903"/>
      <c r="BA163" s="1903"/>
      <c r="BB163" s="1903"/>
      <c r="BC163" s="1903"/>
      <c r="BD163" s="307">
        <f>IF(AI163=0,0,(AT163-AI163)/AI163*100)</f>
        <v>0</v>
      </c>
      <c r="BE163" s="307">
        <f>IF(AT163=0,0,(AU163-AT163)/AT163*100)</f>
        <v>0</v>
      </c>
      <c r="BF163" s="307">
        <f>IF(AU163=0,0,(AV163-AU163)/AU163*100)</f>
        <v>0</v>
      </c>
      <c r="BG163" s="307">
        <f>IF(AV163=0,0,(AW163-AV163)/AV163*100)</f>
        <v>0</v>
      </c>
      <c r="BH163" s="307">
        <f>IF(AW163=0,0,(AX163-AW163)/AW163*100)</f>
        <v>0</v>
      </c>
      <c r="BI163" s="307">
        <f>IF(AX163=0,0,(AY163-AX163)/AX163*100)</f>
        <v>0</v>
      </c>
      <c r="BJ163" s="307">
        <f>IF(AY163=0,0,(AZ163-AY163)/AY163*100)</f>
        <v>0</v>
      </c>
      <c r="BK163" s="307">
        <f>IF(AZ163=0,0,(BA163-AZ163)/AZ163*100)</f>
        <v>0</v>
      </c>
      <c r="BL163" s="307">
        <f>IF(BA163=0,0,(BB163-BA163)/BA163*100)</f>
        <v>0</v>
      </c>
      <c r="BM163" s="307">
        <f>IF(BB163=0,0,(BC163-BB163)/BB163*100)</f>
        <v>0</v>
      </c>
      <c r="BN163" s="1741"/>
      <c r="BO163" s="1741"/>
      <c r="BP163" s="1741"/>
      <c r="BQ163" s="227"/>
      <c r="BR163" s="227"/>
      <c r="BS163" s="1232" t="s">
        <v>1688</v>
      </c>
      <c r="BT163" s="1232"/>
      <c r="BU163" s="1232"/>
      <c r="BV163" s="1233"/>
      <c r="BW163" s="1233"/>
      <c r="BX163" s="1268" cm="1" t="str">
        <f t="array" ref="BX163:BX163">D163&amp;"::"&amp;IF(N163&lt;&gt;"",N163,"Неопределено")&amp;"::"&amp;IF(M163&lt;&gt;"",M163,"Неопределено")&amp;"::"&amp;IF(O163&lt;&gt;"",O163,"Неопределено")&amp;"::"&amp;IF(P163&lt;&gt;"",P163,"Неопределено")&amp;"::"&amp;IF(Q163&lt;&gt;"",Q163,"Неопределено")&amp;"::"&amp;IF(R163&lt;&gt;"",R163,"Неопределено")</f>
        <v>M10743::ТЭ.42.26824396.0005::Неопределено::Неопределено::Неопределено::Неопределено::Неопределено</v>
      </c>
    </row>
    <row s="1619" customFormat="1" customHeight="1" ht="16.5">
      <c r="A164" s="225"/>
      <c r="B164" s="924"/>
      <c r="C164" s="1298" t="s">
        <v>1689</v>
      </c>
      <c r="D164" s="1257" t="s">
        <v>1690</v>
      </c>
      <c r="E164" s="794">
        <v>17.1</v>
      </c>
      <c r="F164" s="919" cm="1" t="str">
        <f t="array" ref="F164:F164">OFFSET(G164,-1,-1)</f>
        <v>2</v>
      </c>
      <c r="G164" s="227"/>
      <c r="H164" s="227"/>
      <c r="I164" s="227"/>
      <c r="J164" s="227"/>
      <c r="K164" s="227"/>
      <c r="L164" s="190"/>
      <c r="M164" s="1281"/>
      <c r="N164" s="1281" cm="1" t="str">
        <f t="array" ref="N164:N164">OFFSET(M164,-1,1)</f>
        <v>ТЭ.42.26824396.0005</v>
      </c>
      <c r="O164" s="1282"/>
      <c r="P164" s="1282"/>
      <c r="Q164" s="1282"/>
      <c r="R164" s="1282"/>
      <c r="S164" s="1619"/>
      <c r="T164" s="805" cm="1" t="str">
        <f t="array" ref="T164:T164">T163</f>
        <v>true</v>
      </c>
      <c r="U164" s="1461"/>
      <c r="V164" s="1461"/>
      <c r="W164" s="1461"/>
      <c r="X164" s="1461"/>
      <c r="Y164" s="1461"/>
      <c r="Z164" s="1461"/>
      <c r="AA164" s="227"/>
      <c r="AB164" s="157" t="s">
        <v>696</v>
      </c>
      <c r="AC164" s="610" t="s">
        <v>1691</v>
      </c>
      <c r="AD164" s="651" t="s">
        <v>1019</v>
      </c>
      <c r="AE164" s="612">
        <f>SUM(AE165:AE167)</f>
        <v>0</v>
      </c>
      <c r="AF164" s="612">
        <f>SUM(AF165:AF167)</f>
        <v>0</v>
      </c>
      <c r="AG164" s="654">
        <f>SUM(AG165:AG167)</f>
        <v>0</v>
      </c>
      <c r="AH164" s="307">
        <f>AG164-AF164</f>
        <v>0</v>
      </c>
      <c r="AI164" s="657">
        <f>SUM(AI165:AI167)</f>
        <v>0</v>
      </c>
      <c r="AJ164" s="612">
        <f>SUM(AJ165:AJ167)</f>
        <v>0</v>
      </c>
      <c r="AK164" s="612">
        <f>SUM(AK165:AK167)</f>
        <v>0</v>
      </c>
      <c r="AL164" s="612">
        <f>SUM(AL165:AL167)</f>
        <v>0</v>
      </c>
      <c r="AM164" s="612">
        <f>SUM(AM165:AM167)</f>
        <v>0</v>
      </c>
      <c r="AN164" s="612">
        <f>SUM(AN165:AN167)</f>
        <v>0</v>
      </c>
      <c r="AO164" s="612">
        <f>SUM(AO165:AO167)</f>
        <v>0</v>
      </c>
      <c r="AP164" s="612">
        <f>SUM(AP165:AP167)</f>
        <v>0</v>
      </c>
      <c r="AQ164" s="612">
        <f>SUM(AQ165:AQ167)</f>
        <v>0</v>
      </c>
      <c r="AR164" s="612">
        <f>SUM(AR165:AR167)</f>
        <v>0</v>
      </c>
      <c r="AS164" s="612">
        <f>SUM(AS165:AS167)</f>
        <v>0</v>
      </c>
      <c r="AT164" s="612">
        <f>SUM(AT165:AT167)</f>
        <v>0</v>
      </c>
      <c r="AU164" s="612">
        <f>SUM(AU165:AU167)</f>
        <v>0</v>
      </c>
      <c r="AV164" s="612">
        <f>SUM(AV165:AV167)</f>
        <v>0</v>
      </c>
      <c r="AW164" s="612">
        <f>SUM(AW165:AW167)</f>
        <v>0</v>
      </c>
      <c r="AX164" s="612">
        <f>SUM(AX165:AX167)</f>
        <v>0</v>
      </c>
      <c r="AY164" s="612">
        <f>SUM(AY165:AY167)</f>
        <v>0</v>
      </c>
      <c r="AZ164" s="612">
        <f>SUM(AZ165:AZ167)</f>
        <v>0</v>
      </c>
      <c r="BA164" s="612">
        <f>SUM(BA165:BA167)</f>
        <v>0</v>
      </c>
      <c r="BB164" s="612">
        <f>SUM(BB165:BB167)</f>
        <v>0</v>
      </c>
      <c r="BC164" s="612">
        <f>SUM(BC165:BC167)</f>
        <v>0</v>
      </c>
      <c r="BD164" s="307">
        <f>IF(AI164=0,0,(AT164-AI164)/AI164*100)</f>
        <v>0</v>
      </c>
      <c r="BE164" s="307">
        <f>IF(AT164=0,0,(AU164-AT164)/AT164*100)</f>
        <v>0</v>
      </c>
      <c r="BF164" s="307">
        <f>IF(AU164=0,0,(AV164-AU164)/AU164*100)</f>
        <v>0</v>
      </c>
      <c r="BG164" s="307">
        <f>IF(AV164=0,0,(AW164-AV164)/AV164*100)</f>
        <v>0</v>
      </c>
      <c r="BH164" s="307">
        <f>IF(AW164=0,0,(AX164-AW164)/AW164*100)</f>
        <v>0</v>
      </c>
      <c r="BI164" s="307">
        <f>IF(AX164=0,0,(AY164-AX164)/AX164*100)</f>
        <v>0</v>
      </c>
      <c r="BJ164" s="307">
        <f>IF(AY164=0,0,(AZ164-AY164)/AY164*100)</f>
        <v>0</v>
      </c>
      <c r="BK164" s="307">
        <f>IF(AZ164=0,0,(BA164-AZ164)/AZ164*100)</f>
        <v>0</v>
      </c>
      <c r="BL164" s="307">
        <f>IF(BA164=0,0,(BB164-BA164)/BA164*100)</f>
        <v>0</v>
      </c>
      <c r="BM164" s="307">
        <f>IF(BB164=0,0,(BC164-BB164)/BB164*100)</f>
        <v>0</v>
      </c>
      <c r="BN164" s="1742"/>
      <c r="BO164" s="1742"/>
      <c r="BP164" s="1742"/>
      <c r="BQ164" s="227"/>
      <c r="BR164" s="227"/>
      <c r="BS164" s="1232" t="s">
        <v>1268</v>
      </c>
      <c r="BT164" s="1232"/>
      <c r="BU164" s="1232"/>
      <c r="BV164" s="1233"/>
      <c r="BW164" s="1233"/>
      <c r="BX164" s="1268" cm="1" t="str">
        <f t="array" ref="BX164:BX164">D164&amp;"::"&amp;IF(N164&lt;&gt;"",N164,"Неопределено")&amp;"::"&amp;IF(M164&lt;&gt;"",M164,"Неопределено")&amp;"::"&amp;IF(O164&lt;&gt;"",O164,"Неопределено")&amp;"::"&amp;IF(P164&lt;&gt;"",P164,"Неопределено")&amp;"::"&amp;IF(Q164&lt;&gt;"",Q164,"Неопределено")&amp;"::"&amp;IF(R164&lt;&gt;"",R164,"Неопределено")</f>
        <v>M10895::ТЭ.42.26824396.0005::Неопределено::Неопределено::Неопределено::Неопределено::Неопределено</v>
      </c>
    </row>
    <row s="1944" customFormat="1" customHeight="1" ht="17.25" hidden="1">
      <c r="A165" s="643"/>
      <c r="B165" s="643"/>
      <c r="C165" s="1298"/>
      <c r="D165" s="1257"/>
      <c r="E165" s="794">
        <v>0</v>
      </c>
      <c r="F165" s="919" cm="1" t="str">
        <f t="array" ref="F165:F165">OFFSET(G165,-1,-1)</f>
        <v>2</v>
      </c>
      <c r="G165" s="643"/>
      <c r="H165" s="643"/>
      <c r="I165" s="643"/>
      <c r="J165" s="643"/>
      <c r="K165" s="643"/>
      <c r="L165" s="643"/>
      <c r="M165" s="1281"/>
      <c r="N165" s="1281" cm="1" t="str">
        <f t="array" ref="N165:N165">OFFSET(M165,-1,1)</f>
        <v>ТЭ.42.26824396.0005</v>
      </c>
      <c r="O165" s="1284"/>
      <c r="P165" s="1284"/>
      <c r="Q165" s="1284"/>
      <c r="R165" s="1284"/>
      <c r="S165" s="1383"/>
      <c r="T165" s="805" cm="1" t="str">
        <f t="array" ref="T165:T165">T164</f>
        <v>true</v>
      </c>
      <c r="U165" s="643"/>
      <c r="V165" s="643"/>
      <c r="W165" s="643"/>
      <c r="X165" s="643"/>
      <c r="Y165" s="643"/>
      <c r="Z165" s="643"/>
      <c r="AA165" s="643"/>
      <c r="AB165" s="648"/>
      <c r="AC165" s="649"/>
      <c r="AD165" s="577"/>
      <c r="AE165" s="613"/>
      <c r="AF165" s="613"/>
      <c r="AG165" s="130"/>
      <c r="AH165" s="613"/>
      <c r="AI165" s="1019"/>
      <c r="AJ165" s="613"/>
      <c r="AK165" s="613"/>
      <c r="AL165" s="613"/>
      <c r="AM165" s="613"/>
      <c r="AN165" s="613"/>
      <c r="AO165" s="613"/>
      <c r="AP165" s="613"/>
      <c r="AQ165" s="613"/>
      <c r="AR165" s="613"/>
      <c r="AS165" s="613"/>
      <c r="AT165" s="613"/>
      <c r="AU165" s="613"/>
      <c r="AV165" s="613"/>
      <c r="AW165" s="613"/>
      <c r="AX165" s="613"/>
      <c r="AY165" s="613"/>
      <c r="AZ165" s="613"/>
      <c r="BA165" s="613"/>
      <c r="BB165" s="613"/>
      <c r="BC165" s="613"/>
      <c r="BD165" s="644"/>
      <c r="BE165" s="644"/>
      <c r="BF165" s="644"/>
      <c r="BG165" s="644"/>
      <c r="BH165" s="644"/>
      <c r="BI165" s="644"/>
      <c r="BJ165" s="644"/>
      <c r="BK165" s="644"/>
      <c r="BL165" s="644"/>
      <c r="BM165" s="644"/>
      <c r="BN165" s="839"/>
      <c r="BO165" s="839"/>
      <c r="BP165" s="839"/>
      <c r="BQ165" s="643"/>
      <c r="BR165" s="643"/>
      <c r="BS165" s="1232" t="str">
        <f>IF(AND(ISNUMBER(VALUE(TRIM(SUBSTITUTE(AB165,".","")))),TRIM(SUBSTITUTE(AB165,".",""))&lt;&gt;""),"P"&amp;SUBSTITUTE(AB165,".",""),"")</f>
        <v/>
      </c>
      <c r="BT165" s="1245"/>
      <c r="BU165" s="1245"/>
      <c r="BV165" s="1246"/>
      <c r="BW165" s="1246"/>
      <c r="BX165" s="1268"/>
    </row>
    <row s="1619" customFormat="1" customHeight="1" ht="16.5" hidden="1">
      <c r="A166" s="225"/>
      <c r="B166" s="924"/>
      <c r="C166" s="1298" t="s">
        <v>1689</v>
      </c>
      <c r="D166" s="1257" t="s">
        <v>1690</v>
      </c>
      <c r="E166" s="794">
        <v>17.1</v>
      </c>
      <c r="F166" s="919" cm="1" t="str">
        <f t="array" ref="F166:F166">OFFSET(G166,-1,-1)</f>
        <v>2</v>
      </c>
      <c r="G166" s="227"/>
      <c r="H166" s="227"/>
      <c r="I166" s="227"/>
      <c r="J166" s="227"/>
      <c r="K166" s="227"/>
      <c r="L166" s="190"/>
      <c r="M166" s="1285" cm="1" t="str">
        <f t="array" ref="M166:M166">AC166</f>
        <v>0</v>
      </c>
      <c r="N166" s="1281" cm="1" t="str">
        <f t="array" ref="N166:N166">OFFSET(M166,-1,1)</f>
        <v>ТЭ.42.26824396.0005</v>
      </c>
      <c r="O166" s="1282"/>
      <c r="P166" s="1282"/>
      <c r="Q166" s="1282"/>
      <c r="R166" s="1282"/>
      <c r="S166" s="1619"/>
      <c r="T166" s="805">
        <f>AND(F166&gt;0,Y166&gt;0)</f>
        <v>0</v>
      </c>
      <c r="U166" s="1461"/>
      <c r="V166" s="1461"/>
      <c r="W166" s="172" t="s">
        <v>233</v>
      </c>
      <c r="X166" s="1461"/>
      <c r="Y166" s="172">
        <v>0</v>
      </c>
      <c r="Z166" s="1461"/>
      <c r="AA166" s="1120" t="s">
        <v>217</v>
      </c>
      <c r="AB166" s="639" t="str">
        <f>"11."&amp;Y166</f>
        <v>11.0</v>
      </c>
      <c r="AC166" s="131"/>
      <c r="AD166" s="651" t="s">
        <v>1019</v>
      </c>
      <c r="AE166" s="121"/>
      <c r="AF166" s="121"/>
      <c r="AG166" s="132"/>
      <c r="AH166" s="307">
        <f>AG166-AF166</f>
        <v>0</v>
      </c>
      <c r="AI166" s="133"/>
      <c r="AJ166" s="614"/>
      <c r="AK166" s="614"/>
      <c r="AL166" s="614"/>
      <c r="AM166" s="614"/>
      <c r="AN166" s="614"/>
      <c r="AO166" s="121"/>
      <c r="AP166" s="121"/>
      <c r="AQ166" s="121"/>
      <c r="AR166" s="121"/>
      <c r="AS166" s="121"/>
      <c r="AT166" s="614"/>
      <c r="AU166" s="614"/>
      <c r="AV166" s="614"/>
      <c r="AW166" s="614"/>
      <c r="AX166" s="614"/>
      <c r="AY166" s="121"/>
      <c r="AZ166" s="121"/>
      <c r="BA166" s="121"/>
      <c r="BB166" s="121"/>
      <c r="BC166" s="121"/>
      <c r="BD166" s="307">
        <f>IF(AI166=0,0,(AT166-AI166)/AI166*100)</f>
        <v>0</v>
      </c>
      <c r="BE166" s="307">
        <f>IF(AT166=0,0,(AU166-AT166)/AT166*100)</f>
        <v>0</v>
      </c>
      <c r="BF166" s="307">
        <f>IF(AU166=0,0,(AV166-AU166)/AU166*100)</f>
        <v>0</v>
      </c>
      <c r="BG166" s="307">
        <f>IF(AV166=0,0,(AW166-AV166)/AV166*100)</f>
        <v>0</v>
      </c>
      <c r="BH166" s="307">
        <f>IF(AW166=0,0,(AX166-AW166)/AW166*100)</f>
        <v>0</v>
      </c>
      <c r="BI166" s="307">
        <f>IF(AX166=0,0,(AY166-AX166)/AX166*100)</f>
        <v>0</v>
      </c>
      <c r="BJ166" s="307">
        <f>IF(AY166=0,0,(AZ166-AY166)/AY166*100)</f>
        <v>0</v>
      </c>
      <c r="BK166" s="307">
        <f>IF(AZ166=0,0,(BA166-AZ166)/AZ166*100)</f>
        <v>0</v>
      </c>
      <c r="BL166" s="307">
        <f>IF(BA166=0,0,(BB166-BA166)/BA166*100)</f>
        <v>0</v>
      </c>
      <c r="BM166" s="307">
        <f>IF(BB166=0,0,(BC166-BB166)/BB166*100)</f>
        <v>0</v>
      </c>
      <c r="BN166" s="79"/>
      <c r="BO166" s="79"/>
      <c r="BP166" s="79"/>
      <c r="BQ166" s="227"/>
      <c r="BR166" s="227"/>
      <c r="BS166" s="1232" t="s">
        <v>1268</v>
      </c>
      <c r="BT166" s="1232" t="s">
        <v>1196</v>
      </c>
      <c r="BU166" s="1242" cm="1" t="str">
        <f t="array" ref="BU166:BU166">AC166</f>
        <v>0</v>
      </c>
      <c r="BV166" s="1233"/>
      <c r="BW166" s="1233" t="b">
        <v>1</v>
      </c>
      <c r="BX166" s="1268" cm="1" t="str">
        <f t="array" ref="BX166:BX166">D166&amp;"::"&amp;IF(N166&lt;&gt;"",N166,"Неопределено")&amp;"::"&amp;IF(M166&lt;&gt;"",M166,"Неопределено")&amp;"::"&amp;IF(O166&lt;&gt;"",O166,"Неопределено")&amp;"::"&amp;IF(P166&lt;&gt;"",P166,"Неопределено")&amp;"::"&amp;IF(Q166&lt;&gt;"",Q166,"Неопределено")&amp;"::"&amp;IF(R166&lt;&gt;"",R166,"Неопределено")</f>
        <v>M10895::ТЭ.42.26824396.0005::0::Неопределено::Неопределено::Неопределено::Неопределено</v>
      </c>
    </row>
    <row s="1945" customFormat="1" customHeight="1" ht="16.5">
      <c r="A167" s="643"/>
      <c r="B167" s="643"/>
      <c r="C167" s="1298"/>
      <c r="D167" s="1257"/>
      <c r="E167" s="794">
        <v>17.1</v>
      </c>
      <c r="F167" s="919" cm="1" t="str">
        <f t="array" ref="F167:F167">OFFSET(G167,-1,-1)</f>
        <v>2</v>
      </c>
      <c r="G167" s="643"/>
      <c r="H167" s="643"/>
      <c r="I167" s="643"/>
      <c r="J167" s="643"/>
      <c r="K167" s="643"/>
      <c r="L167" s="643"/>
      <c r="M167" s="1281"/>
      <c r="N167" s="1281" cm="1" t="str">
        <f t="array" ref="N167:N167">OFFSET(M167,-1,1)</f>
        <v>ТЭ.42.26824396.0005</v>
      </c>
      <c r="O167" s="1284"/>
      <c r="P167" s="1284"/>
      <c r="Q167" s="1284"/>
      <c r="R167" s="1284"/>
      <c r="S167" s="1383"/>
      <c r="T167" s="805">
        <f>F167&gt;0</f>
        <v>1</v>
      </c>
      <c r="U167" s="643"/>
      <c r="V167" s="643"/>
      <c r="W167" s="371" t="s">
        <v>1692</v>
      </c>
      <c r="X167" s="643"/>
      <c r="Y167" s="643"/>
      <c r="Z167" s="643"/>
      <c r="AA167" s="643"/>
      <c r="AB167" s="299"/>
      <c r="AC167" s="732" t="s">
        <v>235</v>
      </c>
      <c r="AD167" s="300"/>
      <c r="AE167" s="300"/>
      <c r="AF167" s="300"/>
      <c r="AG167" s="300"/>
      <c r="AH167" s="300"/>
      <c r="AI167" s="300"/>
      <c r="AJ167" s="300"/>
      <c r="AK167" s="300"/>
      <c r="AL167" s="300"/>
      <c r="AM167" s="300"/>
      <c r="AN167" s="300"/>
      <c r="AO167" s="300"/>
      <c r="AP167" s="300"/>
      <c r="AQ167" s="300"/>
      <c r="AR167" s="300"/>
      <c r="AS167" s="300"/>
      <c r="AT167" s="300"/>
      <c r="AU167" s="300"/>
      <c r="AV167" s="300"/>
      <c r="AW167" s="300"/>
      <c r="AX167" s="300"/>
      <c r="AY167" s="300"/>
      <c r="AZ167" s="300"/>
      <c r="BA167" s="300"/>
      <c r="BB167" s="300"/>
      <c r="BC167" s="300"/>
      <c r="BD167" s="300"/>
      <c r="BE167" s="300"/>
      <c r="BF167" s="300"/>
      <c r="BG167" s="300"/>
      <c r="BH167" s="300"/>
      <c r="BI167" s="300"/>
      <c r="BJ167" s="300"/>
      <c r="BK167" s="300"/>
      <c r="BL167" s="300"/>
      <c r="BM167" s="300"/>
      <c r="BN167" s="1103"/>
      <c r="BO167" s="1103"/>
      <c r="BP167" s="1098"/>
      <c r="BQ167" s="643"/>
      <c r="BR167" s="643"/>
      <c r="BS167" s="1232" t="str">
        <f>IF(AND(ISNUMBER(VALUE(TRIM(SUBSTITUTE(AB167,".","")))),TRIM(SUBSTITUTE(AB167,".",""))&lt;&gt;""),"P"&amp;SUBSTITUTE(AB167,".",""),"")</f>
        <v/>
      </c>
      <c r="BT167" s="1245"/>
      <c r="BU167" s="1245"/>
      <c r="BV167" s="1246" t="s">
        <v>1196</v>
      </c>
      <c r="BW167" s="1246"/>
      <c r="BX167" s="1268"/>
    </row>
    <row s="1619" customFormat="1" customHeight="1" ht="14.25">
      <c r="A168" s="225"/>
      <c r="B168" s="924"/>
      <c r="C168" s="1298" t="s">
        <v>1693</v>
      </c>
      <c r="D168" s="1257" t="s">
        <v>1694</v>
      </c>
      <c r="E168" s="794">
        <v>15</v>
      </c>
      <c r="F168" s="919" cm="1" t="str">
        <f t="array" ref="F168:F168">OFFSET(G168,-1,-1)</f>
        <v>2</v>
      </c>
      <c r="G168" s="227"/>
      <c r="H168" s="227"/>
      <c r="I168" s="227"/>
      <c r="J168" s="227"/>
      <c r="K168" s="227"/>
      <c r="L168" s="190"/>
      <c r="M168" s="1281"/>
      <c r="N168" s="1281" cm="1" t="str">
        <f t="array" ref="N168:N168">OFFSET(M168,-1,1)</f>
        <v>ТЭ.42.26824396.0005</v>
      </c>
      <c r="O168" s="1282"/>
      <c r="P168" s="1282"/>
      <c r="Q168" s="1282"/>
      <c r="R168" s="1282"/>
      <c r="S168" s="1619"/>
      <c r="T168" s="805" cm="1" t="str">
        <f t="array" ref="T168:T168">T167</f>
        <v>true</v>
      </c>
      <c r="U168" s="1461"/>
      <c r="V168" s="1461"/>
      <c r="W168" s="1461"/>
      <c r="X168" s="1461"/>
      <c r="Y168" s="1461"/>
      <c r="Z168" s="1461"/>
      <c r="AA168" s="227"/>
      <c r="AB168" s="646" t="s">
        <v>1695</v>
      </c>
      <c r="AC168" s="647" t="s">
        <v>1696</v>
      </c>
      <c r="AD168" s="661" t="s">
        <v>1019</v>
      </c>
      <c r="AE168" s="612">
        <f>AE138+AE139+AE140+IF(method_reg="Метод индексации",AE153+AE157,AE141+AE144)+AE159+AE160+AE161+AE162+AE163+AE164</f>
        <v>0</v>
      </c>
      <c r="AF168" s="612">
        <f>AF138+AF139+AF140+IF(method_reg="Метод индексации",AF153+AF157,AF141+AF144)+AF159+AF160+AF161+AF162+AF163+AF164</f>
        <v>0</v>
      </c>
      <c r="AG168" s="612">
        <f>AG138+AG139+AG140+IF(method_reg="Метод индексации",AG153+AG157,AG141+AG144)+AG159+AG160+AG161+AG162+AG163+AG164</f>
        <v>0</v>
      </c>
      <c r="AH168" s="307">
        <f>AG168-AF168</f>
        <v>0</v>
      </c>
      <c r="AI168" s="612">
        <f>AI138+AI139+AI140+IF(method_reg="Метод индексации",AI153+AI157,AI141+AI144)+AI159+AI160+AI161+AI162+AI163+AI164</f>
        <v>0</v>
      </c>
      <c r="AJ168" s="612">
        <f>AJ138+AJ139+AJ140+IF(method_reg="Метод индексации",AJ153+AJ157,AJ141+AJ144)+AJ159+AJ160+AJ161+AJ162+AJ163+AJ164</f>
        <v>15182.9999135</v>
      </c>
      <c r="AK168" s="612">
        <f>AK138+AK139+AK140+IF(method_reg="Метод индексации",AK153+AK157,AK141+AK144)+AK159+AK160+AK161+AK162+AK163+AK164</f>
        <v>9476.496001632</v>
      </c>
      <c r="AL168" s="612">
        <f>AL138+AL139+AL140+IF(method_reg="Метод индексации",AL153+AL157,AL141+AL144)+AL159+AL160+AL161+AL162+AL163+AL164</f>
        <v>9783.58464565391</v>
      </c>
      <c r="AM168" s="612">
        <f>AM138+AM139+AM140+IF(method_reg="Метод индексации",AM153+AM157,AM141+AM144)+AM159+AM160+AM161+AM162+AM163+AM164</f>
        <v>10059.3384569609</v>
      </c>
      <c r="AN168" s="612">
        <f>AN138+AN139+AN140+IF(method_reg="Метод индексации",AN153+AN157,AN141+AN144)+AN159+AN160+AN161+AN162+AN163+AN164</f>
        <v>10367.8431111401</v>
      </c>
      <c r="AO168" s="612">
        <f>AO138+AO139+AO140+IF(method_reg="Метод индексации",AO153+AO157,AO141+AO144)+AO159+AO160+AO161+AO162+AO163+AO164</f>
        <v>3288.62041263371</v>
      </c>
      <c r="AP168" s="612">
        <f>AP138+AP139+AP140+IF(method_reg="Метод индексации",AP153+AP157,AP141+AP144)+AP159+AP160+AP161+AP162+AP163+AP164</f>
        <v>3255.73420850737</v>
      </c>
      <c r="AQ168" s="612">
        <f>AQ138+AQ139+AQ140+IF(method_reg="Метод индексации",AQ153+AQ157,AQ141+AQ144)+AQ159+AQ160+AQ161+AQ162+AQ163+AQ164</f>
        <v>3223.1768664223</v>
      </c>
      <c r="AR168" s="612">
        <f>AR138+AR139+AR140+IF(method_reg="Метод индексации",AR153+AR157,AR141+AR144)+AR159+AR160+AR161+AR162+AR163+AR164</f>
        <v>3190.94509775808</v>
      </c>
      <c r="AS168" s="612">
        <f>AS138+AS139+AS140+IF(method_reg="Метод индексации",AS153+AS157,AS141+AS144)+AS159+AS160+AS161+AS162+AS163+AS164</f>
        <v>3159.0356467805</v>
      </c>
      <c r="AT168" s="612">
        <f>AT138+AT139+AT140+IF(method_reg="Метод индексации",AT153+AT157,AT141+AT144)+AT159+AT160+AT161+AT162+AT163+AT164</f>
        <v>11458.0440014893</v>
      </c>
      <c r="AU168" s="612">
        <f>AU138+AU139+AU140+IF(method_reg="Метод индексации",AU153+AU157,AU141+AU144)+AU159+AU160+AU161+AU162+AU163+AU164</f>
        <v>6786.14936729831</v>
      </c>
      <c r="AV168" s="612">
        <f>AV138+AV139+AV140+IF(method_reg="Метод индексации",AV153+AV157,AV141+AV144)+AV159+AV160+AV161+AV162+AV163+AV164</f>
        <v>6614.34851014394</v>
      </c>
      <c r="AW168" s="612">
        <f>AW138+AW139+AW140+IF(method_reg="Метод индексации",AW153+AW157,AW141+AW144)+AW159+AW160+AW161+AW162+AW163+AW164</f>
        <v>6809.97809814817</v>
      </c>
      <c r="AX168" s="612">
        <f>AX138+AX139+AX140+IF(method_reg="Метод индексации",AX153+AX157,AX141+AX144)+AX159+AX160+AX161+AX162+AX163+AX164</f>
        <v>7008.15880909467</v>
      </c>
      <c r="AY168" s="612">
        <f>AY138+AY139+AY140+IF(method_reg="Метод индексации",AY153+AY157,AY141+AY144)+AY159+AY160+AY161+AY162+AY163+AY164</f>
        <v>1820.08893017126</v>
      </c>
      <c r="AZ168" s="612">
        <f>AZ138+AZ139+AZ140+IF(method_reg="Метод индексации",AZ153+AZ157,AZ141+AZ144)+AZ159+AZ160+AZ161+AZ162+AZ163+AZ164</f>
        <v>1801.88804086955</v>
      </c>
      <c r="BA168" s="612">
        <f>BA138+BA139+BA140+IF(method_reg="Метод индексации",BA153+BA157,BA141+BA144)+BA159+BA160+BA161+BA162+BA163+BA164</f>
        <v>1783.86916046085</v>
      </c>
      <c r="BB168" s="612">
        <f>BB138+BB139+BB140+IF(method_reg="Метод индексации",BB153+BB157,BB141+BB144)+BB159+BB160+BB161+BB162+BB163+BB164</f>
        <v>1766.03046885624</v>
      </c>
      <c r="BC168" s="612">
        <f>BC138+BC139+BC140+IF(method_reg="Метод индексации",BC153+BC157,BC141+BC144)+BC159+BC160+BC161+BC162+BC163+BC164</f>
        <v>1748.37016416768</v>
      </c>
      <c r="BD168" s="307">
        <f>IF(AI168=0,0,(AT168-AI168)/AI168*100)</f>
        <v>0</v>
      </c>
      <c r="BE168" s="307">
        <f>IF(AT168=0,0,(AU168-AT168)/AT168*100)</f>
        <v>-40.7739281991214</v>
      </c>
      <c r="BF168" s="307">
        <f>IF(AU168=0,0,(AV168-AU168)/AU168*100)</f>
        <v>-2.53163978356059</v>
      </c>
      <c r="BG168" s="307">
        <f>IF(AV168=0,0,(AW168-AV168)/AV168*100)</f>
        <v>2.95765467610615</v>
      </c>
      <c r="BH168" s="307">
        <f>IF(AW168=0,0,(AX168-AW168)/AW168*100)</f>
        <v>2.91015195776314</v>
      </c>
      <c r="BI168" s="307">
        <f>IF(AX168=0,0,(AY168-AX168)/AX168*100)</f>
        <v>-74.0289999163649</v>
      </c>
      <c r="BJ168" s="307">
        <f>IF(AY168=0,0,(AZ168-AY168)/AY168*100)</f>
        <v>-0.99999999999986</v>
      </c>
      <c r="BK168" s="307">
        <f>IF(AZ168=0,0,(BA168-AZ168)/AZ168*100)</f>
        <v>-1.0000000000003</v>
      </c>
      <c r="BL168" s="307">
        <f>IF(BA168=0,0,(BB168-BA168)/BA168*100)</f>
        <v>-1.0000000000001</v>
      </c>
      <c r="BM168" s="307">
        <f>IF(BB168=0,0,(BC168-BB168)/BB168*100)</f>
        <v>-0.99999999999986</v>
      </c>
      <c r="BN168" s="1743"/>
      <c r="BO168" s="1743"/>
      <c r="BP168" s="1743"/>
      <c r="BQ168" s="227"/>
      <c r="BR168" s="227"/>
      <c r="BS168" s="1232" t="s">
        <v>1697</v>
      </c>
      <c r="BT168" s="1232"/>
      <c r="BU168" s="1232"/>
      <c r="BV168" s="1233"/>
      <c r="BW168" s="1233"/>
      <c r="BX168" s="1268" cm="1" t="str">
        <f t="array" ref="BX168:BX168">D168&amp;"::"&amp;IF(N168&lt;&gt;"",N168,"Неопределено")&amp;"::"&amp;IF(M168&lt;&gt;"",M168,"Неопределено")&amp;"::"&amp;IF(O168&lt;&gt;"",O168,"Неопределено")&amp;"::"&amp;IF(P168&lt;&gt;"",P168,"Неопределено")&amp;"::"&amp;IF(Q168&lt;&gt;"",Q168,"Неопределено")&amp;"::"&amp;IF(R168&lt;&gt;"",R168,"Неопределено")</f>
        <v>M10655::ТЭ.42.26824396.0005::Неопределено::Неопределено::Неопределено::Неопределено::Неопределено</v>
      </c>
    </row>
    <row s="1619" customFormat="1" customHeight="1" ht="48.75">
      <c r="A169" s="225"/>
      <c r="B169" s="924"/>
      <c r="C169" s="1327" t="s">
        <v>1698</v>
      </c>
      <c r="D169" s="1257" t="s">
        <v>1699</v>
      </c>
      <c r="E169" s="794">
        <v>50</v>
      </c>
      <c r="F169" s="919" cm="1" t="str">
        <f t="array" ref="F169:F169">OFFSET(G169,-1,-1)</f>
        <v>2</v>
      </c>
      <c r="G169" s="227"/>
      <c r="H169" s="227"/>
      <c r="I169" s="227"/>
      <c r="J169" s="227"/>
      <c r="K169" s="227"/>
      <c r="L169" s="190"/>
      <c r="M169" s="1281"/>
      <c r="N169" s="1281" cm="1" t="str">
        <f t="array" ref="N169:N169">OFFSET(M169,-1,1)</f>
        <v>ТЭ.42.26824396.0005</v>
      </c>
      <c r="O169" s="1282"/>
      <c r="P169" s="1282"/>
      <c r="Q169" s="1282"/>
      <c r="R169" s="1282"/>
      <c r="S169" s="1619"/>
      <c r="T169" s="805" cm="1" t="str">
        <f t="array" ref="T169:T169">T168</f>
        <v>true</v>
      </c>
      <c r="U169" s="1461"/>
      <c r="V169" s="1461"/>
      <c r="W169" s="1461"/>
      <c r="X169" s="1461"/>
      <c r="Y169" s="1461"/>
      <c r="Z169" s="1461"/>
      <c r="AA169" s="227"/>
      <c r="AB169" s="640" t="s">
        <v>1700</v>
      </c>
      <c r="AC169" s="1083" t="s">
        <v>1698</v>
      </c>
      <c r="AD169" s="651" t="s">
        <v>1019</v>
      </c>
      <c r="AE169" s="1936"/>
      <c r="AF169" s="1936"/>
      <c r="AG169" s="1936"/>
      <c r="AH169" s="307">
        <f>AG169-AF169</f>
        <v>0</v>
      </c>
      <c r="AI169" s="1936"/>
      <c r="AJ169" s="665"/>
      <c r="AK169" s="665"/>
      <c r="AL169" s="665"/>
      <c r="AM169" s="665"/>
      <c r="AN169" s="665"/>
      <c r="AO169" s="1936"/>
      <c r="AP169" s="1936"/>
      <c r="AQ169" s="1936"/>
      <c r="AR169" s="1936"/>
      <c r="AS169" s="1936"/>
      <c r="AT169" s="665">
        <v>-7335.078</v>
      </c>
      <c r="AU169" s="665"/>
      <c r="AV169" s="665"/>
      <c r="AW169" s="665"/>
      <c r="AX169" s="665"/>
      <c r="AY169" s="1936"/>
      <c r="AZ169" s="1936"/>
      <c r="BA169" s="1936"/>
      <c r="BB169" s="1936"/>
      <c r="BC169" s="1936"/>
      <c r="BD169" s="307">
        <f>IF(AI169=0,0,(AT169-AI169)/AI169*100)</f>
        <v>0</v>
      </c>
      <c r="BE169" s="307">
        <f>IF(AT169=0,0,(AU169-AT169)/AT169*100)</f>
        <v>-100</v>
      </c>
      <c r="BF169" s="307">
        <f>IF(AU169=0,0,(AV169-AU169)/AU169*100)</f>
        <v>0</v>
      </c>
      <c r="BG169" s="307">
        <f>IF(AV169=0,0,(AW169-AV169)/AV169*100)</f>
        <v>0</v>
      </c>
      <c r="BH169" s="307">
        <f>IF(AW169=0,0,(AX169-AW169)/AW169*100)</f>
        <v>0</v>
      </c>
      <c r="BI169" s="307">
        <f>IF(AX169=0,0,(AY169-AX169)/AX169*100)</f>
        <v>0</v>
      </c>
      <c r="BJ169" s="307">
        <f>IF(AY169=0,0,(AZ169-AY169)/AY169*100)</f>
        <v>0</v>
      </c>
      <c r="BK169" s="307">
        <f>IF(AZ169=0,0,(BA169-AZ169)/AZ169*100)</f>
        <v>0</v>
      </c>
      <c r="BL169" s="307">
        <f>IF(BA169=0,0,(BB169-BA169)/BA169*100)</f>
        <v>0</v>
      </c>
      <c r="BM169" s="307">
        <f>IF(BB169=0,0,(BC169-BB169)/BB169*100)</f>
        <v>0</v>
      </c>
      <c r="BN169" s="1743"/>
      <c r="BO169" s="1743"/>
      <c r="BP169" s="1743"/>
      <c r="BQ169" s="227"/>
      <c r="BR169" s="227"/>
      <c r="BS169" s="1232" t="s">
        <v>1701</v>
      </c>
      <c r="BT169" s="1232"/>
      <c r="BU169" s="1232"/>
      <c r="BV169" s="1233"/>
      <c r="BW169" s="1233"/>
      <c r="BX169" s="1268" cm="1" t="str">
        <f t="array" ref="BX169:BX169">D169&amp;"::"&amp;IF(N169&lt;&gt;"",N169,"Неопределено")&amp;"::"&amp;IF(M169&lt;&gt;"",M169,"Неопределено")&amp;"::"&amp;IF(O169&lt;&gt;"",O169,"Неопределено")&amp;"::"&amp;IF(P169&lt;&gt;"",P169,"Неопределено")&amp;"::"&amp;IF(Q169&lt;&gt;"",Q169,"Неопределено")&amp;"::"&amp;IF(R169&lt;&gt;"",R169,"Неопределено")</f>
        <v>M11579::ТЭ.42.26824396.0005::Неопределено::Неопределено::Неопределено::Неопределено::Неопределено</v>
      </c>
    </row>
    <row s="1619" customFormat="1" customHeight="1" ht="14.25">
      <c r="A170" s="225"/>
      <c r="B170" s="924"/>
      <c r="C170" s="1298" t="s">
        <v>1702</v>
      </c>
      <c r="D170" s="1257" t="s">
        <v>1703</v>
      </c>
      <c r="E170" s="794">
        <v>15</v>
      </c>
      <c r="F170" s="919" cm="1" t="str">
        <f t="array" ref="F170:F170">OFFSET(G170,-1,-1)</f>
        <v>2</v>
      </c>
      <c r="G170" s="190" t="s">
        <v>1704</v>
      </c>
      <c r="H170" s="227"/>
      <c r="I170" s="227"/>
      <c r="J170" s="227"/>
      <c r="K170" s="227"/>
      <c r="L170" s="190"/>
      <c r="M170" s="1281"/>
      <c r="N170" s="1281" cm="1" t="str">
        <f t="array" ref="N170:N170">OFFSET(M170,-1,1)</f>
        <v>ТЭ.42.26824396.0005</v>
      </c>
      <c r="O170" s="1286"/>
      <c r="P170" s="1282"/>
      <c r="Q170" s="1282"/>
      <c r="R170" s="1286"/>
      <c r="S170" s="1619"/>
      <c r="T170" s="805" cm="1" t="str">
        <f t="array" ref="T170:T170">T169</f>
        <v>true</v>
      </c>
      <c r="U170" s="1461"/>
      <c r="V170" s="1461"/>
      <c r="W170" s="1461"/>
      <c r="X170" s="1461"/>
      <c r="Y170" s="1461"/>
      <c r="Z170" s="1461"/>
      <c r="AA170" s="227"/>
      <c r="AB170" s="646" t="s">
        <v>1705</v>
      </c>
      <c r="AC170" s="1070" t="s">
        <v>1706</v>
      </c>
      <c r="AD170" s="651" t="s">
        <v>1019</v>
      </c>
      <c r="AE170" s="691">
        <f>AE168+AE169</f>
        <v>0</v>
      </c>
      <c r="AF170" s="691">
        <f>AF168+AF169</f>
        <v>0</v>
      </c>
      <c r="AG170" s="691">
        <f>AG168+AG169</f>
        <v>0</v>
      </c>
      <c r="AH170" s="307">
        <f>AG170-AF170</f>
        <v>0</v>
      </c>
      <c r="AI170" s="691">
        <f>AI168+AI169</f>
        <v>0</v>
      </c>
      <c r="AJ170" s="691">
        <f>AJ168+AJ169</f>
        <v>15182.9999135</v>
      </c>
      <c r="AK170" s="691">
        <f>AK168+AK169</f>
        <v>9476.496001632</v>
      </c>
      <c r="AL170" s="691">
        <f>AL168+AL169</f>
        <v>9783.58464565391</v>
      </c>
      <c r="AM170" s="691">
        <f>AM168+AM169</f>
        <v>10059.3384569609</v>
      </c>
      <c r="AN170" s="691">
        <f>AN168+AN169</f>
        <v>10367.8431111401</v>
      </c>
      <c r="AO170" s="691">
        <f>AO168+AO169</f>
        <v>3288.62041263371</v>
      </c>
      <c r="AP170" s="691">
        <f>AP168+AP169</f>
        <v>3255.73420850737</v>
      </c>
      <c r="AQ170" s="691">
        <f>AQ168+AQ169</f>
        <v>3223.1768664223</v>
      </c>
      <c r="AR170" s="691">
        <f>AR168+AR169</f>
        <v>3190.94509775808</v>
      </c>
      <c r="AS170" s="691">
        <f>AS168+AS169</f>
        <v>3159.0356467805</v>
      </c>
      <c r="AT170" s="691">
        <f>AT168+AT169</f>
        <v>4122.9660014893</v>
      </c>
      <c r="AU170" s="691">
        <f>AU168+AU169</f>
        <v>6786.14936729831</v>
      </c>
      <c r="AV170" s="691">
        <f>AV168+AV169</f>
        <v>6614.34851014394</v>
      </c>
      <c r="AW170" s="691">
        <f>AW168+AW169</f>
        <v>6809.97809814817</v>
      </c>
      <c r="AX170" s="691">
        <f>AX168+AX169</f>
        <v>7008.15880909467</v>
      </c>
      <c r="AY170" s="691">
        <f>AY168+AY169</f>
        <v>1820.08893017126</v>
      </c>
      <c r="AZ170" s="691">
        <f>AZ168+AZ169</f>
        <v>1801.88804086955</v>
      </c>
      <c r="BA170" s="691">
        <f>BA168+BA169</f>
        <v>1783.86916046085</v>
      </c>
      <c r="BB170" s="691">
        <f>BB168+BB169</f>
        <v>1766.03046885624</v>
      </c>
      <c r="BC170" s="691">
        <f>BC168+BC169</f>
        <v>1748.37016416768</v>
      </c>
      <c r="BD170" s="307">
        <f>IF(AI170=0,0,(AT170-AI170)/AI170*100)</f>
        <v>0</v>
      </c>
      <c r="BE170" s="307">
        <f>IF(AT170=0,0,(AU170-AT170)/AT170*100)</f>
        <v>64.5938716168655</v>
      </c>
      <c r="BF170" s="307">
        <f>IF(AU170=0,0,(AV170-AU170)/AU170*100)</f>
        <v>-2.53163978356059</v>
      </c>
      <c r="BG170" s="307">
        <f>IF(AV170=0,0,(AW170-AV170)/AV170*100)</f>
        <v>2.95765467610615</v>
      </c>
      <c r="BH170" s="307">
        <f>IF(AW170=0,0,(AX170-AW170)/AW170*100)</f>
        <v>2.91015195776314</v>
      </c>
      <c r="BI170" s="307">
        <f>IF(AX170=0,0,(AY170-AX170)/AX170*100)</f>
        <v>-74.0289999163649</v>
      </c>
      <c r="BJ170" s="307">
        <f>IF(AY170=0,0,(AZ170-AY170)/AY170*100)</f>
        <v>-0.99999999999986</v>
      </c>
      <c r="BK170" s="307">
        <f>IF(AZ170=0,0,(BA170-AZ170)/AZ170*100)</f>
        <v>-1.0000000000003</v>
      </c>
      <c r="BL170" s="307">
        <f>IF(BA170=0,0,(BB170-BA170)/BA170*100)</f>
        <v>-1.0000000000001</v>
      </c>
      <c r="BM170" s="307">
        <f>IF(BB170=0,0,(BC170-BB170)/BB170*100)</f>
        <v>-0.99999999999986</v>
      </c>
      <c r="BN170" s="1743"/>
      <c r="BO170" s="1743"/>
      <c r="BP170" s="1743"/>
      <c r="BQ170" s="227"/>
      <c r="BR170" s="227"/>
      <c r="BS170" s="1232" t="s">
        <v>1707</v>
      </c>
      <c r="BT170" s="1232"/>
      <c r="BU170" s="1232"/>
      <c r="BV170" s="1233"/>
      <c r="BW170" s="1233"/>
      <c r="BX170" s="1268" cm="1" t="str">
        <f t="array" ref="BX170:BX170">D170&amp;"::"&amp;IF(N170&lt;&gt;"",N170,"Неопределено")&amp;"::"&amp;IF(M170&lt;&gt;"",M170,"Неопределено")&amp;"::"&amp;IF(O170&lt;&gt;"",O170,"Неопределено")&amp;"::"&amp;IF(P170&lt;&gt;"",P170,"Неопределено")&amp;"::"&amp;IF(Q170&lt;&gt;"",Q170,"Неопределено")&amp;"::"&amp;IF(R170&lt;&gt;"",R170,"Неопределено")</f>
        <v>M11580::ТЭ.42.26824396.0005::Неопределено::Неопределено::Неопределено::Неопределено::Неопределено</v>
      </c>
    </row>
    <row s="1619" customFormat="1" customHeight="1" ht="14.25" hidden="1">
      <c r="A171" s="225"/>
      <c r="B171" s="924"/>
      <c r="C171" s="1327" t="s">
        <v>1708</v>
      </c>
      <c r="D171" s="1257" t="s">
        <v>1709</v>
      </c>
      <c r="E171" s="794">
        <v>15</v>
      </c>
      <c r="F171" s="919" cm="1" t="str">
        <f t="array" ref="F171:F171">OFFSET(G171,-1,-1)</f>
        <v>2</v>
      </c>
      <c r="G171" s="190" t="s">
        <v>962</v>
      </c>
      <c r="H171" s="227"/>
      <c r="I171" s="227"/>
      <c r="J171" s="227"/>
      <c r="K171" s="227"/>
      <c r="L171" s="190" t="s">
        <v>1710</v>
      </c>
      <c r="M171" s="1281"/>
      <c r="N171" s="1281" cm="1" t="str">
        <f t="array" ref="N171:N171">OFFSET(M171,-1,1)</f>
        <v>ТЭ.42.26824396.0005</v>
      </c>
      <c r="O171" s="1286"/>
      <c r="P171" s="1282"/>
      <c r="Q171" s="1282"/>
      <c r="R171" s="1286"/>
      <c r="S171" s="1619"/>
      <c r="T171" s="805">
        <f>AND(F171&gt;0,G137="двухставочный")</f>
        <v>0</v>
      </c>
      <c r="U171" s="1461"/>
      <c r="V171" s="1461"/>
      <c r="W171" s="1461"/>
      <c r="X171" s="1461"/>
      <c r="Y171" s="1461"/>
      <c r="Z171" s="1461"/>
      <c r="AA171" s="227"/>
      <c r="AB171" s="660" t="str">
        <f>AB170&amp;".1"</f>
        <v>14.1</v>
      </c>
      <c r="AC171" s="616" t="s">
        <v>1711</v>
      </c>
      <c r="AD171" s="309" t="s">
        <v>805</v>
      </c>
      <c r="AE171" s="121">
        <f>_xlfn.SUMIFS('Ресурсы (5.4)'!AE$26:AE$57,'Ресурсы (5.4)'!$F$26:$F$57,$F171,'Ресурсы (5.4)'!$AB$26:$AB$57,"6.1")</f>
        <v>0</v>
      </c>
      <c r="AF171" s="121">
        <f>_xlfn.SUMIFS('Ресурсы (5.4)'!AF$26:AF$57,'Ресурсы (5.4)'!$F$26:$F$57,$F171,'Ресурсы (5.4)'!$AB$26:$AB$57,"6.1")</f>
        <v>0</v>
      </c>
      <c r="AG171" s="121">
        <f>_xlfn.SUMIFS('Ресурсы (5.4)'!AG$26:AG$57,'Ресурсы (5.4)'!$F$26:$F$57,$F171,'Ресурсы (5.4)'!$AB$26:$AB$57,"6.1")</f>
        <v>0</v>
      </c>
      <c r="AH171" s="307">
        <f>AG171-AF171</f>
        <v>0</v>
      </c>
      <c r="AI171" s="121">
        <f>_xlfn.SUMIFS('Ресурсы (5.4)'!AI$26:AI$57,'Ресурсы (5.4)'!$F$26:$F$57,$F171,'Ресурсы (5.4)'!$AB$26:$AB$57,"6.1")</f>
        <v>0</v>
      </c>
      <c r="AJ171" s="614">
        <f>_xlfn.SUMIFS('Ресурсы (5.4)'!AJ$26:AJ$57,'Ресурсы (5.4)'!$F$26:$F$57,$F171,'Ресурсы (5.4)'!$AB$26:$AB$57,"6.1")</f>
        <v>4782.9999935</v>
      </c>
      <c r="AK171" s="614">
        <f>_xlfn.SUMIFS('Ресурсы (5.4)'!AK$26:AK$57,'Ресурсы (5.4)'!$F$26:$F$57,$F171,'Ресурсы (5.4)'!$AB$26:$AB$57,"6.1")</f>
        <v>5044.998484</v>
      </c>
      <c r="AL171" s="614">
        <f>_xlfn.SUMIFS('Ресурсы (5.4)'!AL$26:AL$57,'Ресурсы (5.4)'!$F$26:$F$57,$F171,'Ресурсы (5.4)'!$AB$26:$AB$57,"6.1")</f>
        <v>5235.9996015</v>
      </c>
      <c r="AM171" s="614">
        <f>_xlfn.SUMIFS('Ресурсы (5.4)'!AM$26:AM$57,'Ресурсы (5.4)'!$F$26:$F$57,$F171,'Ресурсы (5.4)'!$AB$26:$AB$57,"6.1")</f>
        <v>5434.9992955</v>
      </c>
      <c r="AN171" s="614">
        <f>_xlfn.SUMIFS('Ресурсы (5.4)'!AN$26:AN$57,'Ресурсы (5.4)'!$F$26:$F$57,$F171,'Ресурсы (5.4)'!$AB$26:$AB$57,"6.1")</f>
        <v>5642.0043105</v>
      </c>
      <c r="AO171" s="121">
        <f>_xlfn.SUMIFS('Ресурсы (5.4)'!AO$26:AO$57,'Ресурсы (5.4)'!$F$26:$F$57,$F171,'Ресурсы (5.4)'!$AB$26:$AB$57,"6.1")</f>
        <v>0</v>
      </c>
      <c r="AP171" s="121">
        <f>_xlfn.SUMIFS('Ресурсы (5.4)'!AP$26:AP$57,'Ресурсы (5.4)'!$F$26:$F$57,$F171,'Ресурсы (5.4)'!$AB$26:$AB$57,"6.1")</f>
        <v>0</v>
      </c>
      <c r="AQ171" s="121">
        <f>_xlfn.SUMIFS('Ресурсы (5.4)'!AQ$26:AQ$57,'Ресурсы (5.4)'!$F$26:$F$57,$F171,'Ресурсы (5.4)'!$AB$26:$AB$57,"6.1")</f>
        <v>0</v>
      </c>
      <c r="AR171" s="121">
        <f>_xlfn.SUMIFS('Ресурсы (5.4)'!AR$26:AR$57,'Ресурсы (5.4)'!$F$26:$F$57,$F171,'Ресурсы (5.4)'!$AB$26:$AB$57,"6.1")</f>
        <v>0</v>
      </c>
      <c r="AS171" s="121">
        <f>_xlfn.SUMIFS('Ресурсы (5.4)'!AS$26:AS$57,'Ресурсы (5.4)'!$F$26:$F$57,$F171,'Ресурсы (5.4)'!$AB$26:$AB$57,"6.1")</f>
        <v>0</v>
      </c>
      <c r="AT171" s="614">
        <f>_xlfn.SUMIFS('Ресурсы (5.4)'!AT$26:AT$57,'Ресурсы (5.4)'!$F$26:$F$57,$F171,'Ресурсы (5.4)'!$AB$26:$AB$57,"6.1")</f>
        <v>4146.0440814893</v>
      </c>
      <c r="AU171" s="614">
        <f>_xlfn.SUMIFS('Ресурсы (5.4)'!AU$26:AU$57,'Ресурсы (5.4)'!$F$26:$F$57,$F171,'Ресурсы (5.4)'!$AB$26:$AB$57,"6.1")</f>
        <v>4340.72384966631</v>
      </c>
      <c r="AV171" s="614">
        <f>_xlfn.SUMIFS('Ресурсы (5.4)'!AV$26:AV$57,'Ресурсы (5.4)'!$F$26:$F$57,$F171,'Ресурсы (5.4)'!$AB$26:$AB$57,"6.1")</f>
        <v>4464.06399719003</v>
      </c>
      <c r="AW171" s="614">
        <f>_xlfn.SUMIFS('Ресурсы (5.4)'!AW$26:AW$57,'Ресурсы (5.4)'!$F$26:$F$57,$F171,'Ресурсы (5.4)'!$AB$26:$AB$57,"6.1")</f>
        <v>4591.35876361082</v>
      </c>
      <c r="AX171" s="614">
        <f>_xlfn.SUMIFS('Ресурсы (5.4)'!AX$26:AX$57,'Ресурсы (5.4)'!$F$26:$F$57,$F171,'Ресурсы (5.4)'!$AB$26:$AB$57,"6.1")</f>
        <v>4722.68514225501</v>
      </c>
      <c r="AY171" s="121">
        <f>_xlfn.SUMIFS('Ресурсы (5.4)'!AY$26:AY$57,'Ресурсы (5.4)'!$F$26:$F$57,$F171,'Ресурсы (5.4)'!$AB$26:$AB$57,"6.1")</f>
        <v>0</v>
      </c>
      <c r="AZ171" s="121">
        <f>_xlfn.SUMIFS('Ресурсы (5.4)'!AZ$26:AZ$57,'Ресурсы (5.4)'!$F$26:$F$57,$F171,'Ресурсы (5.4)'!$AB$26:$AB$57,"6.1")</f>
        <v>0</v>
      </c>
      <c r="BA171" s="121">
        <f>_xlfn.SUMIFS('Ресурсы (5.4)'!BA$26:BA$57,'Ресурсы (5.4)'!$F$26:$F$57,$F171,'Ресурсы (5.4)'!$AB$26:$AB$57,"6.1")</f>
        <v>0</v>
      </c>
      <c r="BB171" s="121">
        <f>_xlfn.SUMIFS('Ресурсы (5.4)'!BB$26:BB$57,'Ресурсы (5.4)'!$F$26:$F$57,$F171,'Ресурсы (5.4)'!$AB$26:$AB$57,"6.1")</f>
        <v>0</v>
      </c>
      <c r="BC171" s="121">
        <f>_xlfn.SUMIFS('Ресурсы (5.4)'!BC$26:BC$57,'Ресурсы (5.4)'!$F$26:$F$57,$F171,'Ресурсы (5.4)'!$AB$26:$AB$57,"6.1")</f>
        <v>0</v>
      </c>
      <c r="BD171" s="307">
        <f>IF(AI171=0,0,(AT171-AI171)/AI171*100)</f>
        <v>0</v>
      </c>
      <c r="BE171" s="307">
        <f>IF(AT171=0,0,(AU171-AT171)/AT171*100)</f>
        <v>4.6955547107227</v>
      </c>
      <c r="BF171" s="307">
        <f>IF(AU171=0,0,(AV171-AU171)/AU171*100)</f>
        <v>2.84146496748927</v>
      </c>
      <c r="BG171" s="307">
        <f>IF(AV171=0,0,(AW171-AV171)/AV171*100)</f>
        <v>2.85154438872106</v>
      </c>
      <c r="BH171" s="307">
        <f>IF(AW171=0,0,(AX171-AW171)/AW171*100)</f>
        <v>2.86029442275407</v>
      </c>
      <c r="BI171" s="307">
        <f>IF(AX171=0,0,(AY171-AX171)/AX171*100)</f>
        <v>-100</v>
      </c>
      <c r="BJ171" s="307">
        <f>IF(AY171=0,0,(AZ171-AY171)/AY171*100)</f>
        <v>0</v>
      </c>
      <c r="BK171" s="307">
        <f>IF(AZ171=0,0,(BA171-AZ171)/AZ171*100)</f>
        <v>0</v>
      </c>
      <c r="BL171" s="307">
        <f>IF(BA171=0,0,(BB171-BA171)/BA171*100)</f>
        <v>0</v>
      </c>
      <c r="BM171" s="307">
        <f>IF(BB171=0,0,(BC171-BB171)/BB171*100)</f>
        <v>0</v>
      </c>
      <c r="BN171" s="73"/>
      <c r="BO171" s="73"/>
      <c r="BP171" s="73"/>
      <c r="BQ171" s="227"/>
      <c r="BR171" s="227"/>
      <c r="BS171" s="1232" t="s">
        <v>1712</v>
      </c>
      <c r="BT171" s="1232"/>
      <c r="BU171" s="1232"/>
      <c r="BV171" s="1233"/>
      <c r="BW171" s="1233"/>
      <c r="BX171" s="1268" cm="1" t="str">
        <f t="array" ref="BX171:BX171">D171&amp;"::"&amp;IF(N171&lt;&gt;"",N171,"Неопределено")&amp;"::"&amp;IF(M171&lt;&gt;"",M171,"Неопределено")&amp;"::"&amp;IF(O171&lt;&gt;"",O171,"Неопределено")&amp;"::"&amp;IF(P171&lt;&gt;"",P171,"Неопределено")&amp;"::"&amp;IF(Q171&lt;&gt;"",Q171,"Неопределено")&amp;"::"&amp;IF(R171&lt;&gt;"",R171,"Неопределено")</f>
        <v>M11581::ТЭ.42.26824396.0005::Неопределено::Неопределено::Неопределено::Неопределено::Неопределено</v>
      </c>
    </row>
    <row s="1619" customFormat="1" customHeight="1" ht="14.25" hidden="1">
      <c r="A172" s="225"/>
      <c r="B172" s="924"/>
      <c r="C172" s="1327" t="s">
        <v>1713</v>
      </c>
      <c r="D172" s="1257" t="s">
        <v>1714</v>
      </c>
      <c r="E172" s="794">
        <v>15</v>
      </c>
      <c r="F172" s="919" cm="1" t="str">
        <f t="array" ref="F172:F172">OFFSET(G172,-1,-1)</f>
        <v>2</v>
      </c>
      <c r="G172" s="227"/>
      <c r="H172" s="227"/>
      <c r="I172" s="227"/>
      <c r="J172" s="227"/>
      <c r="K172" s="227"/>
      <c r="L172" s="190" t="s">
        <v>1710</v>
      </c>
      <c r="M172" s="1281"/>
      <c r="N172" s="1281" cm="1" t="str">
        <f t="array" ref="N172:N172">OFFSET(M172,-1,1)</f>
        <v>ТЭ.42.26824396.0005</v>
      </c>
      <c r="O172" s="1286"/>
      <c r="P172" s="1282"/>
      <c r="Q172" s="1282"/>
      <c r="R172" s="1286"/>
      <c r="S172" s="1619"/>
      <c r="T172" s="805" cm="1" t="str">
        <f t="array" ref="T172:T172">T171</f>
        <v>false</v>
      </c>
      <c r="U172" s="1461"/>
      <c r="V172" s="1461"/>
      <c r="W172" s="1461"/>
      <c r="X172" s="1461"/>
      <c r="Y172" s="1461"/>
      <c r="Z172" s="1461"/>
      <c r="AA172" s="227"/>
      <c r="AB172" s="660" t="str">
        <f>AB170&amp;".2"</f>
        <v>14.2</v>
      </c>
      <c r="AC172" s="616" t="s">
        <v>1713</v>
      </c>
      <c r="AD172" s="309" t="s">
        <v>805</v>
      </c>
      <c r="AE172" s="612">
        <f>AE170-AE171</f>
        <v>0</v>
      </c>
      <c r="AF172" s="612">
        <f>AF170-AF171</f>
        <v>0</v>
      </c>
      <c r="AG172" s="612">
        <f>AG170-AG171</f>
        <v>0</v>
      </c>
      <c r="AH172" s="307">
        <f>AG172-AF172</f>
        <v>0</v>
      </c>
      <c r="AI172" s="612">
        <f>AI170-AI171</f>
        <v>0</v>
      </c>
      <c r="AJ172" s="612">
        <f>AJ170-AJ171</f>
        <v>10399.99992</v>
      </c>
      <c r="AK172" s="612">
        <f>AK170-AK171</f>
        <v>4431.497517632</v>
      </c>
      <c r="AL172" s="612">
        <f>AL170-AL171</f>
        <v>4547.58504415391</v>
      </c>
      <c r="AM172" s="612">
        <f>AM170-AM171</f>
        <v>4624.3391614609</v>
      </c>
      <c r="AN172" s="612">
        <f>AN170-AN171</f>
        <v>4725.8388006401</v>
      </c>
      <c r="AO172" s="612">
        <f>AO170-AO171</f>
        <v>3288.62041263371</v>
      </c>
      <c r="AP172" s="612">
        <f>AP170-AP171</f>
        <v>3255.73420850737</v>
      </c>
      <c r="AQ172" s="612">
        <f>AQ170-AQ171</f>
        <v>3223.1768664223</v>
      </c>
      <c r="AR172" s="612">
        <f>AR170-AR171</f>
        <v>3190.94509775808</v>
      </c>
      <c r="AS172" s="612">
        <f>AS170-AS171</f>
        <v>3159.0356467805</v>
      </c>
      <c r="AT172" s="612">
        <f>AT170-AT171</f>
        <v>-23.0780800000002</v>
      </c>
      <c r="AU172" s="612">
        <f>AU170-AU171</f>
        <v>2445.425517632</v>
      </c>
      <c r="AV172" s="612">
        <f>AV170-AV171</f>
        <v>2150.28451295391</v>
      </c>
      <c r="AW172" s="612">
        <f>AW170-AW171</f>
        <v>2218.61933453735</v>
      </c>
      <c r="AX172" s="612">
        <f>AX170-AX171</f>
        <v>2285.47366683966</v>
      </c>
      <c r="AY172" s="612">
        <f>AY170-AY171</f>
        <v>1820.08893017126</v>
      </c>
      <c r="AZ172" s="612">
        <f>AZ170-AZ171</f>
        <v>1801.88804086955</v>
      </c>
      <c r="BA172" s="612">
        <f>BA170-BA171</f>
        <v>1783.86916046085</v>
      </c>
      <c r="BB172" s="612">
        <f>BB170-BB171</f>
        <v>1766.03046885624</v>
      </c>
      <c r="BC172" s="654">
        <f>BC170-BC171</f>
        <v>1748.37016416768</v>
      </c>
      <c r="BD172" s="307">
        <f>IF(AI172=0,0,(AT172-AI172)/AI172*100)</f>
        <v>0</v>
      </c>
      <c r="BE172" s="307">
        <f>IF(AT172=0,0,(AU172-AT172)/AT172*100)</f>
        <v>-10696.3126812628</v>
      </c>
      <c r="BF172" s="307">
        <f>IF(AU172=0,0,(AV172-AU172)/AU172*100)</f>
        <v>-12.0691062782352</v>
      </c>
      <c r="BG172" s="307">
        <f>IF(AV172=0,0,(AW172-AV172)/AV172*100)</f>
        <v>3.17794325224276</v>
      </c>
      <c r="BH172" s="307">
        <f>IF(AW172=0,0,(AX172-AW172)/AW172*100)</f>
        <v>3.01333046465365</v>
      </c>
      <c r="BI172" s="307">
        <f>IF(AX172=0,0,(AY172-AX172)/AX172*100)</f>
        <v>-20.3627258288183</v>
      </c>
      <c r="BJ172" s="307">
        <f>IF(AY172=0,0,(AZ172-AY172)/AY172*100)</f>
        <v>-0.99999999999986</v>
      </c>
      <c r="BK172" s="307">
        <f>IF(AZ172=0,0,(BA172-AZ172)/AZ172*100)</f>
        <v>-1.0000000000003</v>
      </c>
      <c r="BL172" s="307">
        <f>IF(BA172=0,0,(BB172-BA172)/BA172*100)</f>
        <v>-1.0000000000001</v>
      </c>
      <c r="BM172" s="307">
        <f>IF(BB172=0,0,(BC172-BB172)/BB172*100)</f>
        <v>-0.99999999999986</v>
      </c>
      <c r="BN172" s="73"/>
      <c r="BO172" s="73"/>
      <c r="BP172" s="73"/>
      <c r="BQ172" s="227"/>
      <c r="BR172" s="227"/>
      <c r="BS172" s="1232" t="s">
        <v>1715</v>
      </c>
      <c r="BT172" s="1232"/>
      <c r="BU172" s="1232"/>
      <c r="BV172" s="1233"/>
      <c r="BW172" s="1233"/>
      <c r="BX172" s="1268" cm="1" t="str">
        <f t="array" ref="BX172:BX172">D172&amp;"::"&amp;IF(N172&lt;&gt;"",N172,"Неопределено")&amp;"::"&amp;IF(M172&lt;&gt;"",M172,"Неопределено")&amp;"::"&amp;IF(O172&lt;&gt;"",O172,"Неопределено")&amp;"::"&amp;IF(P172&lt;&gt;"",P172,"Неопределено")&amp;"::"&amp;IF(Q172&lt;&gt;"",Q172,"Неопределено")&amp;"::"&amp;IF(R172&lt;&gt;"",R172,"Неопределено")</f>
        <v>M11582::ТЭ.42.26824396.0005::Неопределено::Неопределено::Неопределено::Неопределено::Неопределено</v>
      </c>
    </row>
    <row s="1619" customFormat="1" customHeight="1" ht="14.25">
      <c r="A173" s="225"/>
      <c r="B173" s="924"/>
      <c r="C173" s="1298" t="s">
        <v>1716</v>
      </c>
      <c r="D173" s="1257" t="s">
        <v>1717</v>
      </c>
      <c r="E173" s="794">
        <v>15</v>
      </c>
      <c r="F173" s="919" cm="1" t="str">
        <f t="array" ref="F173:F173">OFFSET(G173,-1,-1)</f>
        <v>2</v>
      </c>
      <c r="G173" s="227"/>
      <c r="H173" s="227"/>
      <c r="I173" s="227"/>
      <c r="J173" s="227"/>
      <c r="K173" s="227"/>
      <c r="L173" s="190"/>
      <c r="M173" s="1281"/>
      <c r="N173" s="1281" cm="1" t="str">
        <f t="array" ref="N173:N173">OFFSET(M173,-1,1)</f>
        <v>ТЭ.42.26824396.0005</v>
      </c>
      <c r="O173" s="1282"/>
      <c r="P173" s="1282"/>
      <c r="Q173" s="1282"/>
      <c r="R173" s="1282"/>
      <c r="S173" s="1619"/>
      <c r="T173" s="805" cm="1" t="str">
        <f t="array" ref="T173:T173">T170</f>
        <v>true</v>
      </c>
      <c r="U173" s="1461"/>
      <c r="V173" s="1461"/>
      <c r="W173" s="1461"/>
      <c r="X173" s="1461"/>
      <c r="Y173" s="1461"/>
      <c r="Z173" s="1461"/>
      <c r="AA173" s="227"/>
      <c r="AB173" s="314" t="s">
        <v>1718</v>
      </c>
      <c r="AC173" s="310" t="s">
        <v>1719</v>
      </c>
      <c r="AD173" s="315" t="s">
        <v>591</v>
      </c>
      <c r="AE173" s="307">
        <f>IF($K137="передача тепловой энергии",_xlfn.SUMIFS('Баланс Тр'!AE$27:AE$50,'Баланс Тр'!$F$27:$F$50,$F173,'Баланс Тр'!$AB$27:$AB$50,"3"),_xlfn.SUMIFS('Баланс Пр'!AE$27:AE$233,'Баланс Пр'!$F$27:$F$233,$F173,'Баланс Пр'!$AB$27:$AB$233,"9.1"))</f>
        <v>0</v>
      </c>
      <c r="AF173" s="613"/>
      <c r="AG173" s="613"/>
      <c r="AH173" s="613"/>
      <c r="AI173" s="307">
        <f>IF($K137="передача тепловой энергии",_xlfn.SUMIFS('Баланс Тр'!AH$27:AH$50,'Баланс Тр'!$F$27:$F$50,$F173,'Баланс Тр'!$AB$27:$AB$50,"3"),_xlfn.SUMIFS('Баланс Пр'!AH$27:AH$233,'Баланс Пр'!$F$27:$F$233,$F173,'Баланс Пр'!$AB$27:$AB$233,"9.1"))</f>
        <v>0</v>
      </c>
      <c r="AJ173" s="307">
        <f>IF($K137="передача тепловой энергии",_xlfn.SUMIFS('Баланс Тр'!AI$27:AI$50,'Баланс Тр'!$F$27:$F$50,$F173,'Баланс Тр'!$AB$27:$AB$50,"3"),_xlfn.SUMIFS('Баланс Пр'!AI$27:AI$233,'Баланс Пр'!$F$27:$F$233,$F173,'Баланс Пр'!$AB$27:$AB$233,"9.1"))</f>
        <v>1370</v>
      </c>
      <c r="AK173" s="307">
        <f>IF($K137="передача тепловой энергии",_xlfn.SUMIFS('Баланс Тр'!AJ$27:AJ$50,'Баланс Тр'!$F$27:$F$50,$F173,'Баланс Тр'!$AB$27:$AB$50,"3"),_xlfn.SUMIFS('Баланс Пр'!AJ$27:AJ$233,'Баланс Пр'!$F$27:$F$233,$F173,'Баланс Пр'!$AB$27:$AB$233,"9.1"))</f>
        <v>1370</v>
      </c>
      <c r="AL173" s="307">
        <f>IF($K137="передача тепловой энергии",_xlfn.SUMIFS('Баланс Тр'!AK$27:AK$50,'Баланс Тр'!$F$27:$F$50,$F173,'Баланс Тр'!$AB$27:$AB$50,"3"),_xlfn.SUMIFS('Баланс Пр'!AK$27:AK$233,'Баланс Пр'!$F$27:$F$233,$F173,'Баланс Пр'!$AB$27:$AB$233,"9.1"))</f>
        <v>1370</v>
      </c>
      <c r="AM173" s="307">
        <f>IF($K137="передача тепловой энергии",_xlfn.SUMIFS('Баланс Тр'!AL$27:AL$50,'Баланс Тр'!$F$27:$F$50,$F173,'Баланс Тр'!$AB$27:$AB$50,"3"),_xlfn.SUMIFS('Баланс Пр'!AL$27:AL$233,'Баланс Пр'!$F$27:$F$233,$F173,'Баланс Пр'!$AB$27:$AB$233,"9.1"))</f>
        <v>1370</v>
      </c>
      <c r="AN173" s="307">
        <f>IF($K137="передача тепловой энергии",_xlfn.SUMIFS('Баланс Тр'!AM$27:AM$50,'Баланс Тр'!$F$27:$F$50,$F173,'Баланс Тр'!$AB$27:$AB$50,"3"),_xlfn.SUMIFS('Баланс Пр'!AM$27:AM$233,'Баланс Пр'!$F$27:$F$233,$F173,'Баланс Пр'!$AB$27:$AB$233,"9.1"))</f>
        <v>1370</v>
      </c>
      <c r="AO173" s="307">
        <f>IF($K137="передача тепловой энергии",_xlfn.SUMIFS('Баланс Тр'!AN$27:AN$50,'Баланс Тр'!$F$27:$F$50,$F173,'Баланс Тр'!$AB$27:$AB$50,"3"),_xlfn.SUMIFS('Баланс Пр'!AN$27:AN$233,'Баланс Пр'!$F$27:$F$233,$F173,'Баланс Пр'!$AB$27:$AB$233,"9.1"))</f>
        <v>1370</v>
      </c>
      <c r="AP173" s="307">
        <f>IF($K137="передача тепловой энергии",_xlfn.SUMIFS('Баланс Тр'!AO$27:AO$50,'Баланс Тр'!$F$27:$F$50,$F173,'Баланс Тр'!$AB$27:$AB$50,"3"),_xlfn.SUMIFS('Баланс Пр'!AO$27:AO$233,'Баланс Пр'!$F$27:$F$233,$F173,'Баланс Пр'!$AB$27:$AB$233,"9.1"))</f>
        <v>1370</v>
      </c>
      <c r="AQ173" s="307">
        <f>IF($K137="передача тепловой энергии",_xlfn.SUMIFS('Баланс Тр'!AP$27:AP$50,'Баланс Тр'!$F$27:$F$50,$F173,'Баланс Тр'!$AB$27:$AB$50,"3"),_xlfn.SUMIFS('Баланс Пр'!AP$27:AP$233,'Баланс Пр'!$F$27:$F$233,$F173,'Баланс Пр'!$AB$27:$AB$233,"9.1"))</f>
        <v>1370</v>
      </c>
      <c r="AR173" s="307">
        <f>IF($K137="передача тепловой энергии",_xlfn.SUMIFS('Баланс Тр'!AQ$27:AQ$50,'Баланс Тр'!$F$27:$F$50,$F173,'Баланс Тр'!$AB$27:$AB$50,"3"),_xlfn.SUMIFS('Баланс Пр'!AQ$27:AQ$233,'Баланс Пр'!$F$27:$F$233,$F173,'Баланс Пр'!$AB$27:$AB$233,"9.1"))</f>
        <v>1370</v>
      </c>
      <c r="AS173" s="307">
        <f>IF($K137="передача тепловой энергии",_xlfn.SUMIFS('Баланс Тр'!AR$27:AR$50,'Баланс Тр'!$F$27:$F$50,$F173,'Баланс Тр'!$AB$27:$AB$50,"3"),_xlfn.SUMIFS('Баланс Пр'!AR$27:AR$233,'Баланс Пр'!$F$27:$F$233,$F173,'Баланс Пр'!$AB$27:$AB$233,"9.1"))</f>
        <v>1370</v>
      </c>
      <c r="AT173" s="307">
        <f>IF($K137="передача тепловой энергии",_xlfn.SUMIFS('Баланс Тр'!AS$27:AS$50,'Баланс Тр'!$F$27:$F$50,$F173,'Баланс Тр'!$AB$27:$AB$50,"3"),_xlfn.SUMIFS('Баланс Пр'!AS$27:AS$233,'Баланс Пр'!$F$27:$F$233,$F173,'Баланс Пр'!$AB$27:$AB$233,"9.1"))</f>
        <v>1370</v>
      </c>
      <c r="AU173" s="307">
        <f>IF($K137="передача тепловой энергии",_xlfn.SUMIFS('Баланс Тр'!AT$27:AT$50,'Баланс Тр'!$F$27:$F$50,$F173,'Баланс Тр'!$AB$27:$AB$50,"3"),_xlfn.SUMIFS('Баланс Пр'!AT$27:AT$233,'Баланс Пр'!$F$27:$F$233,$F173,'Баланс Пр'!$AB$27:$AB$233,"9.1"))</f>
        <v>1370</v>
      </c>
      <c r="AV173" s="307">
        <f>IF($K137="передача тепловой энергии",_xlfn.SUMIFS('Баланс Тр'!AU$27:AU$50,'Баланс Тр'!$F$27:$F$50,$F173,'Баланс Тр'!$AB$27:$AB$50,"3"),_xlfn.SUMIFS('Баланс Пр'!AU$27:AU$233,'Баланс Пр'!$F$27:$F$233,$F173,'Баланс Пр'!$AB$27:$AB$233,"9.1"))</f>
        <v>1370</v>
      </c>
      <c r="AW173" s="307">
        <f>IF($K137="передача тепловой энергии",_xlfn.SUMIFS('Баланс Тр'!AV$27:AV$50,'Баланс Тр'!$F$27:$F$50,$F173,'Баланс Тр'!$AB$27:$AB$50,"3"),_xlfn.SUMIFS('Баланс Пр'!AV$27:AV$233,'Баланс Пр'!$F$27:$F$233,$F173,'Баланс Пр'!$AB$27:$AB$233,"9.1"))</f>
        <v>1370</v>
      </c>
      <c r="AX173" s="307">
        <f>IF($K137="передача тепловой энергии",_xlfn.SUMIFS('Баланс Тр'!AW$27:AW$50,'Баланс Тр'!$F$27:$F$50,$F173,'Баланс Тр'!$AB$27:$AB$50,"3"),_xlfn.SUMIFS('Баланс Пр'!AW$27:AW$233,'Баланс Пр'!$F$27:$F$233,$F173,'Баланс Пр'!$AB$27:$AB$233,"9.1"))</f>
        <v>1370</v>
      </c>
      <c r="AY173" s="307">
        <f>IF($K137="передача тепловой энергии",_xlfn.SUMIFS('Баланс Тр'!AX$27:AX$50,'Баланс Тр'!$F$27:$F$50,$F173,'Баланс Тр'!$AB$27:$AB$50,"3"),_xlfn.SUMIFS('Баланс Пр'!AX$27:AX$233,'Баланс Пр'!$F$27:$F$233,$F173,'Баланс Пр'!$AB$27:$AB$233,"9.1"))</f>
        <v>0</v>
      </c>
      <c r="AZ173" s="307">
        <f>IF($K137="передача тепловой энергии",_xlfn.SUMIFS('Баланс Тр'!AY$27:AY$50,'Баланс Тр'!$F$27:$F$50,$F173,'Баланс Тр'!$AB$27:$AB$50,"3"),_xlfn.SUMIFS('Баланс Пр'!AY$27:AY$233,'Баланс Пр'!$F$27:$F$233,$F173,'Баланс Пр'!$AB$27:$AB$233,"9.1"))</f>
        <v>0</v>
      </c>
      <c r="BA173" s="307">
        <f>IF($K137="передача тепловой энергии",_xlfn.SUMIFS('Баланс Тр'!AZ$27:AZ$50,'Баланс Тр'!$F$27:$F$50,$F173,'Баланс Тр'!$AB$27:$AB$50,"3"),_xlfn.SUMIFS('Баланс Пр'!AZ$27:AZ$233,'Баланс Пр'!$F$27:$F$233,$F173,'Баланс Пр'!$AB$27:$AB$233,"9.1"))</f>
        <v>0</v>
      </c>
      <c r="BB173" s="307">
        <f>IF($K137="передача тепловой энергии",_xlfn.SUMIFS('Баланс Тр'!BA$27:BA$50,'Баланс Тр'!$F$27:$F$50,$F173,'Баланс Тр'!$AB$27:$AB$50,"3"),_xlfn.SUMIFS('Баланс Пр'!BA$27:BA$233,'Баланс Пр'!$F$27:$F$233,$F173,'Баланс Пр'!$AB$27:$AB$233,"9.1"))</f>
        <v>0</v>
      </c>
      <c r="BC173" s="307">
        <f>IF($K137="передача тепловой энергии",_xlfn.SUMIFS('Баланс Тр'!BB$27:BB$50,'Баланс Тр'!$F$27:$F$50,$F173,'Баланс Тр'!$AB$27:$AB$50,"3"),_xlfn.SUMIFS('Баланс Пр'!BB$27:BB$233,'Баланс Пр'!$F$27:$F$233,$F173,'Баланс Пр'!$AB$27:$AB$233,"9.1"))</f>
        <v>0</v>
      </c>
      <c r="BD173" s="663"/>
      <c r="BE173" s="663"/>
      <c r="BF173" s="663"/>
      <c r="BG173" s="663"/>
      <c r="BH173" s="663"/>
      <c r="BI173" s="663"/>
      <c r="BJ173" s="663"/>
      <c r="BK173" s="663"/>
      <c r="BL173" s="663"/>
      <c r="BM173" s="663"/>
      <c r="BN173" s="1730"/>
      <c r="BO173" s="1730"/>
      <c r="BP173" s="1730"/>
      <c r="BQ173" s="227"/>
      <c r="BR173" s="227"/>
      <c r="BS173" s="1232" t="s">
        <v>1720</v>
      </c>
      <c r="BT173" s="1232"/>
      <c r="BU173" s="1232"/>
      <c r="BV173" s="1233"/>
      <c r="BW173" s="1233"/>
      <c r="BX173" s="1268" cm="1" t="str">
        <f t="array" ref="BX173:BX173">D173&amp;"::"&amp;IF(N173&lt;&gt;"",N173,"Неопределено")&amp;"::"&amp;IF(M173&lt;&gt;"",M173,"Неопределено")&amp;"::"&amp;IF(O173&lt;&gt;"",O173,"Неопределено")&amp;"::"&amp;IF(P173&lt;&gt;"",P173,"Неопределено")&amp;"::"&amp;IF(Q173&lt;&gt;"",Q173,"Неопределено")&amp;"::"&amp;IF(R173&lt;&gt;"",R173,"Неопределено")</f>
        <v>M10502::ТЭ.42.26824396.0005::Неопределено::Неопределено::Неопределено::Неопределено::Неопределено</v>
      </c>
    </row>
    <row s="1619" customFormat="1" customHeight="1" ht="14.25">
      <c r="A174" s="225"/>
      <c r="B174" s="924"/>
      <c r="C174" s="1298" t="s">
        <v>1721</v>
      </c>
      <c r="D174" s="1257" t="s">
        <v>1722</v>
      </c>
      <c r="E174" s="794">
        <v>15</v>
      </c>
      <c r="F174" s="919" cm="1" t="str">
        <f t="array" ref="F174:F174">OFFSET(G174,-1,-1)</f>
        <v>2</v>
      </c>
      <c r="G174" s="190" t="s">
        <v>1723</v>
      </c>
      <c r="H174" s="227"/>
      <c r="I174" s="227"/>
      <c r="J174" s="227"/>
      <c r="K174" s="227"/>
      <c r="L174" s="190"/>
      <c r="M174" s="1281"/>
      <c r="N174" s="1281" cm="1" t="str">
        <f t="array" ref="N174:N174">OFFSET(M174,-1,1)</f>
        <v>ТЭ.42.26824396.0005</v>
      </c>
      <c r="O174" s="1282" t="s">
        <v>1724</v>
      </c>
      <c r="P174" s="1282"/>
      <c r="Q174" s="1282"/>
      <c r="R174" s="1282"/>
      <c r="S174" s="1619"/>
      <c r="T174" s="805" cm="1" t="str">
        <f t="array" ref="T174:T174">T173</f>
        <v>true</v>
      </c>
      <c r="U174" s="1461"/>
      <c r="V174" s="1461"/>
      <c r="W174" s="1461"/>
      <c r="X174" s="1461"/>
      <c r="Y174" s="1461"/>
      <c r="Z174" s="1461"/>
      <c r="AA174" s="227"/>
      <c r="AB174" s="660" t="str">
        <f>AB173&amp;".1"</f>
        <v>15.1</v>
      </c>
      <c r="AC174" s="286" t="s">
        <v>1725</v>
      </c>
      <c r="AD174" s="309" t="s">
        <v>591</v>
      </c>
      <c r="AE174" s="1903"/>
      <c r="AF174" s="613"/>
      <c r="AG174" s="613"/>
      <c r="AH174" s="613"/>
      <c r="AI174" s="1903"/>
      <c r="AJ174" s="614">
        <v>1024</v>
      </c>
      <c r="AK174" s="614">
        <v>1024</v>
      </c>
      <c r="AL174" s="614">
        <v>1024</v>
      </c>
      <c r="AM174" s="614">
        <v>1024</v>
      </c>
      <c r="AN174" s="614">
        <v>1024</v>
      </c>
      <c r="AO174" s="1903">
        <v>1024</v>
      </c>
      <c r="AP174" s="1903">
        <v>1024</v>
      </c>
      <c r="AQ174" s="1903">
        <v>1024</v>
      </c>
      <c r="AR174" s="1903">
        <v>1024</v>
      </c>
      <c r="AS174" s="1903">
        <v>1024</v>
      </c>
      <c r="AT174" s="614">
        <v>1024</v>
      </c>
      <c r="AU174" s="614">
        <v>1024</v>
      </c>
      <c r="AV174" s="614">
        <v>1024</v>
      </c>
      <c r="AW174" s="614">
        <v>1024</v>
      </c>
      <c r="AX174" s="614">
        <v>1024</v>
      </c>
      <c r="AY174" s="1903"/>
      <c r="AZ174" s="1903"/>
      <c r="BA174" s="1903"/>
      <c r="BB174" s="1903"/>
      <c r="BC174" s="1903"/>
      <c r="BD174" s="374"/>
      <c r="BE174" s="374"/>
      <c r="BF174" s="374"/>
      <c r="BG174" s="374"/>
      <c r="BH174" s="374"/>
      <c r="BI174" s="374"/>
      <c r="BJ174" s="374"/>
      <c r="BK174" s="374"/>
      <c r="BL174" s="374"/>
      <c r="BM174" s="374"/>
      <c r="BN174" s="1730"/>
      <c r="BO174" s="1730"/>
      <c r="BP174" s="1730"/>
      <c r="BQ174" s="227"/>
      <c r="BR174" s="227"/>
      <c r="BS174" s="1232" t="s">
        <v>1726</v>
      </c>
      <c r="BT174" s="1232"/>
      <c r="BU174" s="1232"/>
      <c r="BV174" s="1233"/>
      <c r="BW174" s="1233"/>
      <c r="BX174" s="1268" cm="1" t="str">
        <f t="array" ref="BX174:BX174">D174&amp;"::"&amp;IF(N174&lt;&gt;"",N174,"Неопределено")&amp;"::"&amp;IF(M174&lt;&gt;"",M174,"Неопределено")&amp;"::"&amp;IF(O174&lt;&gt;"",O174,"Неопределено")&amp;"::"&amp;IF(P174&lt;&gt;"",P174,"Неопределено")&amp;"::"&amp;IF(Q174&lt;&gt;"",Q174,"Неопределено")&amp;"::"&amp;IF(R174&lt;&gt;"",R174,"Неопределено")</f>
        <v>M10670::ТЭ.42.26824396.0005::Неопределено::8.0.3.::Неопределено::Неопределено::Неопределено</v>
      </c>
    </row>
    <row s="1619" customFormat="1" customHeight="1" ht="14.25">
      <c r="A175" s="225"/>
      <c r="B175" s="924"/>
      <c r="C175" s="1298" t="s">
        <v>1727</v>
      </c>
      <c r="D175" s="1257" t="s">
        <v>1728</v>
      </c>
      <c r="E175" s="794">
        <v>15</v>
      </c>
      <c r="F175" s="919" cm="1" t="str">
        <f t="array" ref="F175:F175">OFFSET(G175,-1,-1)</f>
        <v>2</v>
      </c>
      <c r="G175" s="190" t="s">
        <v>1729</v>
      </c>
      <c r="H175" s="227"/>
      <c r="I175" s="227"/>
      <c r="J175" s="227"/>
      <c r="K175" s="227"/>
      <c r="L175" s="190"/>
      <c r="M175" s="1281"/>
      <c r="N175" s="1281" cm="1" t="str">
        <f t="array" ref="N175:N175">OFFSET(M175,-1,1)</f>
        <v>ТЭ.42.26824396.0005</v>
      </c>
      <c r="O175" s="1282" t="s">
        <v>1724</v>
      </c>
      <c r="P175" s="1282"/>
      <c r="Q175" s="1282"/>
      <c r="R175" s="1282"/>
      <c r="S175" s="1619"/>
      <c r="T175" s="805" cm="1" t="str">
        <f t="array" ref="T175:T175">T174</f>
        <v>true</v>
      </c>
      <c r="U175" s="1461"/>
      <c r="V175" s="1461"/>
      <c r="W175" s="1461"/>
      <c r="X175" s="1461"/>
      <c r="Y175" s="1461"/>
      <c r="Z175" s="1461"/>
      <c r="AA175" s="227"/>
      <c r="AB175" s="660" t="str">
        <f>AB173&amp;".2"</f>
        <v>15.2</v>
      </c>
      <c r="AC175" s="286" t="s">
        <v>1730</v>
      </c>
      <c r="AD175" s="309" t="s">
        <v>895</v>
      </c>
      <c r="AE175" s="1903"/>
      <c r="AF175" s="613"/>
      <c r="AG175" s="613"/>
      <c r="AH175" s="613"/>
      <c r="AI175" s="1903">
        <f>MIN(AE177,AI179)</f>
        <v>0</v>
      </c>
      <c r="AJ175" s="614">
        <v>2935.33</v>
      </c>
      <c r="AK175" s="614">
        <f>MIN(AJ177,AK179)</f>
        <v>6917.15036615474</v>
      </c>
      <c r="AL175" s="614">
        <f>MIN(AK177,AL179)</f>
        <v>6917.15036615477</v>
      </c>
      <c r="AM175" s="614">
        <f>MIN(AL177,AM179)</f>
        <v>7342.58281529993</v>
      </c>
      <c r="AN175" s="614">
        <f>MIN(AM177,AN179)</f>
        <v>7342.58281529991</v>
      </c>
      <c r="AO175" s="1903">
        <f>MIN(AN177,AO179)</f>
        <v>2400.45285593701</v>
      </c>
      <c r="AP175" s="1903">
        <f>MIN(AO177,AP179)</f>
        <v>2376.44832737764</v>
      </c>
      <c r="AQ175" s="1903">
        <f>MIN(AP177,AQ179)</f>
        <v>2352.68384410387</v>
      </c>
      <c r="AR175" s="1903">
        <f>MIN(AQ177,AR179)</f>
        <v>2329.15700566283</v>
      </c>
      <c r="AS175" s="1903">
        <f>MIN(AR177,AS179)</f>
        <v>2305.8654356062</v>
      </c>
      <c r="AT175" s="614">
        <v>2935.33</v>
      </c>
      <c r="AU175" s="614">
        <f>MIN(AT177,AU179)</f>
        <v>3228.86728754133</v>
      </c>
      <c r="AV175" s="614">
        <f>MIN(AU177,AV179)</f>
        <v>4827.99161324375</v>
      </c>
      <c r="AW175" s="614">
        <f>MIN(AV177,AW179)</f>
        <v>4827.99161324376</v>
      </c>
      <c r="AX175" s="614">
        <f>MIN(AW177,AX179)</f>
        <v>5115.44438620049</v>
      </c>
      <c r="AY175" s="1903">
        <f>MIN(AX177,AY179)</f>
        <v>0</v>
      </c>
      <c r="AZ175" s="1903">
        <f>MIN(AY177,AZ179)</f>
        <v>0</v>
      </c>
      <c r="BA175" s="1903">
        <f>MIN(AZ177,BA179)</f>
        <v>0</v>
      </c>
      <c r="BB175" s="1903">
        <f>MIN(BA177,BB179)</f>
        <v>0</v>
      </c>
      <c r="BC175" s="1903">
        <f>MIN(BB177,BC179)</f>
        <v>0</v>
      </c>
      <c r="BD175" s="374"/>
      <c r="BE175" s="374"/>
      <c r="BF175" s="374"/>
      <c r="BG175" s="374"/>
      <c r="BH175" s="374"/>
      <c r="BI175" s="374"/>
      <c r="BJ175" s="374"/>
      <c r="BK175" s="374"/>
      <c r="BL175" s="374"/>
      <c r="BM175" s="374"/>
      <c r="BN175" s="1730"/>
      <c r="BO175" s="1730"/>
      <c r="BP175" s="1730"/>
      <c r="BQ175" s="227"/>
      <c r="BR175" s="227"/>
      <c r="BS175" s="1232" t="s">
        <v>1731</v>
      </c>
      <c r="BT175" s="1232"/>
      <c r="BU175" s="1232"/>
      <c r="BV175" s="1233"/>
      <c r="BW175" s="1233"/>
      <c r="BX175" s="1268" cm="1" t="str">
        <f t="array" ref="BX175:BX175">D175&amp;"::"&amp;IF(N175&lt;&gt;"",N175,"Неопределено")&amp;"::"&amp;IF(M175&lt;&gt;"",M175,"Неопределено")&amp;"::"&amp;IF(O175&lt;&gt;"",O175,"Неопределено")&amp;"::"&amp;IF(P175&lt;&gt;"",P175,"Неопределено")&amp;"::"&amp;IF(Q175&lt;&gt;"",Q175,"Неопределено")&amp;"::"&amp;IF(R175&lt;&gt;"",R175,"Неопределено")</f>
        <v>M10546::ТЭ.42.26824396.0005::Неопределено::8.0.3.::Неопределено::Неопределено::Неопределено</v>
      </c>
    </row>
    <row s="1619" customFormat="1" customHeight="1" ht="14.25">
      <c r="A176" s="225"/>
      <c r="B176" s="924"/>
      <c r="C176" s="1298" t="s">
        <v>1721</v>
      </c>
      <c r="D176" s="1257" t="s">
        <v>1722</v>
      </c>
      <c r="E176" s="794">
        <v>15</v>
      </c>
      <c r="F176" s="919" cm="1" t="str">
        <f t="array" ref="F176:F176">OFFSET(G176,-1,-1)</f>
        <v>2</v>
      </c>
      <c r="G176" s="190" t="s">
        <v>1732</v>
      </c>
      <c r="H176" s="227"/>
      <c r="I176" s="227"/>
      <c r="J176" s="227"/>
      <c r="K176" s="227"/>
      <c r="L176" s="190"/>
      <c r="M176" s="1281"/>
      <c r="N176" s="1281" cm="1" t="str">
        <f t="array" ref="N176:N176">OFFSET(M176,-1,1)</f>
        <v>ТЭ.42.26824396.0005</v>
      </c>
      <c r="O176" s="1282" t="s">
        <v>1733</v>
      </c>
      <c r="P176" s="1282"/>
      <c r="Q176" s="1282"/>
      <c r="R176" s="1282"/>
      <c r="S176" s="1619"/>
      <c r="T176" s="805" cm="1" t="str">
        <f t="array" ref="T176:T176">T175</f>
        <v>true</v>
      </c>
      <c r="U176" s="1461"/>
      <c r="V176" s="1461"/>
      <c r="W176" s="1461"/>
      <c r="X176" s="1461"/>
      <c r="Y176" s="1461"/>
      <c r="Z176" s="1461"/>
      <c r="AA176" s="227"/>
      <c r="AB176" s="660" t="str">
        <f>AB173&amp;".3"</f>
        <v>15.3</v>
      </c>
      <c r="AC176" s="286" t="s">
        <v>1734</v>
      </c>
      <c r="AD176" s="309" t="s">
        <v>591</v>
      </c>
      <c r="AE176" s="612">
        <f>AE173-AE174</f>
        <v>0</v>
      </c>
      <c r="AF176" s="613"/>
      <c r="AG176" s="613"/>
      <c r="AH176" s="613"/>
      <c r="AI176" s="612">
        <f>AI173-AI174</f>
        <v>0</v>
      </c>
      <c r="AJ176" s="612">
        <f>AJ173-AJ174</f>
        <v>346</v>
      </c>
      <c r="AK176" s="612">
        <f>AK173-AK174</f>
        <v>346</v>
      </c>
      <c r="AL176" s="612">
        <f>AL173-AL174</f>
        <v>346</v>
      </c>
      <c r="AM176" s="612">
        <f>AM173-AM174</f>
        <v>346</v>
      </c>
      <c r="AN176" s="612">
        <f>AN173-AN174</f>
        <v>346</v>
      </c>
      <c r="AO176" s="612">
        <f>AO173-AO174</f>
        <v>346</v>
      </c>
      <c r="AP176" s="612">
        <f>AP173-AP174</f>
        <v>346</v>
      </c>
      <c r="AQ176" s="612">
        <f>AQ173-AQ174</f>
        <v>346</v>
      </c>
      <c r="AR176" s="612">
        <f>AR173-AR174</f>
        <v>346</v>
      </c>
      <c r="AS176" s="612">
        <f>AS173-AS174</f>
        <v>346</v>
      </c>
      <c r="AT176" s="612">
        <f>AT173-AT174</f>
        <v>346</v>
      </c>
      <c r="AU176" s="612">
        <f>AU173-AU174</f>
        <v>346</v>
      </c>
      <c r="AV176" s="612">
        <f>AV173-AV174</f>
        <v>346</v>
      </c>
      <c r="AW176" s="612">
        <f>AW173-AW174</f>
        <v>346</v>
      </c>
      <c r="AX176" s="612">
        <f>AX173-AX174</f>
        <v>346</v>
      </c>
      <c r="AY176" s="612">
        <f>AY173-AY174</f>
        <v>0</v>
      </c>
      <c r="AZ176" s="612">
        <f>AZ173-AZ174</f>
        <v>0</v>
      </c>
      <c r="BA176" s="612">
        <f>BA173-BA174</f>
        <v>0</v>
      </c>
      <c r="BB176" s="612">
        <f>BB173-BB174</f>
        <v>0</v>
      </c>
      <c r="BC176" s="612">
        <f>BC173-BC174</f>
        <v>0</v>
      </c>
      <c r="BD176" s="374"/>
      <c r="BE176" s="374"/>
      <c r="BF176" s="374"/>
      <c r="BG176" s="374"/>
      <c r="BH176" s="374"/>
      <c r="BI176" s="374"/>
      <c r="BJ176" s="374"/>
      <c r="BK176" s="374"/>
      <c r="BL176" s="374"/>
      <c r="BM176" s="374"/>
      <c r="BN176" s="1730"/>
      <c r="BO176" s="1730"/>
      <c r="BP176" s="1730"/>
      <c r="BQ176" s="227"/>
      <c r="BR176" s="227"/>
      <c r="BS176" s="1232" t="s">
        <v>1735</v>
      </c>
      <c r="BT176" s="1232"/>
      <c r="BU176" s="1232"/>
      <c r="BV176" s="1233"/>
      <c r="BW176" s="1233"/>
      <c r="BX176" s="1268" cm="1" t="str">
        <f t="array" ref="BX176:BX176">D176&amp;"::"&amp;IF(N176&lt;&gt;"",N176,"Неопределено")&amp;"::"&amp;IF(M176&lt;&gt;"",M176,"Неопределено")&amp;"::"&amp;IF(O176&lt;&gt;"",O176,"Неопределено")&amp;"::"&amp;IF(P176&lt;&gt;"",P176,"Неопределено")&amp;"::"&amp;IF(Q176&lt;&gt;"",Q176,"Неопределено")&amp;"::"&amp;IF(R176&lt;&gt;"",R176,"Неопределено")</f>
        <v>M10670::ТЭ.42.26824396.0005::Неопределено::8.0.5.::Неопределено::Неопределено::Неопределено</v>
      </c>
    </row>
    <row s="1619" customFormat="1" customHeight="1" ht="14.25">
      <c r="A177" s="225"/>
      <c r="B177" s="924"/>
      <c r="C177" s="1298" t="s">
        <v>1727</v>
      </c>
      <c r="D177" s="1257" t="s">
        <v>1728</v>
      </c>
      <c r="E177" s="794">
        <v>15</v>
      </c>
      <c r="F177" s="919" cm="1" t="str">
        <f t="array" ref="F177:F177">OFFSET(G177,-1,-1)</f>
        <v>2</v>
      </c>
      <c r="G177" s="190" t="s">
        <v>1736</v>
      </c>
      <c r="H177" s="227"/>
      <c r="I177" s="227"/>
      <c r="J177" s="227"/>
      <c r="K177" s="227"/>
      <c r="L177" s="190"/>
      <c r="M177" s="1281"/>
      <c r="N177" s="1281" cm="1" t="str">
        <f t="array" ref="N177:N177">OFFSET(M177,-1,1)</f>
        <v>ТЭ.42.26824396.0005</v>
      </c>
      <c r="O177" s="1282" t="s">
        <v>1733</v>
      </c>
      <c r="P177" s="1282"/>
      <c r="Q177" s="1282"/>
      <c r="R177" s="1282"/>
      <c r="S177" s="1619"/>
      <c r="T177" s="805" cm="1" t="str">
        <f t="array" ref="T177:T177">T176</f>
        <v>true</v>
      </c>
      <c r="U177" s="1461"/>
      <c r="V177" s="1461"/>
      <c r="W177" s="1461"/>
      <c r="X177" s="1461"/>
      <c r="Y177" s="1461"/>
      <c r="Z177" s="1461"/>
      <c r="AA177" s="227"/>
      <c r="AB177" s="660" t="str">
        <f>AB173&amp;".4"</f>
        <v>15.4</v>
      </c>
      <c r="AC177" s="286" t="s">
        <v>1737</v>
      </c>
      <c r="AD177" s="309" t="s">
        <v>895</v>
      </c>
      <c r="AE177" s="1903"/>
      <c r="AF177" s="613"/>
      <c r="AG177" s="613"/>
      <c r="AH177" s="613"/>
      <c r="AI177" s="1903"/>
      <c r="AJ177" s="614">
        <v>12629.95</v>
      </c>
      <c r="AK177" s="614">
        <f>_xlfn.IFERROR((AK170*1000-AK174*AK175)/AK176,0)</f>
        <v>6917.15036615477</v>
      </c>
      <c r="AL177" s="614">
        <f>_xlfn.IFERROR((AL170*1000-AL174*AL175)/AL176,0)</f>
        <v>7804.68979974401</v>
      </c>
      <c r="AM177" s="614">
        <f>_xlfn.IFERROR((AM170*1000-AM174*AM175)/AM176,0)</f>
        <v>7342.58281529991</v>
      </c>
      <c r="AN177" s="614">
        <f>_xlfn.IFERROR((AN170*1000-AN174*AN175)/AN176,0)</f>
        <v>8234.21476379477</v>
      </c>
      <c r="AO177" s="1903">
        <f>_xlfn.IFERROR((AO170*1000-AO174*AO175)/AO176,0)</f>
        <v>2400.45285593702</v>
      </c>
      <c r="AP177" s="1903">
        <f>_xlfn.IFERROR((AP170*1000-AP174*AP175)/AP176,0)</f>
        <v>2376.44832737766</v>
      </c>
      <c r="AQ177" s="1903">
        <f>_xlfn.IFERROR((AQ170*1000-AQ174*AQ175)/AQ176,0)</f>
        <v>2352.68384410387</v>
      </c>
      <c r="AR177" s="1903">
        <f>_xlfn.IFERROR((AR170*1000-AR174*AR175)/AR176,0)</f>
        <v>2329.15700566283</v>
      </c>
      <c r="AS177" s="1903">
        <f>_xlfn.IFERROR((AS170*1000-AS174*AS175)/AS176,0)</f>
        <v>2305.86543560621</v>
      </c>
      <c r="AT177" s="614">
        <f>_xlfn.IFERROR((AT170*1000-AT174*AT175)/AT176,0)</f>
        <v>3228.86728754133</v>
      </c>
      <c r="AU177" s="614">
        <f>_xlfn.IFERROR((AU170*1000-AU174*AU175)/AU176,0)</f>
        <v>10057.1944070982</v>
      </c>
      <c r="AV177" s="614">
        <f>_xlfn.IFERROR((AV170*1000-AV174*AV175)/AV176,0)</f>
        <v>4827.99161324376</v>
      </c>
      <c r="AW177" s="614">
        <f>_xlfn.IFERROR((AW170*1000-AW174*AW175)/AW176,0)</f>
        <v>5393.39504678196</v>
      </c>
      <c r="AX177" s="614">
        <f>_xlfn.IFERROR((AX170*1000-AX174*AX175)/AX176,0)</f>
        <v>5115.44438620049</v>
      </c>
      <c r="AY177" s="1903">
        <f>_xlfn.IFERROR((AY170*1000-AY174*AY175)/AY176,0)</f>
        <v>0</v>
      </c>
      <c r="AZ177" s="1903">
        <f>_xlfn.IFERROR((AZ170*1000-AZ174*AZ175)/AZ176,0)</f>
        <v>0</v>
      </c>
      <c r="BA177" s="1903">
        <f>_xlfn.IFERROR((BA170*1000-BA174*BA175)/BA176,0)</f>
        <v>0</v>
      </c>
      <c r="BB177" s="1903">
        <f>_xlfn.IFERROR((BB170*1000-BB174*BB175)/BB176,0)</f>
        <v>0</v>
      </c>
      <c r="BC177" s="1903">
        <f>_xlfn.IFERROR((BC170*1000-BC174*BC175)/BC176,0)</f>
        <v>0</v>
      </c>
      <c r="BD177" s="374"/>
      <c r="BE177" s="374"/>
      <c r="BF177" s="374"/>
      <c r="BG177" s="374"/>
      <c r="BH177" s="374"/>
      <c r="BI177" s="374"/>
      <c r="BJ177" s="374"/>
      <c r="BK177" s="374"/>
      <c r="BL177" s="374"/>
      <c r="BM177" s="374"/>
      <c r="BN177" s="1730"/>
      <c r="BO177" s="1730"/>
      <c r="BP177" s="1730"/>
      <c r="BQ177" s="227"/>
      <c r="BR177" s="227"/>
      <c r="BS177" s="1232" t="s">
        <v>1738</v>
      </c>
      <c r="BT177" s="1232"/>
      <c r="BU177" s="1232"/>
      <c r="BV177" s="1233"/>
      <c r="BW177" s="1233"/>
      <c r="BX177" s="1268" cm="1" t="str">
        <f t="array" ref="BX177:BX177">D177&amp;"::"&amp;IF(N177&lt;&gt;"",N177,"Неопределено")&amp;"::"&amp;IF(M177&lt;&gt;"",M177,"Неопределено")&amp;"::"&amp;IF(O177&lt;&gt;"",O177,"Неопределено")&amp;"::"&amp;IF(P177&lt;&gt;"",P177,"Неопределено")&amp;"::"&amp;IF(Q177&lt;&gt;"",Q177,"Неопределено")&amp;"::"&amp;IF(R177&lt;&gt;"",R177,"Неопределено")</f>
        <v>M10546::ТЭ.42.26824396.0005::Неопределено::8.0.5.::Неопределено::Неопределено::Неопределено</v>
      </c>
    </row>
    <row s="1619" customFormat="1" customHeight="1" ht="14.25">
      <c r="A178" s="225"/>
      <c r="B178" s="924"/>
      <c r="C178" s="1298" t="s">
        <v>1739</v>
      </c>
      <c r="D178" s="1257" t="s">
        <v>1740</v>
      </c>
      <c r="E178" s="794">
        <v>15</v>
      </c>
      <c r="F178" s="919" cm="1" t="str">
        <f t="array" ref="F178:F178">OFFSET(G178,-1,-1)</f>
        <v>2</v>
      </c>
      <c r="G178" s="227"/>
      <c r="H178" s="227"/>
      <c r="I178" s="227"/>
      <c r="J178" s="227"/>
      <c r="K178" s="227"/>
      <c r="L178" s="190"/>
      <c r="M178" s="1281"/>
      <c r="N178" s="1281" cm="1" t="str">
        <f t="array" ref="N178:N178">OFFSET(M178,-1,1)</f>
        <v>ТЭ.42.26824396.0005</v>
      </c>
      <c r="O178" s="1282"/>
      <c r="P178" s="1282"/>
      <c r="Q178" s="1282"/>
      <c r="R178" s="1282"/>
      <c r="S178" s="1619"/>
      <c r="T178" s="805" cm="1" t="str">
        <f t="array" ref="T178:T178">T177</f>
        <v>true</v>
      </c>
      <c r="U178" s="1461"/>
      <c r="V178" s="1461"/>
      <c r="W178" s="1461"/>
      <c r="X178" s="1461"/>
      <c r="Y178" s="1461"/>
      <c r="Z178" s="1461"/>
      <c r="AA178" s="227"/>
      <c r="AB178" s="660" t="str">
        <f>AB173&amp;".5"</f>
        <v>15.5</v>
      </c>
      <c r="AC178" s="312" t="s">
        <v>1741</v>
      </c>
      <c r="AD178" s="309" t="s">
        <v>490</v>
      </c>
      <c r="AE178" s="662">
        <f>_xlfn.IFERROR(AE177/AE175,0)</f>
        <v>0</v>
      </c>
      <c r="AF178" s="613"/>
      <c r="AG178" s="613"/>
      <c r="AH178" s="613"/>
      <c r="AI178" s="662">
        <f>_xlfn.IFERROR(AI177/AI175,0)</f>
        <v>0</v>
      </c>
      <c r="AJ178" s="662">
        <f>_xlfn.IFERROR(AJ177/AJ175,0)</f>
        <v>4.30273597857822</v>
      </c>
      <c r="AK178" s="662">
        <f>_xlfn.IFERROR(AK177/AK175,0)</f>
        <v>1</v>
      </c>
      <c r="AL178" s="662">
        <f>_xlfn.IFERROR(AL177/AL175,0)</f>
        <v>1.12830998122174</v>
      </c>
      <c r="AM178" s="662">
        <f>_xlfn.IFERROR(AM177/AM175,0)</f>
        <v>1</v>
      </c>
      <c r="AN178" s="662">
        <f>_xlfn.IFERROR(AN177/AN175,0)</f>
        <v>1.12143301218707</v>
      </c>
      <c r="AO178" s="662">
        <f>_xlfn.IFERROR(AO177/AO175,0)</f>
        <v>1</v>
      </c>
      <c r="AP178" s="662">
        <f>_xlfn.IFERROR(AP177/AP175,0)</f>
        <v>1</v>
      </c>
      <c r="AQ178" s="662">
        <f>_xlfn.IFERROR(AQ177/AQ175,0)</f>
        <v>1</v>
      </c>
      <c r="AR178" s="662">
        <f>_xlfn.IFERROR(AR177/AR175,0)</f>
        <v>1</v>
      </c>
      <c r="AS178" s="662">
        <f>_xlfn.IFERROR(AS177/AS175,0)</f>
        <v>1</v>
      </c>
      <c r="AT178" s="662">
        <f>_xlfn.IFERROR(AT177/AT175,0)</f>
        <v>1.10000146066757</v>
      </c>
      <c r="AU178" s="662">
        <f>_xlfn.IFERROR(AU177/AU175,0)</f>
        <v>3.11477478368472</v>
      </c>
      <c r="AV178" s="662">
        <f>_xlfn.IFERROR(AV177/AV175,0)</f>
        <v>1</v>
      </c>
      <c r="AW178" s="662">
        <f>_xlfn.IFERROR(AW177/AW175,0)</f>
        <v>1.11710944815795</v>
      </c>
      <c r="AX178" s="662">
        <f>_xlfn.IFERROR(AX177/AX175,0)</f>
        <v>1</v>
      </c>
      <c r="AY178" s="662">
        <f>_xlfn.IFERROR(AY177/AY175,0)</f>
        <v>0</v>
      </c>
      <c r="AZ178" s="662">
        <f>_xlfn.IFERROR(AZ177/AZ175,0)</f>
        <v>0</v>
      </c>
      <c r="BA178" s="662">
        <f>_xlfn.IFERROR(BA177/BA175,0)</f>
        <v>0</v>
      </c>
      <c r="BB178" s="662">
        <f>_xlfn.IFERROR(BB177/BB175,0)</f>
        <v>0</v>
      </c>
      <c r="BC178" s="662">
        <f>_xlfn.IFERROR(BC177/BC175,0)</f>
        <v>0</v>
      </c>
      <c r="BD178" s="374"/>
      <c r="BE178" s="374"/>
      <c r="BF178" s="374"/>
      <c r="BG178" s="374"/>
      <c r="BH178" s="374"/>
      <c r="BI178" s="374"/>
      <c r="BJ178" s="374"/>
      <c r="BK178" s="374"/>
      <c r="BL178" s="374"/>
      <c r="BM178" s="374"/>
      <c r="BN178" s="1730"/>
      <c r="BO178" s="1730"/>
      <c r="BP178" s="1730"/>
      <c r="BQ178" s="227"/>
      <c r="BR178" s="227"/>
      <c r="BS178" s="1232" t="s">
        <v>1742</v>
      </c>
      <c r="BT178" s="1232"/>
      <c r="BU178" s="1232"/>
      <c r="BV178" s="1233"/>
      <c r="BW178" s="1233"/>
      <c r="BX178" s="1268" cm="1" t="str">
        <f t="array" ref="BX178:BX178">D178&amp;"::"&amp;IF(N178&lt;&gt;"",N178,"Неопределено")&amp;"::"&amp;IF(M178&lt;&gt;"",M178,"Неопределено")&amp;"::"&amp;IF(O178&lt;&gt;"",O178,"Неопределено")&amp;"::"&amp;IF(P178&lt;&gt;"",P178,"Неопределено")&amp;"::"&amp;IF(Q178&lt;&gt;"",Q178,"Неопределено")&amp;"::"&amp;IF(R178&lt;&gt;"",R178,"Неопределено")</f>
        <v>M11244::ТЭ.42.26824396.0005::Неопределено::Неопределено::Неопределено::Неопределено::Неопределено</v>
      </c>
    </row>
    <row s="1619" customFormat="1" customHeight="1" ht="14.25">
      <c r="A179" s="225"/>
      <c r="B179" s="924"/>
      <c r="C179" s="1298" t="s">
        <v>1743</v>
      </c>
      <c r="D179" s="1257" t="s">
        <v>1744</v>
      </c>
      <c r="E179" s="794">
        <v>15</v>
      </c>
      <c r="F179" s="919" cm="1" t="str">
        <f t="array" ref="F179:F179">OFFSET(G179,-1,-1)</f>
        <v>2</v>
      </c>
      <c r="G179" s="227"/>
      <c r="H179" s="227"/>
      <c r="I179" s="227"/>
      <c r="J179" s="227"/>
      <c r="K179" s="227"/>
      <c r="L179" s="190"/>
      <c r="M179" s="1281"/>
      <c r="N179" s="1281" cm="1" t="str">
        <f t="array" ref="N179:N179">OFFSET(M179,-1,1)</f>
        <v>ТЭ.42.26824396.0005</v>
      </c>
      <c r="O179" s="1282"/>
      <c r="P179" s="1282"/>
      <c r="Q179" s="1282"/>
      <c r="R179" s="1282"/>
      <c r="S179" s="1619"/>
      <c r="T179" s="805" cm="1" t="str">
        <f t="array" ref="T179:T179">T178</f>
        <v>true</v>
      </c>
      <c r="U179" s="1461"/>
      <c r="V179" s="1461"/>
      <c r="W179" s="1461"/>
      <c r="X179" s="1461"/>
      <c r="Y179" s="1461"/>
      <c r="Z179" s="1461"/>
      <c r="AA179" s="227"/>
      <c r="AB179" s="660" t="str">
        <f>AB173&amp;".6"</f>
        <v>15.6</v>
      </c>
      <c r="AC179" s="312" t="s">
        <v>1745</v>
      </c>
      <c r="AD179" s="309" t="s">
        <v>895</v>
      </c>
      <c r="AE179" s="612">
        <f>_xlfn.IFERROR(AE170*1000/AE173,0)</f>
        <v>0</v>
      </c>
      <c r="AF179" s="613"/>
      <c r="AG179" s="613"/>
      <c r="AH179" s="613"/>
      <c r="AI179" s="612">
        <f>_xlfn.IFERROR(AI170*1000/AI173,0)</f>
        <v>0</v>
      </c>
      <c r="AJ179" s="612">
        <f>_xlfn.IFERROR(AJ170*1000/AJ173,0)</f>
        <v>11082.4816886861</v>
      </c>
      <c r="AK179" s="612">
        <f>_xlfn.IFERROR(AK170*1000/AK173,0)</f>
        <v>6917.15036615474</v>
      </c>
      <c r="AL179" s="612">
        <f>_xlfn.IFERROR(AL170*1000/AL173,0)</f>
        <v>7141.30266106125</v>
      </c>
      <c r="AM179" s="612">
        <f>_xlfn.IFERROR(AM170*1000/AM173,0)</f>
        <v>7342.58281529993</v>
      </c>
      <c r="AN179" s="612">
        <f>_xlfn.IFERROR(AN170*1000/AN173,0)</f>
        <v>7567.76869426285</v>
      </c>
      <c r="AO179" s="612">
        <f>_xlfn.IFERROR(AO170*1000/AO173,0)</f>
        <v>2400.45285593701</v>
      </c>
      <c r="AP179" s="612">
        <f>_xlfn.IFERROR(AP170*1000/AP173,0)</f>
        <v>2376.44832737764</v>
      </c>
      <c r="AQ179" s="612">
        <f>_xlfn.IFERROR(AQ170*1000/AQ173,0)</f>
        <v>2352.68384410387</v>
      </c>
      <c r="AR179" s="612">
        <f>_xlfn.IFERROR(AR170*1000/AR173,0)</f>
        <v>2329.15700566283</v>
      </c>
      <c r="AS179" s="612">
        <f>_xlfn.IFERROR(AS170*1000/AS173,0)</f>
        <v>2305.8654356062</v>
      </c>
      <c r="AT179" s="612">
        <f>_xlfn.IFERROR(AT170*1000/AT173,0)</f>
        <v>3009.46423466372</v>
      </c>
      <c r="AU179" s="612">
        <f>_xlfn.IFERROR(AU170*1000/AU173,0)</f>
        <v>4953.39369875789</v>
      </c>
      <c r="AV179" s="612">
        <f>_xlfn.IFERROR(AV170*1000/AV173,0)</f>
        <v>4827.99161324375</v>
      </c>
      <c r="AW179" s="612">
        <f>_xlfn.IFERROR(AW170*1000/AW173,0)</f>
        <v>4970.78693295487</v>
      </c>
      <c r="AX179" s="612">
        <f>_xlfn.IFERROR(AX170*1000/AX173,0)</f>
        <v>5115.44438620049</v>
      </c>
      <c r="AY179" s="612">
        <f>_xlfn.IFERROR(AY170*1000/AY173,0)</f>
        <v>0</v>
      </c>
      <c r="AZ179" s="612">
        <f>_xlfn.IFERROR(AZ170*1000/AZ173,0)</f>
        <v>0</v>
      </c>
      <c r="BA179" s="612">
        <f>_xlfn.IFERROR(BA170*1000/BA173,0)</f>
        <v>0</v>
      </c>
      <c r="BB179" s="612">
        <f>_xlfn.IFERROR(BB170*1000/BB173,0)</f>
        <v>0</v>
      </c>
      <c r="BC179" s="612">
        <f>_xlfn.IFERROR(BC170*1000/BC173,0)</f>
        <v>0</v>
      </c>
      <c r="BD179" s="374"/>
      <c r="BE179" s="374"/>
      <c r="BF179" s="374"/>
      <c r="BG179" s="374"/>
      <c r="BH179" s="374"/>
      <c r="BI179" s="374"/>
      <c r="BJ179" s="374"/>
      <c r="BK179" s="374"/>
      <c r="BL179" s="374"/>
      <c r="BM179" s="374"/>
      <c r="BN179" s="1730"/>
      <c r="BO179" s="1730"/>
      <c r="BP179" s="1730"/>
      <c r="BQ179" s="227"/>
      <c r="BR179" s="227"/>
      <c r="BS179" s="1232" t="s">
        <v>1746</v>
      </c>
      <c r="BT179" s="1232"/>
      <c r="BU179" s="1232"/>
      <c r="BV179" s="1233"/>
      <c r="BW179" s="1233"/>
      <c r="BX179" s="1268" cm="1" t="str">
        <f t="array" ref="BX179:BX179">D179&amp;"::"&amp;IF(N179&lt;&gt;"",N179,"Неопределено")&amp;"::"&amp;IF(M179&lt;&gt;"",M179,"Неопределено")&amp;"::"&amp;IF(O179&lt;&gt;"",O179,"Неопределено")&amp;"::"&amp;IF(P179&lt;&gt;"",P179,"Неопределено")&amp;"::"&amp;IF(Q179&lt;&gt;"",Q179,"Неопределено")&amp;"::"&amp;IF(R179&lt;&gt;"",R179,"Неопределено")</f>
        <v>M10552::ТЭ.42.26824396.0005::Неопределено::Неопределено::Неопределено::Неопределено::Неопределено</v>
      </c>
    </row>
    <row s="1619" customFormat="1" customHeight="1" ht="14.25" hidden="1">
      <c r="A180" s="225"/>
      <c r="B180" s="924"/>
      <c r="C180" s="1298" t="s">
        <v>1747</v>
      </c>
      <c r="D180" s="1257" t="s">
        <v>1748</v>
      </c>
      <c r="E180" s="794">
        <v>15</v>
      </c>
      <c r="F180" s="919" cm="1" t="str">
        <f t="array" ref="F180:F180">OFFSET(G180,-1,-1)</f>
        <v>2</v>
      </c>
      <c r="G180" s="227"/>
      <c r="H180" s="227"/>
      <c r="I180" s="227"/>
      <c r="J180" s="227"/>
      <c r="K180" s="227"/>
      <c r="L180" s="190" t="s">
        <v>1710</v>
      </c>
      <c r="M180" s="1281"/>
      <c r="N180" s="1281" cm="1" t="str">
        <f t="array" ref="N180:N180">OFFSET(M180,-1,1)</f>
        <v>ТЭ.42.26824396.0005</v>
      </c>
      <c r="O180" s="1282"/>
      <c r="P180" s="1282"/>
      <c r="Q180" s="1282"/>
      <c r="R180" s="1282"/>
      <c r="S180" s="1619"/>
      <c r="T180" s="805" cm="1" t="str">
        <f t="array" ref="T180:T180">T171</f>
        <v>false</v>
      </c>
      <c r="U180" s="1461"/>
      <c r="V180" s="1461"/>
      <c r="W180" s="1461"/>
      <c r="X180" s="1461"/>
      <c r="Y180" s="1461"/>
      <c r="Z180" s="1461"/>
      <c r="AA180" s="227"/>
      <c r="AB180" s="314" t="s">
        <v>1749</v>
      </c>
      <c r="AC180" s="886" t="s">
        <v>1750</v>
      </c>
      <c r="AD180" s="664" t="s">
        <v>690</v>
      </c>
      <c r="AE180" s="307">
        <f>_xlfn.SUMIFS('Баланс Пр'!AE$27:AE$233,'Баланс Пр'!$F$27:$F$233,$F180,'Баланс Пр'!$AB$27:$AB$233,"10")</f>
        <v>0</v>
      </c>
      <c r="AF180" s="613"/>
      <c r="AG180" s="613"/>
      <c r="AH180" s="613"/>
      <c r="AI180" s="307">
        <f>_xlfn.SUMIFS('Баланс Пр'!AH$27:AH$233,'Баланс Пр'!$F$27:$F$233,$F180,'Баланс Пр'!$AB$27:$AB$233,"10")</f>
        <v>0</v>
      </c>
      <c r="AJ180" s="307">
        <f>_xlfn.SUMIFS('Баланс Пр'!AI$27:AI$233,'Баланс Пр'!$F$27:$F$233,$F180,'Баланс Пр'!$AB$27:$AB$233,"10")</f>
        <v>0</v>
      </c>
      <c r="AK180" s="307">
        <f>_xlfn.SUMIFS('Баланс Пр'!AJ$27:AJ$233,'Баланс Пр'!$F$27:$F$233,$F180,'Баланс Пр'!$AB$27:$AB$233,"10")</f>
        <v>0</v>
      </c>
      <c r="AL180" s="307">
        <f>_xlfn.SUMIFS('Баланс Пр'!AK$27:AK$233,'Баланс Пр'!$F$27:$F$233,$F180,'Баланс Пр'!$AB$27:$AB$233,"10")</f>
        <v>0</v>
      </c>
      <c r="AM180" s="307">
        <f>_xlfn.SUMIFS('Баланс Пр'!AL$27:AL$233,'Баланс Пр'!$F$27:$F$233,$F180,'Баланс Пр'!$AB$27:$AB$233,"10")</f>
        <v>0</v>
      </c>
      <c r="AN180" s="307">
        <f>_xlfn.SUMIFS('Баланс Пр'!AM$27:AM$233,'Баланс Пр'!$F$27:$F$233,$F180,'Баланс Пр'!$AB$27:$AB$233,"10")</f>
        <v>0</v>
      </c>
      <c r="AO180" s="307">
        <f>_xlfn.SUMIFS('Баланс Пр'!AN$27:AN$233,'Баланс Пр'!$F$27:$F$233,$F180,'Баланс Пр'!$AB$27:$AB$233,"10")</f>
        <v>0</v>
      </c>
      <c r="AP180" s="307">
        <f>_xlfn.SUMIFS('Баланс Пр'!AO$27:AO$233,'Баланс Пр'!$F$27:$F$233,$F180,'Баланс Пр'!$AB$27:$AB$233,"10")</f>
        <v>0</v>
      </c>
      <c r="AQ180" s="307">
        <f>_xlfn.SUMIFS('Баланс Пр'!AP$27:AP$233,'Баланс Пр'!$F$27:$F$233,$F180,'Баланс Пр'!$AB$27:$AB$233,"10")</f>
        <v>0</v>
      </c>
      <c r="AR180" s="307">
        <f>_xlfn.SUMIFS('Баланс Пр'!AQ$27:AQ$233,'Баланс Пр'!$F$27:$F$233,$F180,'Баланс Пр'!$AB$27:$AB$233,"10")</f>
        <v>0</v>
      </c>
      <c r="AS180" s="307">
        <f>_xlfn.SUMIFS('Баланс Пр'!AR$27:AR$233,'Баланс Пр'!$F$27:$F$233,$F180,'Баланс Пр'!$AB$27:$AB$233,"10")</f>
        <v>0</v>
      </c>
      <c r="AT180" s="307">
        <f>_xlfn.SUMIFS('Баланс Пр'!AS$27:AS$233,'Баланс Пр'!$F$27:$F$233,$F180,'Баланс Пр'!$AB$27:$AB$233,"10")</f>
        <v>0</v>
      </c>
      <c r="AU180" s="307">
        <f>_xlfn.SUMIFS('Баланс Пр'!AT$27:AT$233,'Баланс Пр'!$F$27:$F$233,$F180,'Баланс Пр'!$AB$27:$AB$233,"10")</f>
        <v>0</v>
      </c>
      <c r="AV180" s="307">
        <f>_xlfn.SUMIFS('Баланс Пр'!AU$27:AU$233,'Баланс Пр'!$F$27:$F$233,$F180,'Баланс Пр'!$AB$27:$AB$233,"10")</f>
        <v>0</v>
      </c>
      <c r="AW180" s="307">
        <f>_xlfn.SUMIFS('Баланс Пр'!AV$27:AV$233,'Баланс Пр'!$F$27:$F$233,$F180,'Баланс Пр'!$AB$27:$AB$233,"10")</f>
        <v>0</v>
      </c>
      <c r="AX180" s="307">
        <f>_xlfn.SUMIFS('Баланс Пр'!AW$27:AW$233,'Баланс Пр'!$F$27:$F$233,$F180,'Баланс Пр'!$AB$27:$AB$233,"10")</f>
        <v>0</v>
      </c>
      <c r="AY180" s="307">
        <f>_xlfn.SUMIFS('Баланс Пр'!AX$27:AX$233,'Баланс Пр'!$F$27:$F$233,$F180,'Баланс Пр'!$AB$27:$AB$233,"10")</f>
        <v>0</v>
      </c>
      <c r="AZ180" s="307">
        <f>_xlfn.SUMIFS('Баланс Пр'!AY$27:AY$233,'Баланс Пр'!$F$27:$F$233,$F180,'Баланс Пр'!$AB$27:$AB$233,"10")</f>
        <v>0</v>
      </c>
      <c r="BA180" s="307">
        <f>_xlfn.SUMIFS('Баланс Пр'!AZ$27:AZ$233,'Баланс Пр'!$F$27:$F$233,$F180,'Баланс Пр'!$AB$27:$AB$233,"10")</f>
        <v>0</v>
      </c>
      <c r="BB180" s="307">
        <f>_xlfn.SUMIFS('Баланс Пр'!BA$27:BA$233,'Баланс Пр'!$F$27:$F$233,$F180,'Баланс Пр'!$AB$27:$AB$233,"10")</f>
        <v>0</v>
      </c>
      <c r="BC180" s="307">
        <f>_xlfn.SUMIFS('Баланс Пр'!BB$27:BB$233,'Баланс Пр'!$F$27:$F$233,$F180,'Баланс Пр'!$AB$27:$AB$233,"10")</f>
        <v>0</v>
      </c>
      <c r="BD180" s="374"/>
      <c r="BE180" s="374"/>
      <c r="BF180" s="374"/>
      <c r="BG180" s="374"/>
      <c r="BH180" s="374"/>
      <c r="BI180" s="374"/>
      <c r="BJ180" s="374"/>
      <c r="BK180" s="374"/>
      <c r="BL180" s="374"/>
      <c r="BM180" s="374"/>
      <c r="BN180" s="73"/>
      <c r="BO180" s="73"/>
      <c r="BP180" s="73"/>
      <c r="BQ180" s="227"/>
      <c r="BR180" s="227"/>
      <c r="BS180" s="1232" t="s">
        <v>691</v>
      </c>
      <c r="BT180" s="1232"/>
      <c r="BU180" s="1232"/>
      <c r="BV180" s="1233"/>
      <c r="BW180" s="1233"/>
      <c r="BX180" s="1268" cm="1" t="str">
        <f t="array" ref="BX180:BX180">D180&amp;"::"&amp;IF(N180&lt;&gt;"",N180,"Неопределено")&amp;"::"&amp;IF(M180&lt;&gt;"",M180,"Неопределено")&amp;"::"&amp;IF(O180&lt;&gt;"",O180,"Неопределено")&amp;"::"&amp;IF(P180&lt;&gt;"",P180,"Неопределено")&amp;"::"&amp;IF(Q180&lt;&gt;"",Q180,"Неопределено")&amp;"::"&amp;IF(R180&lt;&gt;"",R180,"Неопределено")</f>
        <v>M10476::ТЭ.42.26824396.0005::Неопределено::Неопределено::Неопределено::Неопределено::Неопределено</v>
      </c>
    </row>
    <row s="1619" customFormat="1" customHeight="1" ht="14.25" hidden="1">
      <c r="A181" s="225"/>
      <c r="B181" s="924"/>
      <c r="C181" s="1298" t="s">
        <v>1747</v>
      </c>
      <c r="D181" s="1257" t="s">
        <v>1748</v>
      </c>
      <c r="E181" s="794">
        <v>15</v>
      </c>
      <c r="F181" s="919" cm="1" t="str">
        <f t="array" ref="F181:F181">OFFSET(G181,-1,-1)</f>
        <v>2</v>
      </c>
      <c r="G181" s="190" t="s">
        <v>1751</v>
      </c>
      <c r="H181" s="227"/>
      <c r="I181" s="227"/>
      <c r="J181" s="227"/>
      <c r="K181" s="227"/>
      <c r="L181" s="190" t="s">
        <v>1710</v>
      </c>
      <c r="M181" s="1281"/>
      <c r="N181" s="1281" cm="1" t="str">
        <f t="array" ref="N181:N181">OFFSET(M181,-1,1)</f>
        <v>ТЭ.42.26824396.0005</v>
      </c>
      <c r="O181" s="1282" t="s">
        <v>1724</v>
      </c>
      <c r="P181" s="1282"/>
      <c r="Q181" s="1282"/>
      <c r="R181" s="1282"/>
      <c r="S181" s="1619"/>
      <c r="T181" s="805" cm="1" t="str">
        <f t="array" ref="T181:T181">T180</f>
        <v>false</v>
      </c>
      <c r="U181" s="1461"/>
      <c r="V181" s="1461"/>
      <c r="W181" s="1461"/>
      <c r="X181" s="1461"/>
      <c r="Y181" s="1461"/>
      <c r="Z181" s="1461"/>
      <c r="AA181" s="227"/>
      <c r="AB181" s="660" t="str">
        <f>AB180&amp;".1"</f>
        <v>16.1</v>
      </c>
      <c r="AC181" s="720" t="s">
        <v>1752</v>
      </c>
      <c r="AD181" s="620" t="s">
        <v>690</v>
      </c>
      <c r="AE181" s="121" cm="1" t="str">
        <f t="array" ref="AE181:AE181">AE180</f>
        <v>0</v>
      </c>
      <c r="AF181" s="613"/>
      <c r="AG181" s="613"/>
      <c r="AH181" s="613"/>
      <c r="AI181" s="121" cm="1" t="str">
        <f t="array" ref="AI181:AI181">AI180</f>
        <v>0</v>
      </c>
      <c r="AJ181" s="614" cm="1" t="str">
        <f t="array" ref="AJ181:AJ181">AJ180</f>
        <v>0</v>
      </c>
      <c r="AK181" s="614" cm="1" t="str">
        <f t="array" ref="AK181:AK181">AK180</f>
        <v>0</v>
      </c>
      <c r="AL181" s="614" cm="1" t="str">
        <f t="array" ref="AL181:AL181">AL180</f>
        <v>0</v>
      </c>
      <c r="AM181" s="614" cm="1" t="str">
        <f t="array" ref="AM181:AM181">AM180</f>
        <v>0</v>
      </c>
      <c r="AN181" s="614" cm="1" t="str">
        <f t="array" ref="AN181:AN181">AN180</f>
        <v>0</v>
      </c>
      <c r="AO181" s="121" cm="1" t="str">
        <f t="array" ref="AO181:AO181">AO180</f>
        <v>0</v>
      </c>
      <c r="AP181" s="121" cm="1" t="str">
        <f t="array" ref="AP181:AP181">AP180</f>
        <v>0</v>
      </c>
      <c r="AQ181" s="121" cm="1" t="str">
        <f t="array" ref="AQ181:AQ181">AQ180</f>
        <v>0</v>
      </c>
      <c r="AR181" s="121" cm="1" t="str">
        <f t="array" ref="AR181:AR181">AR180</f>
        <v>0</v>
      </c>
      <c r="AS181" s="121" cm="1" t="str">
        <f t="array" ref="AS181:AS181">AS180</f>
        <v>0</v>
      </c>
      <c r="AT181" s="614" cm="1" t="str">
        <f t="array" ref="AT181:AT181">AT180</f>
        <v>0</v>
      </c>
      <c r="AU181" s="614" cm="1" t="str">
        <f t="array" ref="AU181:AU181">AU180</f>
        <v>0</v>
      </c>
      <c r="AV181" s="614" cm="1" t="str">
        <f t="array" ref="AV181:AV181">AV180</f>
        <v>0</v>
      </c>
      <c r="AW181" s="614" cm="1" t="str">
        <f t="array" ref="AW181:AW181">AW180</f>
        <v>0</v>
      </c>
      <c r="AX181" s="614" cm="1" t="str">
        <f t="array" ref="AX181:AX181">AX180</f>
        <v>0</v>
      </c>
      <c r="AY181" s="121" cm="1" t="str">
        <f t="array" ref="AY181:AY181">AY180</f>
        <v>0</v>
      </c>
      <c r="AZ181" s="121" cm="1" t="str">
        <f t="array" ref="AZ181:AZ181">AZ180</f>
        <v>0</v>
      </c>
      <c r="BA181" s="121" cm="1" t="str">
        <f t="array" ref="BA181:BA181">BA180</f>
        <v>0</v>
      </c>
      <c r="BB181" s="121" cm="1" t="str">
        <f t="array" ref="BB181:BB181">BB180</f>
        <v>0</v>
      </c>
      <c r="BC181" s="121" cm="1" t="str">
        <f t="array" ref="BC181:BC181">BC180</f>
        <v>0</v>
      </c>
      <c r="BD181" s="374"/>
      <c r="BE181" s="374"/>
      <c r="BF181" s="374"/>
      <c r="BG181" s="374"/>
      <c r="BH181" s="374"/>
      <c r="BI181" s="374"/>
      <c r="BJ181" s="374"/>
      <c r="BK181" s="374"/>
      <c r="BL181" s="374"/>
      <c r="BM181" s="374"/>
      <c r="BN181" s="73"/>
      <c r="BO181" s="73"/>
      <c r="BP181" s="73"/>
      <c r="BQ181" s="227"/>
      <c r="BR181" s="227"/>
      <c r="BS181" s="1232" t="s">
        <v>1753</v>
      </c>
      <c r="BT181" s="1232"/>
      <c r="BU181" s="1232"/>
      <c r="BV181" s="1233"/>
      <c r="BW181" s="1233"/>
      <c r="BX181" s="1268" cm="1" t="str">
        <f t="array" ref="BX181:BX181">D181&amp;"::"&amp;IF(N181&lt;&gt;"",N181,"Неопределено")&amp;"::"&amp;IF(M181&lt;&gt;"",M181,"Неопределено")&amp;"::"&amp;IF(O181&lt;&gt;"",O181,"Неопределено")&amp;"::"&amp;IF(P181&lt;&gt;"",P181,"Неопределено")&amp;"::"&amp;IF(Q181&lt;&gt;"",Q181,"Неопределено")&amp;"::"&amp;IF(R181&lt;&gt;"",R181,"Неопределено")</f>
        <v>M10476::ТЭ.42.26824396.0005::Неопределено::8.0.3.::Неопределено::Неопределено::Неопределено</v>
      </c>
    </row>
    <row s="1619" customFormat="1" customHeight="1" ht="14.25" hidden="1">
      <c r="A182" s="225"/>
      <c r="B182" s="924"/>
      <c r="C182" s="1298" t="s">
        <v>1747</v>
      </c>
      <c r="D182" s="1257" t="s">
        <v>1748</v>
      </c>
      <c r="E182" s="794">
        <v>15</v>
      </c>
      <c r="F182" s="919" cm="1" t="str">
        <f t="array" ref="F182:F182">OFFSET(G182,-1,-1)</f>
        <v>2</v>
      </c>
      <c r="G182" s="190" t="s">
        <v>1754</v>
      </c>
      <c r="H182" s="227"/>
      <c r="I182" s="227"/>
      <c r="J182" s="227"/>
      <c r="K182" s="227"/>
      <c r="L182" s="190" t="s">
        <v>1710</v>
      </c>
      <c r="M182" s="1281"/>
      <c r="N182" s="1281" cm="1" t="str">
        <f t="array" ref="N182:N182">OFFSET(M182,-1,1)</f>
        <v>ТЭ.42.26824396.0005</v>
      </c>
      <c r="O182" s="1282" t="s">
        <v>1733</v>
      </c>
      <c r="P182" s="1282"/>
      <c r="Q182" s="1282"/>
      <c r="R182" s="1282"/>
      <c r="S182" s="1619"/>
      <c r="T182" s="805" cm="1" t="str">
        <f t="array" ref="T182:T182">T181</f>
        <v>false</v>
      </c>
      <c r="U182" s="1461"/>
      <c r="V182" s="1461"/>
      <c r="W182" s="1461"/>
      <c r="X182" s="1461"/>
      <c r="Y182" s="1461"/>
      <c r="Z182" s="1461"/>
      <c r="AA182" s="227"/>
      <c r="AB182" s="660" t="str">
        <f>AB180&amp;".2"</f>
        <v>16.2</v>
      </c>
      <c r="AC182" s="720" t="s">
        <v>1755</v>
      </c>
      <c r="AD182" s="620" t="s">
        <v>690</v>
      </c>
      <c r="AE182" s="121" cm="1" t="str">
        <f t="array" ref="AE182:AE182">AE180</f>
        <v>0</v>
      </c>
      <c r="AF182" s="613"/>
      <c r="AG182" s="613"/>
      <c r="AH182" s="613"/>
      <c r="AI182" s="121" cm="1" t="str">
        <f t="array" ref="AI182:AI182">AI180</f>
        <v>0</v>
      </c>
      <c r="AJ182" s="614" cm="1" t="str">
        <f t="array" ref="AJ182:AJ182">AJ180</f>
        <v>0</v>
      </c>
      <c r="AK182" s="614" cm="1" t="str">
        <f t="array" ref="AK182:AK182">AK180</f>
        <v>0</v>
      </c>
      <c r="AL182" s="614" cm="1" t="str">
        <f t="array" ref="AL182:AL182">AL180</f>
        <v>0</v>
      </c>
      <c r="AM182" s="614" cm="1" t="str">
        <f t="array" ref="AM182:AM182">AM180</f>
        <v>0</v>
      </c>
      <c r="AN182" s="614" cm="1" t="str">
        <f t="array" ref="AN182:AN182">AN180</f>
        <v>0</v>
      </c>
      <c r="AO182" s="121" cm="1" t="str">
        <f t="array" ref="AO182:AO182">AO180</f>
        <v>0</v>
      </c>
      <c r="AP182" s="121" cm="1" t="str">
        <f t="array" ref="AP182:AP182">AP180</f>
        <v>0</v>
      </c>
      <c r="AQ182" s="121" cm="1" t="str">
        <f t="array" ref="AQ182:AQ182">AQ180</f>
        <v>0</v>
      </c>
      <c r="AR182" s="121" cm="1" t="str">
        <f t="array" ref="AR182:AR182">AR180</f>
        <v>0</v>
      </c>
      <c r="AS182" s="121" cm="1" t="str">
        <f t="array" ref="AS182:AS182">AS180</f>
        <v>0</v>
      </c>
      <c r="AT182" s="614" cm="1" t="str">
        <f t="array" ref="AT182:AT182">AT180</f>
        <v>0</v>
      </c>
      <c r="AU182" s="614" cm="1" t="str">
        <f t="array" ref="AU182:AU182">AU180</f>
        <v>0</v>
      </c>
      <c r="AV182" s="614" cm="1" t="str">
        <f t="array" ref="AV182:AV182">AV180</f>
        <v>0</v>
      </c>
      <c r="AW182" s="614" cm="1" t="str">
        <f t="array" ref="AW182:AW182">AW180</f>
        <v>0</v>
      </c>
      <c r="AX182" s="614" cm="1" t="str">
        <f t="array" ref="AX182:AX182">AX180</f>
        <v>0</v>
      </c>
      <c r="AY182" s="121" cm="1" t="str">
        <f t="array" ref="AY182:AY182">AY180</f>
        <v>0</v>
      </c>
      <c r="AZ182" s="121" cm="1" t="str">
        <f t="array" ref="AZ182:AZ182">AZ180</f>
        <v>0</v>
      </c>
      <c r="BA182" s="121" cm="1" t="str">
        <f t="array" ref="BA182:BA182">BA180</f>
        <v>0</v>
      </c>
      <c r="BB182" s="121" cm="1" t="str">
        <f t="array" ref="BB182:BB182">BB180</f>
        <v>0</v>
      </c>
      <c r="BC182" s="121" cm="1" t="str">
        <f t="array" ref="BC182:BC182">BC180</f>
        <v>0</v>
      </c>
      <c r="BD182" s="374"/>
      <c r="BE182" s="374"/>
      <c r="BF182" s="374"/>
      <c r="BG182" s="374"/>
      <c r="BH182" s="374"/>
      <c r="BI182" s="374"/>
      <c r="BJ182" s="374"/>
      <c r="BK182" s="374"/>
      <c r="BL182" s="374"/>
      <c r="BM182" s="374"/>
      <c r="BN182" s="73"/>
      <c r="BO182" s="73"/>
      <c r="BP182" s="73"/>
      <c r="BQ182" s="227"/>
      <c r="BR182" s="227"/>
      <c r="BS182" s="1232" t="s">
        <v>1756</v>
      </c>
      <c r="BT182" s="1232"/>
      <c r="BU182" s="1232"/>
      <c r="BV182" s="1233"/>
      <c r="BW182" s="1233"/>
      <c r="BX182" s="1268" cm="1" t="str">
        <f t="array" ref="BX182:BX182">D182&amp;"::"&amp;IF(N182&lt;&gt;"",N182,"Неопределено")&amp;"::"&amp;IF(M182&lt;&gt;"",M182,"Неопределено")&amp;"::"&amp;IF(O182&lt;&gt;"",O182,"Неопределено")&amp;"::"&amp;IF(P182&lt;&gt;"",P182,"Неопределено")&amp;"::"&amp;IF(Q182&lt;&gt;"",Q182,"Неопределено")&amp;"::"&amp;IF(R182&lt;&gt;"",R182,"Неопределено")</f>
        <v>M10476::ТЭ.42.26824396.0005::Неопределено::8.0.5.::Неопределено::Неопределено::Неопределено</v>
      </c>
    </row>
    <row s="1619" customFormat="1" customHeight="1" ht="14.25" hidden="1">
      <c r="A183" s="225"/>
      <c r="B183" s="924"/>
      <c r="C183" s="1298"/>
      <c r="D183" s="1257"/>
      <c r="E183" s="794">
        <v>15</v>
      </c>
      <c r="F183" s="919" cm="1" t="str">
        <f t="array" ref="F183:F183">OFFSET(G183,-1,-1)</f>
        <v>2</v>
      </c>
      <c r="G183" s="227"/>
      <c r="H183" s="227"/>
      <c r="I183" s="227"/>
      <c r="J183" s="227"/>
      <c r="K183" s="227"/>
      <c r="L183" s="190" t="s">
        <v>1710</v>
      </c>
      <c r="M183" s="1281"/>
      <c r="N183" s="1281" cm="1" t="str">
        <f t="array" ref="N183:N183">OFFSET(M183,-1,1)</f>
        <v>ТЭ.42.26824396.0005</v>
      </c>
      <c r="O183" s="1282"/>
      <c r="P183" s="1282"/>
      <c r="Q183" s="1282"/>
      <c r="R183" s="1282"/>
      <c r="S183" s="1619"/>
      <c r="T183" s="805" cm="1" t="str">
        <f t="array" ref="T183:T183">T182</f>
        <v>false</v>
      </c>
      <c r="U183" s="1461"/>
      <c r="V183" s="1461"/>
      <c r="W183" s="1461"/>
      <c r="X183" s="1461"/>
      <c r="Y183" s="1461"/>
      <c r="Z183" s="1461"/>
      <c r="AA183" s="227"/>
      <c r="AB183" s="659" t="s">
        <v>1757</v>
      </c>
      <c r="AC183" s="618" t="s">
        <v>1758</v>
      </c>
      <c r="AD183" s="619"/>
      <c r="AE183" s="613"/>
      <c r="AF183" s="613"/>
      <c r="AG183" s="613"/>
      <c r="AH183" s="613"/>
      <c r="AI183" s="613"/>
      <c r="AJ183" s="613"/>
      <c r="AK183" s="613"/>
      <c r="AL183" s="613"/>
      <c r="AM183" s="613"/>
      <c r="AN183" s="613"/>
      <c r="AO183" s="613"/>
      <c r="AP183" s="613"/>
      <c r="AQ183" s="613"/>
      <c r="AR183" s="613"/>
      <c r="AS183" s="613"/>
      <c r="AT183" s="613"/>
      <c r="AU183" s="613"/>
      <c r="AV183" s="613"/>
      <c r="AW183" s="613"/>
      <c r="AX183" s="613"/>
      <c r="AY183" s="613"/>
      <c r="AZ183" s="613"/>
      <c r="BA183" s="613"/>
      <c r="BB183" s="613"/>
      <c r="BC183" s="613"/>
      <c r="BD183" s="374"/>
      <c r="BE183" s="374"/>
      <c r="BF183" s="374"/>
      <c r="BG183" s="374"/>
      <c r="BH183" s="374"/>
      <c r="BI183" s="374"/>
      <c r="BJ183" s="374"/>
      <c r="BK183" s="374"/>
      <c r="BL183" s="374"/>
      <c r="BM183" s="374"/>
      <c r="BN183" s="73"/>
      <c r="BO183" s="73"/>
      <c r="BP183" s="73"/>
      <c r="BQ183" s="227"/>
      <c r="BR183" s="227"/>
      <c r="BS183" s="1232" t="s">
        <v>1759</v>
      </c>
      <c r="BT183" s="1232"/>
      <c r="BU183" s="1232"/>
      <c r="BV183" s="1233"/>
      <c r="BW183" s="1233"/>
      <c r="BX183" s="1336" cm="1" t="str">
        <f t="array" ref="BX183:BX183">"M11407"&amp;"::"&amp;IF(N183&lt;&gt;"",N183,"Неопределено")&amp;"::"&amp;IF(M183&lt;&gt;"",M183,"Неопределено")&amp;"::"&amp;IF(O183&lt;&gt;"",O183,"Неопределено")&amp;"::"&amp;IF(P183&lt;&gt;"",P183,"Неопределено")&amp;"::"&amp;IF(Q183&lt;&gt;"",Q183,"Неопределено")&amp;"::"&amp;IF(R183&lt;&gt;"",R183,"Неопределено")</f>
        <v>M11407::ТЭ.42.26824396.0005::Неопределено::Неопределено::Неопределено::Неопределено::Неопределено</v>
      </c>
    </row>
    <row s="1619" customFormat="1" customHeight="1" ht="14.25" hidden="1">
      <c r="A184" s="225"/>
      <c r="B184" s="924"/>
      <c r="C184" s="1298" t="s">
        <v>1760</v>
      </c>
      <c r="D184" s="1257" t="s">
        <v>1761</v>
      </c>
      <c r="E184" s="794">
        <v>15</v>
      </c>
      <c r="F184" s="919" cm="1" t="str">
        <f t="array" ref="F184:F184">OFFSET(G184,-1,-1)</f>
        <v>2</v>
      </c>
      <c r="G184" s="190" t="s">
        <v>1762</v>
      </c>
      <c r="H184" s="227"/>
      <c r="I184" s="227"/>
      <c r="J184" s="227"/>
      <c r="K184" s="227"/>
      <c r="L184" s="190" t="s">
        <v>1710</v>
      </c>
      <c r="M184" s="1281"/>
      <c r="N184" s="1281" cm="1" t="str">
        <f t="array" ref="N184:N184">OFFSET(M184,-1,1)</f>
        <v>ТЭ.42.26824396.0005</v>
      </c>
      <c r="O184" s="1282" t="s">
        <v>1724</v>
      </c>
      <c r="P184" s="1282"/>
      <c r="Q184" s="1282"/>
      <c r="R184" s="1282"/>
      <c r="S184" s="1619"/>
      <c r="T184" s="805" cm="1" t="str">
        <f t="array" ref="T184:T184">T183</f>
        <v>false</v>
      </c>
      <c r="U184" s="1461"/>
      <c r="V184" s="1461"/>
      <c r="W184" s="1461"/>
      <c r="X184" s="1461"/>
      <c r="Y184" s="1461"/>
      <c r="Z184" s="1461"/>
      <c r="AA184" s="227"/>
      <c r="AB184" s="660" t="str">
        <f>AB183&amp;".1"</f>
        <v>17.1</v>
      </c>
      <c r="AC184" s="1346" t="s">
        <v>1763</v>
      </c>
      <c r="AD184" s="517" t="s">
        <v>895</v>
      </c>
      <c r="AE184" s="121"/>
      <c r="AF184" s="613"/>
      <c r="AG184" s="613"/>
      <c r="AH184" s="613"/>
      <c r="AI184" s="121">
        <f>MIN(AE185,_xlfn.IFERROR(AI171*1000/AI173,0))</f>
        <v>0</v>
      </c>
      <c r="AJ184" s="614">
        <f>MIN(AI185,_xlfn.IFERROR(AJ171*1000/AJ173,0))</f>
        <v>0</v>
      </c>
      <c r="AK184" s="614">
        <f>MIN(AJ185,_xlfn.IFERROR(AK171*1000/AK173,0))</f>
        <v>3682.48064525547</v>
      </c>
      <c r="AL184" s="614">
        <f>MIN(AK185,_xlfn.IFERROR(AL171*1000/AL173,0))</f>
        <v>3682.48064525549</v>
      </c>
      <c r="AM184" s="614">
        <f>MIN(AL185,_xlfn.IFERROR(AM171*1000/AM173,0))</f>
        <v>3967.15277043796</v>
      </c>
      <c r="AN184" s="614">
        <f>MIN(AM185,_xlfn.IFERROR(AN171*1000/AN173,0))</f>
        <v>3967.15277043795</v>
      </c>
      <c r="AO184" s="121">
        <f>MIN(AN185,_xlfn.IFERROR(AO171*1000/AO173,0))</f>
        <v>0</v>
      </c>
      <c r="AP184" s="121">
        <f>MIN(AO185,_xlfn.IFERROR(AP171*1000/AP173,0))</f>
        <v>0</v>
      </c>
      <c r="AQ184" s="121">
        <f>MIN(AP185,_xlfn.IFERROR(AQ171*1000/AQ173,0))</f>
        <v>0</v>
      </c>
      <c r="AR184" s="121">
        <f>MIN(AQ185,_xlfn.IFERROR(AR171*1000/AR173,0))</f>
        <v>0</v>
      </c>
      <c r="AS184" s="121">
        <f>MIN(AR185,_xlfn.IFERROR(AS171*1000/AS173,0))</f>
        <v>0</v>
      </c>
      <c r="AT184" s="614">
        <f>MIN(AI185,_xlfn.IFERROR(AT171*1000/AT173,0))</f>
        <v>0</v>
      </c>
      <c r="AU184" s="614">
        <f>MIN(AT185,_xlfn.IFERROR(AU171*1000/AU173,0))</f>
        <v>3168.4115690995</v>
      </c>
      <c r="AV184" s="614">
        <f>MIN(AU185,_xlfn.IFERROR(AV171*1000/AV173,0))</f>
        <v>3168.41156909948</v>
      </c>
      <c r="AW184" s="614">
        <f>MIN(AV185,_xlfn.IFERROR(AW171*1000/AW173,0))</f>
        <v>3351.35676175972</v>
      </c>
      <c r="AX184" s="614">
        <f>MIN(AW185,_xlfn.IFERROR(AX171*1000/AX173,0))</f>
        <v>3351.35676175974</v>
      </c>
      <c r="AY184" s="121">
        <f>MIN(AX185,_xlfn.IFERROR(AY171*1000/AY173,0))</f>
        <v>0</v>
      </c>
      <c r="AZ184" s="121">
        <f>MIN(AY185,_xlfn.IFERROR(AZ171*1000/AZ173,0))</f>
        <v>0</v>
      </c>
      <c r="BA184" s="121">
        <f>MIN(AZ185,_xlfn.IFERROR(BA171*1000/BA173,0))</f>
        <v>0</v>
      </c>
      <c r="BB184" s="121">
        <f>MIN(BA185,_xlfn.IFERROR(BB171*1000/BB173,0))</f>
        <v>0</v>
      </c>
      <c r="BC184" s="121">
        <f>MIN(BB185,_xlfn.IFERROR(BC171*1000/BC173,0))</f>
        <v>0</v>
      </c>
      <c r="BD184" s="374"/>
      <c r="BE184" s="374"/>
      <c r="BF184" s="374"/>
      <c r="BG184" s="374"/>
      <c r="BH184" s="374"/>
      <c r="BI184" s="374"/>
      <c r="BJ184" s="374"/>
      <c r="BK184" s="374"/>
      <c r="BL184" s="374"/>
      <c r="BM184" s="374"/>
      <c r="BN184" s="73"/>
      <c r="BO184" s="73"/>
      <c r="BP184" s="73"/>
      <c r="BQ184" s="227"/>
      <c r="BR184" s="227"/>
      <c r="BS184" s="1232" t="s">
        <v>1764</v>
      </c>
      <c r="BT184" s="1232"/>
      <c r="BU184" s="1232"/>
      <c r="BV184" s="1233"/>
      <c r="BW184" s="1233"/>
      <c r="BX184" s="1268" cm="1" t="str">
        <f t="array" ref="BX184:BX184">D184&amp;"::"&amp;IF(N184&lt;&gt;"",N184,"Неопределено")&amp;"::"&amp;IF(M184&lt;&gt;"",M184,"Неопределено")&amp;"::"&amp;IF(O184&lt;&gt;"",O184,"Неопределено")&amp;"::"&amp;IF(P184&lt;&gt;"",P184,"Неопределено")&amp;"::"&amp;IF(Q184&lt;&gt;"",Q184,"Неопределено")&amp;"::"&amp;IF(R184&lt;&gt;"",R184,"Неопределено")</f>
        <v>M11407::ТЭ.42.26824396.0005::Неопределено::8.0.3.::Неопределено::Неопределено::Неопределено</v>
      </c>
    </row>
    <row s="1619" customFormat="1" customHeight="1" ht="14.25" hidden="1">
      <c r="A185" s="225"/>
      <c r="B185" s="924"/>
      <c r="C185" s="1298" t="s">
        <v>1760</v>
      </c>
      <c r="D185" s="1257" t="s">
        <v>1761</v>
      </c>
      <c r="E185" s="794">
        <v>15</v>
      </c>
      <c r="F185" s="919" cm="1" t="str">
        <f t="array" ref="F185:F185">OFFSET(G185,-1,-1)</f>
        <v>2</v>
      </c>
      <c r="G185" s="190" t="s">
        <v>1765</v>
      </c>
      <c r="H185" s="227"/>
      <c r="I185" s="227"/>
      <c r="J185" s="227"/>
      <c r="K185" s="227"/>
      <c r="L185" s="190" t="s">
        <v>1710</v>
      </c>
      <c r="M185" s="1281"/>
      <c r="N185" s="1281" cm="1" t="str">
        <f t="array" ref="N185:N185">OFFSET(M185,-1,1)</f>
        <v>ТЭ.42.26824396.0005</v>
      </c>
      <c r="O185" s="1282" t="s">
        <v>1733</v>
      </c>
      <c r="P185" s="1282"/>
      <c r="Q185" s="1282"/>
      <c r="R185" s="1282"/>
      <c r="S185" s="1619"/>
      <c r="T185" s="805" cm="1" t="str">
        <f t="array" ref="T185:T185">T184</f>
        <v>false</v>
      </c>
      <c r="U185" s="1461"/>
      <c r="V185" s="1461"/>
      <c r="W185" s="1461"/>
      <c r="X185" s="1461"/>
      <c r="Y185" s="1461"/>
      <c r="Z185" s="1461"/>
      <c r="AA185" s="227"/>
      <c r="AB185" s="660" t="str">
        <f>AB183&amp;".2"</f>
        <v>17.2</v>
      </c>
      <c r="AC185" s="1346" t="s">
        <v>1766</v>
      </c>
      <c r="AD185" s="517" t="s">
        <v>895</v>
      </c>
      <c r="AE185" s="612">
        <f>_xlfn.IFERROR((AE171*1000-AE174*AE184)/AE176,0)</f>
        <v>0</v>
      </c>
      <c r="AF185" s="613"/>
      <c r="AG185" s="613"/>
      <c r="AH185" s="613"/>
      <c r="AI185" s="612">
        <f>_xlfn.IFERROR((AI171*1000-AI174*AI184)/AI176,0)</f>
        <v>0</v>
      </c>
      <c r="AJ185" s="612">
        <f>_xlfn.IFERROR((AJ171*1000-AJ174*AJ184)/AJ176,0)</f>
        <v>13823.6994031792</v>
      </c>
      <c r="AK185" s="612">
        <f>_xlfn.IFERROR((AK171*1000-AK174*AK184)/AK176,0)</f>
        <v>3682.48064525549</v>
      </c>
      <c r="AL185" s="612">
        <f>_xlfn.IFERROR((AL171*1000-AL174*AL184)/AL176,0)</f>
        <v>4234.5069964115</v>
      </c>
      <c r="AM185" s="612">
        <f>_xlfn.IFERROR((AM171*1000-AM174*AM184)/AM176,0)</f>
        <v>3967.15277043795</v>
      </c>
      <c r="AN185" s="612">
        <f>_xlfn.IFERROR((AN171*1000-AN174*AN184)/AN176,0)</f>
        <v>4565.43316061139</v>
      </c>
      <c r="AO185" s="612">
        <f>_xlfn.IFERROR((AO171*1000-AO174*AO184)/AO176,0)</f>
        <v>0</v>
      </c>
      <c r="AP185" s="612">
        <f>_xlfn.IFERROR((AP171*1000-AP174*AP184)/AP176,0)</f>
        <v>0</v>
      </c>
      <c r="AQ185" s="612">
        <f>_xlfn.IFERROR((AQ171*1000-AQ174*AQ184)/AQ176,0)</f>
        <v>0</v>
      </c>
      <c r="AR185" s="612">
        <f>_xlfn.IFERROR((AR171*1000-AR174*AR184)/AR176,0)</f>
        <v>0</v>
      </c>
      <c r="AS185" s="612">
        <f>_xlfn.IFERROR((AS171*1000-AS174*AS184)/AS176,0)</f>
        <v>0</v>
      </c>
      <c r="AT185" s="612">
        <f>_xlfn.IFERROR((AT171*1000-AT174*AT184)/AT176,0)</f>
        <v>11982.7863626858</v>
      </c>
      <c r="AU185" s="612">
        <f>_xlfn.IFERROR((AU171*1000-AU174*AU184)/AU176,0)</f>
        <v>3168.41156909948</v>
      </c>
      <c r="AV185" s="612">
        <f>_xlfn.IFERROR((AV171*1000-AV174*AV184)/AV176,0)</f>
        <v>3524.88598390798</v>
      </c>
      <c r="AW185" s="612">
        <f>_xlfn.IFERROR((AW171*1000-AW174*AW184)/AW176,0)</f>
        <v>3351.35676175974</v>
      </c>
      <c r="AX185" s="612">
        <f>_xlfn.IFERROR((AX171*1000-AX174*AX184)/AX176,0)</f>
        <v>3730.91276940185</v>
      </c>
      <c r="AY185" s="612">
        <f>_xlfn.IFERROR((AY171*1000-AY174*AY184)/AY176,0)</f>
        <v>0</v>
      </c>
      <c r="AZ185" s="612">
        <f>_xlfn.IFERROR((AZ171*1000-AZ174*AZ184)/AZ176,0)</f>
        <v>0</v>
      </c>
      <c r="BA185" s="612">
        <f>_xlfn.IFERROR((BA171*1000-BA174*BA184)/BA176,0)</f>
        <v>0</v>
      </c>
      <c r="BB185" s="612">
        <f>_xlfn.IFERROR((BB171*1000-BB174*BB184)/BB176,0)</f>
        <v>0</v>
      </c>
      <c r="BC185" s="612">
        <f>_xlfn.IFERROR((BC171*1000-BC174*BC184)/BC176,0)</f>
        <v>0</v>
      </c>
      <c r="BD185" s="374"/>
      <c r="BE185" s="374"/>
      <c r="BF185" s="374"/>
      <c r="BG185" s="374"/>
      <c r="BH185" s="374"/>
      <c r="BI185" s="374"/>
      <c r="BJ185" s="374"/>
      <c r="BK185" s="374"/>
      <c r="BL185" s="374"/>
      <c r="BM185" s="374"/>
      <c r="BN185" s="73"/>
      <c r="BO185" s="73"/>
      <c r="BP185" s="73"/>
      <c r="BQ185" s="227"/>
      <c r="BR185" s="227"/>
      <c r="BS185" s="1232" t="s">
        <v>1767</v>
      </c>
      <c r="BT185" s="1232"/>
      <c r="BU185" s="1232"/>
      <c r="BV185" s="1233"/>
      <c r="BW185" s="1233"/>
      <c r="BX185" s="1268" cm="1" t="str">
        <f t="array" ref="BX185:BX185">D185&amp;"::"&amp;IF(N185&lt;&gt;"",N185,"Неопределено")&amp;"::"&amp;IF(M185&lt;&gt;"",M185,"Неопределено")&amp;"::"&amp;IF(O185&lt;&gt;"",O185,"Неопределено")&amp;"::"&amp;IF(P185&lt;&gt;"",P185,"Неопределено")&amp;"::"&amp;IF(Q185&lt;&gt;"",Q185,"Неопределено")&amp;"::"&amp;IF(R185&lt;&gt;"",R185,"Неопределено")</f>
        <v>M11407::ТЭ.42.26824396.0005::Неопределено::8.0.5.::Неопределено::Неопределено::Неопределено</v>
      </c>
    </row>
    <row s="1619" customFormat="1" customHeight="1" ht="14.25" hidden="1">
      <c r="A186" s="225"/>
      <c r="B186" s="924"/>
      <c r="C186" s="1298" t="s">
        <v>1768</v>
      </c>
      <c r="D186" s="1257" t="s">
        <v>1769</v>
      </c>
      <c r="E186" s="794">
        <v>15</v>
      </c>
      <c r="F186" s="919" cm="1" t="str">
        <f t="array" ref="F186:F186">OFFSET(G186,-1,-1)</f>
        <v>2</v>
      </c>
      <c r="G186" s="227"/>
      <c r="H186" s="227"/>
      <c r="I186" s="227"/>
      <c r="J186" s="227"/>
      <c r="K186" s="227"/>
      <c r="L186" s="190" t="s">
        <v>1710</v>
      </c>
      <c r="M186" s="1281"/>
      <c r="N186" s="1281" cm="1" t="str">
        <f t="array" ref="N186:N186">OFFSET(M186,-1,1)</f>
        <v>ТЭ.42.26824396.0005</v>
      </c>
      <c r="O186" s="1282"/>
      <c r="P186" s="1282" t="s">
        <v>1770</v>
      </c>
      <c r="Q186" s="1282"/>
      <c r="R186" s="1282"/>
      <c r="S186" s="1619"/>
      <c r="T186" s="805" cm="1" t="str">
        <f t="array" ref="T186:T186">T185</f>
        <v>false</v>
      </c>
      <c r="U186" s="1461"/>
      <c r="V186" s="1461"/>
      <c r="W186" s="1461"/>
      <c r="X186" s="1461"/>
      <c r="Y186" s="1461"/>
      <c r="Z186" s="1461"/>
      <c r="AA186" s="227"/>
      <c r="AB186" s="660" t="str">
        <f>AB183&amp;".3"</f>
        <v>17.3</v>
      </c>
      <c r="AC186" s="312" t="s">
        <v>1771</v>
      </c>
      <c r="AD186" s="517" t="s">
        <v>490</v>
      </c>
      <c r="AE186" s="662">
        <f>_xlfn.IFERROR(AE185/AE184,0)</f>
        <v>0</v>
      </c>
      <c r="AF186" s="613"/>
      <c r="AG186" s="613"/>
      <c r="AH186" s="613"/>
      <c r="AI186" s="662">
        <f>_xlfn.IFERROR(AI185/AI184,0)</f>
        <v>0</v>
      </c>
      <c r="AJ186" s="662">
        <f>_xlfn.IFERROR(AJ185/AJ184,0)</f>
        <v>0</v>
      </c>
      <c r="AK186" s="662">
        <f>_xlfn.IFERROR(AK185/AK184,0)</f>
        <v>1</v>
      </c>
      <c r="AL186" s="662">
        <f>_xlfn.IFERROR(AL185/AL184,0)</f>
        <v>1.14990611067223</v>
      </c>
      <c r="AM186" s="662">
        <f>_xlfn.IFERROR(AM185/AM184,0)</f>
        <v>1</v>
      </c>
      <c r="AN186" s="662">
        <f>_xlfn.IFERROR(AN185/AN184,0)</f>
        <v>1.15080850796361</v>
      </c>
      <c r="AO186" s="662">
        <f>_xlfn.IFERROR(AO185/AO184,0)</f>
        <v>0</v>
      </c>
      <c r="AP186" s="662">
        <f>_xlfn.IFERROR(AP185/AP184,0)</f>
        <v>0</v>
      </c>
      <c r="AQ186" s="662">
        <f>_xlfn.IFERROR(AQ185/AQ184,0)</f>
        <v>0</v>
      </c>
      <c r="AR186" s="662">
        <f>_xlfn.IFERROR(AR185/AR184,0)</f>
        <v>0</v>
      </c>
      <c r="AS186" s="662">
        <f>_xlfn.IFERROR(AS185/AS184,0)</f>
        <v>0</v>
      </c>
      <c r="AT186" s="662">
        <f>_xlfn.IFERROR(AT185/AT184,0)</f>
        <v>0</v>
      </c>
      <c r="AU186" s="662">
        <f>_xlfn.IFERROR(AU185/AU184,0)</f>
        <v>0.99999999999999</v>
      </c>
      <c r="AV186" s="662">
        <f>_xlfn.IFERROR(AV185/AV184,0)</f>
        <v>1.1125088729902</v>
      </c>
      <c r="AW186" s="662">
        <f>_xlfn.IFERROR(AW185/AW184,0)</f>
        <v>1</v>
      </c>
      <c r="AX186" s="662">
        <f>_xlfn.IFERROR(AX185/AX184,0)</f>
        <v>1.11325443234602</v>
      </c>
      <c r="AY186" s="662">
        <f>_xlfn.IFERROR(AY185/AY184,0)</f>
        <v>0</v>
      </c>
      <c r="AZ186" s="662">
        <f>_xlfn.IFERROR(AZ185/AZ184,0)</f>
        <v>0</v>
      </c>
      <c r="BA186" s="662">
        <f>_xlfn.IFERROR(BA185/BA184,0)</f>
        <v>0</v>
      </c>
      <c r="BB186" s="662">
        <f>_xlfn.IFERROR(BB185/BB184,0)</f>
        <v>0</v>
      </c>
      <c r="BC186" s="662">
        <f>_xlfn.IFERROR(BC185/BC184,0)</f>
        <v>0</v>
      </c>
      <c r="BD186" s="374"/>
      <c r="BE186" s="374"/>
      <c r="BF186" s="374"/>
      <c r="BG186" s="374"/>
      <c r="BH186" s="374"/>
      <c r="BI186" s="374"/>
      <c r="BJ186" s="374"/>
      <c r="BK186" s="374"/>
      <c r="BL186" s="374"/>
      <c r="BM186" s="374"/>
      <c r="BN186" s="73"/>
      <c r="BO186" s="73"/>
      <c r="BP186" s="73"/>
      <c r="BQ186" s="227"/>
      <c r="BR186" s="227"/>
      <c r="BS186" s="1232" t="s">
        <v>1772</v>
      </c>
      <c r="BT186" s="1232"/>
      <c r="BU186" s="1232"/>
      <c r="BV186" s="1233"/>
      <c r="BW186" s="1233"/>
      <c r="BX186" s="1268" cm="1" t="str">
        <f t="array" ref="BX186:BX186">D186&amp;"::"&amp;IF(N186&lt;&gt;"",N186,"Неопределено")&amp;"::"&amp;IF(M186&lt;&gt;"",M186,"Неопределено")&amp;"::"&amp;IF(O186&lt;&gt;"",O186,"Неопределено")&amp;"::"&amp;IF(P186&lt;&gt;"",P186,"Неопределено")&amp;"::"&amp;IF(Q186&lt;&gt;"",Q186,"Неопределено")&amp;"::"&amp;IF(R186&lt;&gt;"",R186,"Неопределено")</f>
        <v>M10444::ТЭ.42.26824396.0005::Неопределено::Неопределено::90.0.0.::Неопределено::Неопределено</v>
      </c>
    </row>
    <row s="1619" customFormat="1" customHeight="1" ht="31.5" hidden="1">
      <c r="A187" s="225"/>
      <c r="B187" s="924"/>
      <c r="C187" s="1298"/>
      <c r="D187" s="1257"/>
      <c r="E187" s="794">
        <v>33</v>
      </c>
      <c r="F187" s="919" cm="1" t="str">
        <f t="array" ref="F187:F187">OFFSET(G187,-1,-1)</f>
        <v>2</v>
      </c>
      <c r="G187" s="227"/>
      <c r="H187" s="227"/>
      <c r="I187" s="227"/>
      <c r="J187" s="227"/>
      <c r="K187" s="227"/>
      <c r="L187" s="190" t="s">
        <v>1710</v>
      </c>
      <c r="M187" s="1281"/>
      <c r="N187" s="1281" cm="1" t="str">
        <f t="array" ref="N187:N187">OFFSET(M187,-1,1)</f>
        <v>ТЭ.42.26824396.0005</v>
      </c>
      <c r="O187" s="1282"/>
      <c r="P187" s="1282"/>
      <c r="Q187" s="1282"/>
      <c r="R187" s="1282"/>
      <c r="S187" s="1619"/>
      <c r="T187" s="805" cm="1" t="str">
        <f t="array" ref="T187:T187">T186</f>
        <v>false</v>
      </c>
      <c r="U187" s="1461"/>
      <c r="V187" s="1461"/>
      <c r="W187" s="1461"/>
      <c r="X187" s="1461"/>
      <c r="Y187" s="1461"/>
      <c r="Z187" s="1461"/>
      <c r="AA187" s="227"/>
      <c r="AB187" s="283" t="s">
        <v>553</v>
      </c>
      <c r="AC187" s="618" t="s">
        <v>1773</v>
      </c>
      <c r="AD187" s="619"/>
      <c r="AE187" s="613"/>
      <c r="AF187" s="613"/>
      <c r="AG187" s="613"/>
      <c r="AH187" s="613"/>
      <c r="AI187" s="613"/>
      <c r="AJ187" s="613"/>
      <c r="AK187" s="613"/>
      <c r="AL187" s="613"/>
      <c r="AM187" s="613"/>
      <c r="AN187" s="613"/>
      <c r="AO187" s="613"/>
      <c r="AP187" s="613"/>
      <c r="AQ187" s="613"/>
      <c r="AR187" s="613"/>
      <c r="AS187" s="613"/>
      <c r="AT187" s="613"/>
      <c r="AU187" s="613"/>
      <c r="AV187" s="613"/>
      <c r="AW187" s="613"/>
      <c r="AX187" s="613"/>
      <c r="AY187" s="613"/>
      <c r="AZ187" s="613"/>
      <c r="BA187" s="613"/>
      <c r="BB187" s="613"/>
      <c r="BC187" s="613"/>
      <c r="BD187" s="374"/>
      <c r="BE187" s="374"/>
      <c r="BF187" s="374"/>
      <c r="BG187" s="374"/>
      <c r="BH187" s="374"/>
      <c r="BI187" s="374"/>
      <c r="BJ187" s="374"/>
      <c r="BK187" s="374"/>
      <c r="BL187" s="374"/>
      <c r="BM187" s="374"/>
      <c r="BN187" s="73"/>
      <c r="BO187" s="73"/>
      <c r="BP187" s="73"/>
      <c r="BQ187" s="227"/>
      <c r="BR187" s="227"/>
      <c r="BS187" s="1232" t="s">
        <v>1774</v>
      </c>
      <c r="BT187" s="1232"/>
      <c r="BU187" s="1232"/>
      <c r="BV187" s="1233"/>
      <c r="BW187" s="1233"/>
      <c r="BX187" s="1336" cm="1" t="str">
        <f t="array" ref="BX187:BX187">"M11397"&amp;"::"&amp;IF(N187&lt;&gt;"",N187,"Неопределено")&amp;"::"&amp;IF(M187&lt;&gt;"",M187,"Неопределено")&amp;"::"&amp;IF(O187&lt;&gt;"",O187,"Неопределено")&amp;"::"&amp;IF(P187&lt;&gt;"",P187,"Неопределено")&amp;"::"&amp;IF(Q187&lt;&gt;"",Q187,"Неопределено")&amp;"::"&amp;IF(R187&lt;&gt;"",R187,"Неопределено")</f>
        <v>M11397::ТЭ.42.26824396.0005::Неопределено::Неопределено::Неопределено::Неопределено::Неопределено</v>
      </c>
    </row>
    <row s="1619" customFormat="1" customHeight="1" ht="31.5" hidden="1">
      <c r="A188" s="225"/>
      <c r="B188" s="924"/>
      <c r="C188" s="1298" t="s">
        <v>1775</v>
      </c>
      <c r="D188" s="1257" t="s">
        <v>1776</v>
      </c>
      <c r="E188" s="794">
        <v>33</v>
      </c>
      <c r="F188" s="919" cm="1" t="str">
        <f t="array" ref="F188:F188">OFFSET(G188,-1,-1)</f>
        <v>2</v>
      </c>
      <c r="G188" s="190" t="s">
        <v>1777</v>
      </c>
      <c r="H188" s="227"/>
      <c r="I188" s="227"/>
      <c r="J188" s="227"/>
      <c r="K188" s="227"/>
      <c r="L188" s="190" t="s">
        <v>1710</v>
      </c>
      <c r="M188" s="1281"/>
      <c r="N188" s="1281" cm="1" t="str">
        <f t="array" ref="N188:N188">OFFSET(M188,-1,1)</f>
        <v>ТЭ.42.26824396.0005</v>
      </c>
      <c r="O188" s="1282" t="s">
        <v>1724</v>
      </c>
      <c r="P188" s="1282"/>
      <c r="Q188" s="1282"/>
      <c r="R188" s="1282"/>
      <c r="S188" s="1619"/>
      <c r="T188" s="805" cm="1" t="str">
        <f t="array" ref="T188:T188">T187</f>
        <v>false</v>
      </c>
      <c r="U188" s="1461"/>
      <c r="V188" s="1461"/>
      <c r="W188" s="1461"/>
      <c r="X188" s="1461"/>
      <c r="Y188" s="1461"/>
      <c r="Z188" s="1461"/>
      <c r="AA188" s="227"/>
      <c r="AB188" s="660" t="str">
        <f>AB187&amp;".1"</f>
        <v>18.1</v>
      </c>
      <c r="AC188" s="161" t="s">
        <v>1778</v>
      </c>
      <c r="AD188" s="517" t="s">
        <v>1779</v>
      </c>
      <c r="AE188" s="98"/>
      <c r="AF188" s="374"/>
      <c r="AG188" s="374"/>
      <c r="AH188" s="374"/>
      <c r="AI188" s="121">
        <f>MIN(AE189,_xlfn.IFERROR(AI172/AI180/12,0))</f>
        <v>0</v>
      </c>
      <c r="AJ188" s="614">
        <f>MIN(AI189,_xlfn.IFERROR(AJ172/AJ180/12,0))</f>
        <v>0</v>
      </c>
      <c r="AK188" s="614">
        <f>MIN(AJ189,_xlfn.IFERROR(AK172/AK180/12,0))</f>
        <v>0</v>
      </c>
      <c r="AL188" s="614">
        <f>MIN(AK189,_xlfn.IFERROR(AL172/AL180/12,0))</f>
        <v>0</v>
      </c>
      <c r="AM188" s="614">
        <f>MIN(AL189,_xlfn.IFERROR(AM172/AM180/12,0))</f>
        <v>0</v>
      </c>
      <c r="AN188" s="614">
        <f>MIN(AM189,_xlfn.IFERROR(AN172/AN180/12,0))</f>
        <v>0</v>
      </c>
      <c r="AO188" s="121">
        <f>MIN(AN189,_xlfn.IFERROR(AO172/AO180/12,0))</f>
        <v>0</v>
      </c>
      <c r="AP188" s="121">
        <f>MIN(AO189,_xlfn.IFERROR(AP172/AP180/12,0))</f>
        <v>0</v>
      </c>
      <c r="AQ188" s="121">
        <f>MIN(AP189,_xlfn.IFERROR(AQ172/AQ180/12,0))</f>
        <v>0</v>
      </c>
      <c r="AR188" s="121">
        <f>MIN(AQ189,_xlfn.IFERROR(AR172/AR180/12,0))</f>
        <v>0</v>
      </c>
      <c r="AS188" s="121">
        <f>MIN(AR189,_xlfn.IFERROR(AS172/AS180/12,0))</f>
        <v>0</v>
      </c>
      <c r="AT188" s="614">
        <f>MIN(AI189,_xlfn.IFERROR(AT172/AT180/12,0))</f>
        <v>0</v>
      </c>
      <c r="AU188" s="614">
        <f>MIN(AT189,_xlfn.IFERROR(AU172/AU180/12,0))</f>
        <v>0</v>
      </c>
      <c r="AV188" s="614">
        <f>MIN(AU189,_xlfn.IFERROR(AV172/AV180/12,0))</f>
        <v>0</v>
      </c>
      <c r="AW188" s="614">
        <f>MIN(AV189,_xlfn.IFERROR(AW172/AW180/12,0))</f>
        <v>0</v>
      </c>
      <c r="AX188" s="614">
        <f>MIN(AW189,_xlfn.IFERROR(AX172/AX180/12,0))</f>
        <v>0</v>
      </c>
      <c r="AY188" s="121">
        <f>MIN(AX189,_xlfn.IFERROR(AY172/AY180/12,0))</f>
        <v>0</v>
      </c>
      <c r="AZ188" s="121">
        <f>MIN(AY189,_xlfn.IFERROR(AZ172/AZ180/12,0))</f>
        <v>0</v>
      </c>
      <c r="BA188" s="121">
        <f>MIN(AZ189,_xlfn.IFERROR(BA172/BA180/12,0))</f>
        <v>0</v>
      </c>
      <c r="BB188" s="121">
        <f>MIN(BA189,_xlfn.IFERROR(BB172/BB180/12,0))</f>
        <v>0</v>
      </c>
      <c r="BC188" s="121">
        <f>MIN(BB189,_xlfn.IFERROR(BC172/BC180/12,0))</f>
        <v>0</v>
      </c>
      <c r="BD188" s="374"/>
      <c r="BE188" s="374"/>
      <c r="BF188" s="374"/>
      <c r="BG188" s="374"/>
      <c r="BH188" s="374"/>
      <c r="BI188" s="374"/>
      <c r="BJ188" s="374"/>
      <c r="BK188" s="374"/>
      <c r="BL188" s="374"/>
      <c r="BM188" s="374"/>
      <c r="BN188" s="73"/>
      <c r="BO188" s="73"/>
      <c r="BP188" s="73"/>
      <c r="BQ188" s="227"/>
      <c r="BR188" s="227"/>
      <c r="BS188" s="1232" t="s">
        <v>1780</v>
      </c>
      <c r="BT188" s="1232"/>
      <c r="BU188" s="1232"/>
      <c r="BV188" s="1233"/>
      <c r="BW188" s="1233"/>
      <c r="BX188" s="1268" cm="1" t="str">
        <f t="array" ref="BX188:BX188">D188&amp;"::"&amp;IF(N188&lt;&gt;"",N188,"Неопределено")&amp;"::"&amp;IF(M188&lt;&gt;"",M188,"Неопределено")&amp;"::"&amp;IF(O188&lt;&gt;"",O188,"Неопределено")&amp;"::"&amp;IF(P188&lt;&gt;"",P188,"Неопределено")&amp;"::"&amp;IF(Q188&lt;&gt;"",Q188,"Неопределено")&amp;"::"&amp;IF(R188&lt;&gt;"",R188,"Неопределено")</f>
        <v>M11397::ТЭ.42.26824396.0005::Неопределено::8.0.3.::Неопределено::Неопределено::Неопределено</v>
      </c>
    </row>
    <row s="1619" customFormat="1" customHeight="1" ht="31.5" hidden="1">
      <c r="A189" s="225"/>
      <c r="B189" s="924"/>
      <c r="C189" s="1298" t="s">
        <v>1775</v>
      </c>
      <c r="D189" s="1257" t="s">
        <v>1776</v>
      </c>
      <c r="E189" s="794">
        <v>33</v>
      </c>
      <c r="F189" s="919" cm="1" t="str">
        <f t="array" ref="F189:F189">OFFSET(G189,-1,-1)</f>
        <v>2</v>
      </c>
      <c r="G189" s="190" t="s">
        <v>1781</v>
      </c>
      <c r="H189" s="227"/>
      <c r="I189" s="227"/>
      <c r="J189" s="227"/>
      <c r="K189" s="227"/>
      <c r="L189" s="190" t="s">
        <v>1710</v>
      </c>
      <c r="M189" s="1281"/>
      <c r="N189" s="1281" cm="1" t="str">
        <f t="array" ref="N189:N189">OFFSET(M189,-1,1)</f>
        <v>ТЭ.42.26824396.0005</v>
      </c>
      <c r="O189" s="1282" t="s">
        <v>1733</v>
      </c>
      <c r="P189" s="1282"/>
      <c r="Q189" s="1282"/>
      <c r="R189" s="1282"/>
      <c r="S189" s="1619"/>
      <c r="T189" s="805" cm="1" t="str">
        <f t="array" ref="T189:T189">T188</f>
        <v>false</v>
      </c>
      <c r="U189" s="1461"/>
      <c r="V189" s="1461"/>
      <c r="W189" s="1461"/>
      <c r="X189" s="1461"/>
      <c r="Y189" s="1461"/>
      <c r="Z189" s="1461"/>
      <c r="AA189" s="227"/>
      <c r="AB189" s="660" t="str">
        <f>AB187&amp;".2"</f>
        <v>18.2</v>
      </c>
      <c r="AC189" s="161" t="s">
        <v>1782</v>
      </c>
      <c r="AD189" s="517" t="s">
        <v>1779</v>
      </c>
      <c r="AE189" s="307">
        <f>_xlfn.IFERROR((AE172-AE181*6*AE188)/AE182/6,0)</f>
        <v>0</v>
      </c>
      <c r="AF189" s="374"/>
      <c r="AG189" s="374"/>
      <c r="AH189" s="374"/>
      <c r="AI189" s="307">
        <f>_xlfn.IFERROR((AI172-AI181*6*AI188)/AI182/6,0)</f>
        <v>0</v>
      </c>
      <c r="AJ189" s="307">
        <f>_xlfn.IFERROR((AJ172-AJ181*IF(god=2026,9,6)*AJ188)/AJ182/IF(god=2026,3,6),0)</f>
        <v>0</v>
      </c>
      <c r="AK189" s="307">
        <f>_xlfn.IFERROR((AK172-AK181*IF(god=2025,9,6)*AK188)/AK182/IF(god=2025,3,6),0)</f>
        <v>0</v>
      </c>
      <c r="AL189" s="307">
        <f>_xlfn.IFERROR((AL172-AL181*6*AL188)/AL182/6,0)</f>
        <v>0</v>
      </c>
      <c r="AM189" s="307">
        <f>_xlfn.IFERROR((AM172-AM181*6*AM188)/AM182/6,0)</f>
        <v>0</v>
      </c>
      <c r="AN189" s="307">
        <f>_xlfn.IFERROR((AN172-AN181*6*AN188)/AN182/6,0)</f>
        <v>0</v>
      </c>
      <c r="AO189" s="307">
        <f>_xlfn.IFERROR((AO172-AO181*6*AO188)/AO182/6,0)</f>
        <v>0</v>
      </c>
      <c r="AP189" s="307">
        <f>_xlfn.IFERROR((AP172-AP181*6*AP188)/AP182/6,0)</f>
        <v>0</v>
      </c>
      <c r="AQ189" s="307">
        <f>_xlfn.IFERROR((AQ172-AQ181*6*AQ188)/AQ182/6,0)</f>
        <v>0</v>
      </c>
      <c r="AR189" s="307">
        <f>_xlfn.IFERROR((AR172-AR181*6*AR188)/AR182/6,0)</f>
        <v>0</v>
      </c>
      <c r="AS189" s="307">
        <f>_xlfn.IFERROR((AS172-AS181*6*AS188)/AS182/6,0)</f>
        <v>0</v>
      </c>
      <c r="AT189" s="307">
        <f>_xlfn.IFERROR((AT172-AT181*IF(god=2026,9,6)*AT188)/AT182/IF(god=2026,3,6),0)</f>
        <v>0</v>
      </c>
      <c r="AU189" s="307">
        <f>_xlfn.IFERROR((AU172-AU181*IF(god=2025,9,6)*AU188)/AU182/IF(god=2025,3,6),0)</f>
        <v>0</v>
      </c>
      <c r="AV189" s="307">
        <f>_xlfn.IFERROR((AV172-AV181*6*AV188)/AV182/6,0)</f>
        <v>0</v>
      </c>
      <c r="AW189" s="307">
        <f>_xlfn.IFERROR((AW172-AW181*6*AW188)/AW182/6,0)</f>
        <v>0</v>
      </c>
      <c r="AX189" s="307">
        <f>_xlfn.IFERROR((AX172-AX181*6*AX188)/AX182/6,0)</f>
        <v>0</v>
      </c>
      <c r="AY189" s="307">
        <f>_xlfn.IFERROR((AY172-AY181*6*AY188)/AY182/6,0)</f>
        <v>0</v>
      </c>
      <c r="AZ189" s="307">
        <f>_xlfn.IFERROR((AZ172-AZ181*6*AZ188)/AZ182/6,0)</f>
        <v>0</v>
      </c>
      <c r="BA189" s="307">
        <f>_xlfn.IFERROR((BA172-BA181*6*BA188)/BA182/6,0)</f>
        <v>0</v>
      </c>
      <c r="BB189" s="307">
        <f>_xlfn.IFERROR((BB172-BB181*6*BB188)/BB182/6,0)</f>
        <v>0</v>
      </c>
      <c r="BC189" s="307">
        <f>_xlfn.IFERROR((BC172-BC181*6*BC188)/BC182/6,0)</f>
        <v>0</v>
      </c>
      <c r="BD189" s="374"/>
      <c r="BE189" s="374"/>
      <c r="BF189" s="374"/>
      <c r="BG189" s="374"/>
      <c r="BH189" s="374"/>
      <c r="BI189" s="374"/>
      <c r="BJ189" s="374"/>
      <c r="BK189" s="374"/>
      <c r="BL189" s="374"/>
      <c r="BM189" s="374"/>
      <c r="BN189" s="73"/>
      <c r="BO189" s="73"/>
      <c r="BP189" s="73"/>
      <c r="BQ189" s="227"/>
      <c r="BR189" s="227"/>
      <c r="BS189" s="1232" t="s">
        <v>1783</v>
      </c>
      <c r="BT189" s="1232"/>
      <c r="BU189" s="1232"/>
      <c r="BV189" s="1233"/>
      <c r="BW189" s="1233"/>
      <c r="BX189" s="1268" cm="1" t="str">
        <f t="array" ref="BX189:BX189">D189&amp;"::"&amp;IF(N189&lt;&gt;"",N189,"Неопределено")&amp;"::"&amp;IF(M189&lt;&gt;"",M189,"Неопределено")&amp;"::"&amp;IF(O189&lt;&gt;"",O189,"Неопределено")&amp;"::"&amp;IF(P189&lt;&gt;"",P189,"Неопределено")&amp;"::"&amp;IF(Q189&lt;&gt;"",Q189,"Неопределено")&amp;"::"&amp;IF(R189&lt;&gt;"",R189,"Неопределено")</f>
        <v>M11397::ТЭ.42.26824396.0005::Неопределено::8.0.5.::Неопределено::Неопределено::Неопределено</v>
      </c>
    </row>
    <row s="1619" customFormat="1" customHeight="1" ht="14.25" hidden="1">
      <c r="A190" s="225"/>
      <c r="B190" s="924"/>
      <c r="C190" s="1298" t="s">
        <v>1768</v>
      </c>
      <c r="D190" s="1257" t="s">
        <v>1769</v>
      </c>
      <c r="E190" s="794">
        <v>15</v>
      </c>
      <c r="F190" s="919" cm="1" t="str">
        <f t="array" ref="F190:F190">OFFSET(G190,-1,-1)</f>
        <v>2</v>
      </c>
      <c r="G190" s="227"/>
      <c r="H190" s="227"/>
      <c r="I190" s="227"/>
      <c r="J190" s="227"/>
      <c r="K190" s="227"/>
      <c r="L190" s="190" t="s">
        <v>1710</v>
      </c>
      <c r="M190" s="1281"/>
      <c r="N190" s="1281" cm="1" t="str">
        <f t="array" ref="N190:N190">OFFSET(M190,-1,1)</f>
        <v>ТЭ.42.26824396.0005</v>
      </c>
      <c r="O190" s="1282"/>
      <c r="P190" s="1282"/>
      <c r="Q190" s="1282" t="s">
        <v>1784</v>
      </c>
      <c r="R190" s="1282"/>
      <c r="S190" s="1619"/>
      <c r="T190" s="805" cm="1" t="str">
        <f t="array" ref="T190:T190">T189</f>
        <v>false</v>
      </c>
      <c r="U190" s="1461"/>
      <c r="V190" s="1461"/>
      <c r="W190" s="1461"/>
      <c r="X190" s="1461"/>
      <c r="Y190" s="1461"/>
      <c r="Z190" s="1461"/>
      <c r="AA190" s="227"/>
      <c r="AB190" s="660" t="str">
        <f>AB187&amp;".3"</f>
        <v>18.3</v>
      </c>
      <c r="AC190" s="312" t="s">
        <v>1785</v>
      </c>
      <c r="AD190" s="717" t="s">
        <v>490</v>
      </c>
      <c r="AE190" s="1061">
        <f>_xlfn.IFERROR(AE189/AE188,0)</f>
        <v>0</v>
      </c>
      <c r="AF190" s="374"/>
      <c r="AG190" s="374"/>
      <c r="AH190" s="1062"/>
      <c r="AI190" s="662">
        <f>_xlfn.IFERROR(AI189/AI188,0)</f>
        <v>0</v>
      </c>
      <c r="AJ190" s="662">
        <f>_xlfn.IFERROR(AJ189/AJ188,0)</f>
        <v>0</v>
      </c>
      <c r="AK190" s="662">
        <f>_xlfn.IFERROR(AK189/AK188,0)</f>
        <v>0</v>
      </c>
      <c r="AL190" s="662">
        <f>_xlfn.IFERROR(AL189/AL188,0)</f>
        <v>0</v>
      </c>
      <c r="AM190" s="662">
        <f>_xlfn.IFERROR(AM189/AM188,0)</f>
        <v>0</v>
      </c>
      <c r="AN190" s="662">
        <f>_xlfn.IFERROR(AN189/AN188,0)</f>
        <v>0</v>
      </c>
      <c r="AO190" s="662">
        <f>_xlfn.IFERROR(AO189/AO188,0)</f>
        <v>0</v>
      </c>
      <c r="AP190" s="662">
        <f>_xlfn.IFERROR(AP189/AP188,0)</f>
        <v>0</v>
      </c>
      <c r="AQ190" s="662">
        <f>_xlfn.IFERROR(AQ189/AQ188,0)</f>
        <v>0</v>
      </c>
      <c r="AR190" s="662">
        <f>_xlfn.IFERROR(AR189/AR188,0)</f>
        <v>0</v>
      </c>
      <c r="AS190" s="662">
        <f>_xlfn.IFERROR(AS189/AS188,0)</f>
        <v>0</v>
      </c>
      <c r="AT190" s="662">
        <f>_xlfn.IFERROR(AT189/AT188,0)</f>
        <v>0</v>
      </c>
      <c r="AU190" s="662">
        <f>_xlfn.IFERROR(AU189/AU188,0)</f>
        <v>0</v>
      </c>
      <c r="AV190" s="662">
        <f>_xlfn.IFERROR(AV189/AV188,0)</f>
        <v>0</v>
      </c>
      <c r="AW190" s="662">
        <f>_xlfn.IFERROR(AW189/AW188,0)</f>
        <v>0</v>
      </c>
      <c r="AX190" s="662">
        <f>_xlfn.IFERROR(AX189/AX188,0)</f>
        <v>0</v>
      </c>
      <c r="AY190" s="662">
        <f>_xlfn.IFERROR(AY189/AY188,0)</f>
        <v>0</v>
      </c>
      <c r="AZ190" s="662">
        <f>_xlfn.IFERROR(AZ189/AZ188,0)</f>
        <v>0</v>
      </c>
      <c r="BA190" s="662">
        <f>_xlfn.IFERROR(BA189/BA188,0)</f>
        <v>0</v>
      </c>
      <c r="BB190" s="662">
        <f>_xlfn.IFERROR(BB189/BB188,0)</f>
        <v>0</v>
      </c>
      <c r="BC190" s="662">
        <f>_xlfn.IFERROR(BC189/BC188,0)</f>
        <v>0</v>
      </c>
      <c r="BD190" s="374"/>
      <c r="BE190" s="374"/>
      <c r="BF190" s="374"/>
      <c r="BG190" s="374"/>
      <c r="BH190" s="374"/>
      <c r="BI190" s="374"/>
      <c r="BJ190" s="374"/>
      <c r="BK190" s="374"/>
      <c r="BL190" s="374"/>
      <c r="BM190" s="374"/>
      <c r="BN190" s="73"/>
      <c r="BO190" s="73"/>
      <c r="BP190" s="73"/>
      <c r="BQ190" s="227"/>
      <c r="BR190" s="227"/>
      <c r="BS190" s="1232" t="s">
        <v>1786</v>
      </c>
      <c r="BT190" s="1232"/>
      <c r="BU190" s="1232"/>
      <c r="BV190" s="1233"/>
      <c r="BW190" s="1233"/>
      <c r="BX190" s="1268" cm="1" t="str">
        <f t="array" ref="BX190:BX190">D190&amp;"::"&amp;IF(N190&lt;&gt;"",N190,"Неопределено")&amp;"::"&amp;IF(M190&lt;&gt;"",M190,"Неопределено")&amp;"::"&amp;IF(O190&lt;&gt;"",O190,"Неопределено")&amp;"::"&amp;IF(P190&lt;&gt;"",P190,"Неопределено")&amp;"::"&amp;IF(Q190&lt;&gt;"",Q190,"Неопределено")&amp;"::"&amp;IF(R190&lt;&gt;"",R190,"Неопределено")</f>
        <v>M10444::ТЭ.42.26824396.0005::Неопределено::Неопределено::Неопределено::225.0.1.::Неопределено</v>
      </c>
    </row>
    <row s="1619" customFormat="1" customHeight="1" ht="29.25">
      <c r="A191" s="225"/>
      <c r="B191" s="924"/>
      <c r="C191" s="1298" t="s">
        <v>1787</v>
      </c>
      <c r="D191" s="1257" t="s">
        <v>1788</v>
      </c>
      <c r="E191" s="794">
        <v>30</v>
      </c>
      <c r="F191" s="919" cm="1" t="str">
        <f t="array" ref="F191:F191">OFFSET(G191,-1,-1)</f>
        <v>2</v>
      </c>
      <c r="G191" s="227"/>
      <c r="H191" s="227"/>
      <c r="I191" s="227"/>
      <c r="J191" s="227"/>
      <c r="K191" s="227"/>
      <c r="L191" s="190"/>
      <c r="M191" s="1281"/>
      <c r="N191" s="1281" cm="1" t="str">
        <f t="array" ref="N191:N191">OFFSET(M191,-1,1)</f>
        <v>ТЭ.42.26824396.0005</v>
      </c>
      <c r="O191" s="1282"/>
      <c r="P191" s="1282"/>
      <c r="Q191" s="1282"/>
      <c r="R191" s="1282"/>
      <c r="S191" s="1619"/>
      <c r="T191" s="805" cm="1" t="str">
        <f t="array" ref="T191:T191">T170</f>
        <v>true</v>
      </c>
      <c r="U191" s="1461"/>
      <c r="V191" s="1461"/>
      <c r="W191" s="1461"/>
      <c r="X191" s="1461"/>
      <c r="Y191" s="1461"/>
      <c r="Z191" s="1461"/>
      <c r="AA191" s="227"/>
      <c r="AB191" s="285" t="s">
        <v>1789</v>
      </c>
      <c r="AC191" s="1059" t="s">
        <v>1790</v>
      </c>
      <c r="AD191" s="577" t="s">
        <v>1019</v>
      </c>
      <c r="AE191" s="1785"/>
      <c r="AF191" s="1785"/>
      <c r="AG191" s="1938"/>
      <c r="AH191" s="307">
        <f>AG191-AF191</f>
        <v>0</v>
      </c>
      <c r="AI191" s="1939"/>
      <c r="AJ191" s="1060"/>
      <c r="AK191" s="1060"/>
      <c r="AL191" s="1060"/>
      <c r="AM191" s="1060"/>
      <c r="AN191" s="1060"/>
      <c r="AO191" s="1939"/>
      <c r="AP191" s="1939"/>
      <c r="AQ191" s="1939"/>
      <c r="AR191" s="1939"/>
      <c r="AS191" s="1939"/>
      <c r="AT191" s="1060"/>
      <c r="AU191" s="1060"/>
      <c r="AV191" s="1060"/>
      <c r="AW191" s="1060"/>
      <c r="AX191" s="1060"/>
      <c r="AY191" s="1939"/>
      <c r="AZ191" s="1939"/>
      <c r="BA191" s="1939"/>
      <c r="BB191" s="1939"/>
      <c r="BC191" s="1939"/>
      <c r="BD191" s="307">
        <f>IF(AI191=0,0,(AT191-AI191)/AI191*100)</f>
        <v>0</v>
      </c>
      <c r="BE191" s="307">
        <f>IF(AT191=0,0,(AU191-AT191)/AT191*100)</f>
        <v>0</v>
      </c>
      <c r="BF191" s="307">
        <f>IF(AU191=0,0,(AV191-AU191)/AU191*100)</f>
        <v>0</v>
      </c>
      <c r="BG191" s="307">
        <f>IF(AV191=0,0,(AW191-AV191)/AV191*100)</f>
        <v>0</v>
      </c>
      <c r="BH191" s="307">
        <f>IF(AW191=0,0,(AX191-AW191)/AW191*100)</f>
        <v>0</v>
      </c>
      <c r="BI191" s="307">
        <f>IF(AX191=0,0,(AY191-AX191)/AX191*100)</f>
        <v>0</v>
      </c>
      <c r="BJ191" s="307">
        <f>IF(AY191=0,0,(AZ191-AY191)/AY191*100)</f>
        <v>0</v>
      </c>
      <c r="BK191" s="307">
        <f>IF(AZ191=0,0,(BA191-AZ191)/AZ191*100)</f>
        <v>0</v>
      </c>
      <c r="BL191" s="307">
        <f>IF(BA191=0,0,(BB191-BA191)/BA191*100)</f>
        <v>0</v>
      </c>
      <c r="BM191" s="307">
        <f>IF(BB191=0,0,(BC191-BB191)/BB191*100)</f>
        <v>0</v>
      </c>
      <c r="BN191" s="1730"/>
      <c r="BO191" s="1730"/>
      <c r="BP191" s="1730"/>
      <c r="BQ191" s="227"/>
      <c r="BR191" s="227"/>
      <c r="BS191" s="1232" t="s">
        <v>1791</v>
      </c>
      <c r="BT191" s="1232"/>
      <c r="BU191" s="1232"/>
      <c r="BV191" s="1233"/>
      <c r="BW191" s="1233"/>
      <c r="BX191" s="1268" cm="1" t="str">
        <f t="array" ref="BX191:BX191">D191&amp;"::"&amp;IF(N191&lt;&gt;"",N191,"Неопределено")&amp;"::"&amp;IF(M191&lt;&gt;"",M191,"Неопределено")&amp;"::"&amp;IF(O191&lt;&gt;"",O191,"Неопределено")&amp;"::"&amp;IF(P191&lt;&gt;"",P191,"Неопределено")&amp;"::"&amp;IF(Q191&lt;&gt;"",Q191,"Неопределено")&amp;"::"&amp;IF(R191&lt;&gt;"",R191,"Неопределено")</f>
        <v>M10591::ТЭ.42.26824396.0005::Неопределено::Неопределено::Неопределено::Неопределено::Неопределено</v>
      </c>
    </row>
    <row customHeight="1" ht="9.945">
      <c r="E192" s="794">
        <v>10.2</v>
      </c>
      <c r="U192" s="176" t="s">
        <v>235</v>
      </c>
      <c r="V192" s="168" t="s">
        <v>1792</v>
      </c>
      <c r="AJ192" s="227"/>
      <c r="AK192" s="227"/>
      <c r="AL192" s="227"/>
      <c r="AM192" s="227"/>
      <c r="AN192" s="227"/>
      <c r="AO192" s="227"/>
      <c r="AP192" s="227"/>
      <c r="AQ192" s="227"/>
      <c r="AR192" s="227"/>
      <c r="AS192" s="227"/>
      <c r="AT192" s="227"/>
      <c r="AU192" s="227"/>
      <c r="AV192" s="227"/>
      <c r="AW192" s="227"/>
      <c r="AX192" s="227"/>
      <c r="AY192" s="227"/>
      <c r="AZ192" s="227"/>
      <c r="BA192" s="227"/>
      <c r="BB192" s="227"/>
      <c r="BC192" s="227"/>
      <c r="BD192" s="227"/>
      <c r="BE192" s="227"/>
      <c r="BF192" s="227"/>
      <c r="BG192" s="227"/>
      <c r="BH192" s="227"/>
      <c r="BI192" s="227"/>
      <c r="BJ192" s="227"/>
      <c r="BK192" s="227"/>
      <c r="BL192" s="227"/>
      <c r="BM192" s="227"/>
    </row>
    <row customHeight="1" ht="11.25" hidden="1">
      <c r="E193" s="794">
        <v>0</v>
      </c>
      <c r="AJ193" s="227"/>
      <c r="AK193" s="227"/>
      <c r="AL193" s="227"/>
      <c r="AM193" s="227"/>
      <c r="AN193" s="227"/>
      <c r="AO193" s="227"/>
      <c r="AP193" s="227"/>
      <c r="AQ193" s="227"/>
      <c r="AR193" s="227"/>
      <c r="AS193" s="227"/>
      <c r="AT193" s="227"/>
      <c r="AU193" s="227"/>
      <c r="AV193" s="227"/>
      <c r="AW193" s="227"/>
      <c r="AX193" s="227"/>
      <c r="AY193" s="227"/>
      <c r="AZ193" s="227"/>
      <c r="BA193" s="227"/>
      <c r="BB193" s="227"/>
      <c r="BC193" s="227"/>
      <c r="BD193" s="227"/>
      <c r="BE193" s="227"/>
      <c r="BF193" s="227"/>
      <c r="BG193" s="227"/>
      <c r="BH193" s="227"/>
      <c r="BI193" s="227"/>
      <c r="BJ193" s="227"/>
      <c r="BK193" s="227"/>
      <c r="BL193" s="227"/>
      <c r="BM193" s="227"/>
    </row>
    <row customHeight="1" ht="14.625">
      <c r="E194" s="794">
        <v>15</v>
      </c>
      <c r="AB194" s="1527" t="s">
        <v>700</v>
      </c>
      <c r="AC194" s="1527"/>
      <c r="AD194" s="1527"/>
      <c r="AE194" s="1527"/>
      <c r="AF194" s="1527"/>
      <c r="AG194" s="1527"/>
      <c r="AH194" s="1527"/>
      <c r="AI194" s="1527"/>
      <c r="AJ194" s="1527"/>
      <c r="AK194" s="1527"/>
      <c r="AL194" s="1527"/>
      <c r="AM194" s="1527"/>
      <c r="AN194" s="1527"/>
      <c r="AO194" s="1527"/>
      <c r="AP194" s="1527"/>
      <c r="AQ194" s="1527"/>
      <c r="AR194" s="1527"/>
      <c r="AS194" s="1527"/>
      <c r="AT194" s="1527"/>
      <c r="AU194" s="1527"/>
      <c r="AV194" s="1527"/>
      <c r="AW194" s="1527"/>
      <c r="AX194" s="1527"/>
      <c r="AY194" s="1527"/>
      <c r="AZ194" s="1527"/>
      <c r="BA194" s="1527"/>
      <c r="BB194" s="1527"/>
      <c r="BC194" s="1527"/>
      <c r="BD194" s="1527"/>
      <c r="BE194" s="1527"/>
      <c r="BF194" s="1527"/>
      <c r="BG194" s="1527"/>
      <c r="BH194" s="1527"/>
      <c r="BI194" s="1527"/>
      <c r="BJ194" s="1527"/>
      <c r="BK194" s="1527"/>
      <c r="BL194" s="1527"/>
      <c r="BM194" s="1527"/>
      <c r="BN194" s="1527"/>
      <c r="BO194" s="1527"/>
      <c r="BP194" s="1527"/>
    </row>
    <row customHeight="1" ht="14.625">
      <c r="E195" s="794">
        <v>15</v>
      </c>
      <c r="AA195" s="918"/>
      <c r="AB195" s="1540"/>
      <c r="AC195" s="1541"/>
      <c r="AD195" s="1541"/>
      <c r="AE195" s="1541"/>
      <c r="AF195" s="1541"/>
      <c r="AG195" s="1541"/>
      <c r="AH195" s="1541"/>
      <c r="AI195" s="1541"/>
      <c r="AJ195" s="1541"/>
      <c r="AK195" s="1541"/>
      <c r="AL195" s="1541"/>
      <c r="AM195" s="1541"/>
      <c r="AN195" s="1541"/>
      <c r="AO195" s="1541"/>
      <c r="AP195" s="1541"/>
      <c r="AQ195" s="1541"/>
      <c r="AR195" s="1541"/>
      <c r="AS195" s="1541"/>
      <c r="AT195" s="1541"/>
      <c r="AU195" s="1541"/>
      <c r="AV195" s="1541"/>
      <c r="AW195" s="1541"/>
      <c r="AX195" s="1541"/>
      <c r="AY195" s="1541"/>
      <c r="AZ195" s="1541"/>
      <c r="BA195" s="1541"/>
      <c r="BB195" s="1541"/>
      <c r="BC195" s="1541"/>
      <c r="BD195" s="1541"/>
      <c r="BE195" s="1541"/>
      <c r="BF195" s="1541"/>
      <c r="BG195" s="1541"/>
      <c r="BH195" s="1541"/>
      <c r="BI195" s="1541"/>
      <c r="BJ195" s="1541"/>
      <c r="BK195" s="1541"/>
      <c r="BL195" s="1541"/>
      <c r="BM195" s="1541"/>
      <c r="BN195" s="1541"/>
      <c r="BO195" s="1541"/>
      <c r="BP195" s="1541"/>
    </row>
    <row customHeight="1" ht="14.625" hidden="1">
      <c r="A196" s="225"/>
      <c r="B196" s="924"/>
      <c r="C196" s="1299"/>
      <c r="D196" s="1263"/>
      <c r="E196" s="794">
        <v>15</v>
      </c>
      <c r="F196" s="225"/>
      <c r="G196" s="227"/>
      <c r="H196" s="227"/>
      <c r="I196" s="227"/>
      <c r="J196" s="227"/>
      <c r="K196" s="227"/>
      <c r="L196" s="190"/>
      <c r="M196" s="1267"/>
      <c r="N196" s="1267"/>
      <c r="O196" s="1275"/>
      <c r="P196" s="1275"/>
      <c r="Q196" s="1275"/>
      <c r="R196" s="1275"/>
      <c r="S196" s="1760"/>
      <c r="T196" s="805">
        <f>ROW(W196)&gt;ROW(W$196)</f>
        <v>0</v>
      </c>
      <c r="U196" s="1461"/>
      <c r="V196" s="1461"/>
      <c r="W196" s="172" t="s">
        <v>233</v>
      </c>
      <c r="X196" s="1461"/>
      <c r="Y196" s="1461"/>
      <c r="Z196" s="1461"/>
      <c r="AA196" s="914" t="s">
        <v>217</v>
      </c>
      <c r="AB196" s="1865"/>
      <c r="AC196" s="1541"/>
      <c r="AD196" s="1541"/>
      <c r="AE196" s="1541"/>
      <c r="AF196" s="1541"/>
      <c r="AG196" s="1541"/>
      <c r="AH196" s="1541"/>
      <c r="AI196" s="1541"/>
      <c r="AJ196" s="1541"/>
      <c r="AK196" s="1541"/>
      <c r="AL196" s="1541"/>
      <c r="AM196" s="1541"/>
      <c r="AN196" s="1541"/>
      <c r="AO196" s="1541"/>
      <c r="AP196" s="1541"/>
      <c r="AQ196" s="1541"/>
      <c r="AR196" s="1541"/>
      <c r="AS196" s="1541"/>
      <c r="AT196" s="1541"/>
      <c r="AU196" s="1541"/>
      <c r="AV196" s="1541"/>
      <c r="AW196" s="1541"/>
      <c r="AX196" s="1541"/>
      <c r="AY196" s="1541"/>
      <c r="AZ196" s="1541"/>
      <c r="BA196" s="1541"/>
      <c r="BB196" s="1541"/>
      <c r="BC196" s="1541"/>
      <c r="BD196" s="1541"/>
      <c r="BE196" s="1541"/>
      <c r="BF196" s="1541"/>
      <c r="BG196" s="1541"/>
      <c r="BH196" s="1541"/>
      <c r="BI196" s="1541"/>
      <c r="BJ196" s="1541"/>
      <c r="BK196" s="1541"/>
      <c r="BL196" s="1541"/>
      <c r="BM196" s="1541"/>
      <c r="BN196" s="1541"/>
      <c r="BO196" s="1541"/>
      <c r="BP196" s="1541"/>
      <c r="BQ196" s="227"/>
      <c r="BR196" s="227"/>
      <c r="BS196" s="1232"/>
      <c r="BT196" s="1232"/>
      <c r="BU196" s="1232"/>
      <c r="BV196" s="1233"/>
      <c r="BW196" s="1233"/>
      <c r="BX196" s="1330"/>
    </row>
    <row customHeight="1" ht="14.625">
      <c r="E197" s="794">
        <v>15</v>
      </c>
      <c r="W197" s="168" t="s">
        <v>234</v>
      </c>
      <c r="AA197" s="210"/>
      <c r="AB197" s="1475" t="s">
        <v>701</v>
      </c>
      <c r="AC197" s="1476"/>
      <c r="AD197" s="380"/>
      <c r="AE197" s="380"/>
      <c r="AF197" s="380"/>
      <c r="AG197" s="380"/>
      <c r="AH197" s="380"/>
      <c r="AI197" s="380"/>
      <c r="AJ197" s="380"/>
      <c r="AK197" s="380"/>
      <c r="AL197" s="380"/>
      <c r="AM197" s="380"/>
      <c r="AN197" s="380"/>
      <c r="AO197" s="380"/>
      <c r="AP197" s="380"/>
      <c r="AQ197" s="380"/>
      <c r="AR197" s="380"/>
      <c r="AS197" s="380"/>
      <c r="AT197" s="380"/>
      <c r="AU197" s="380"/>
      <c r="AV197" s="380"/>
      <c r="AW197" s="380"/>
      <c r="AX197" s="380"/>
      <c r="AY197" s="380"/>
      <c r="AZ197" s="380"/>
      <c r="BA197" s="380"/>
      <c r="BB197" s="380"/>
      <c r="BC197" s="380"/>
      <c r="BD197" s="380"/>
      <c r="BE197" s="380"/>
      <c r="BF197" s="380"/>
      <c r="BG197" s="380"/>
      <c r="BH197" s="380"/>
      <c r="BI197" s="380"/>
      <c r="BJ197" s="380"/>
      <c r="BK197" s="380"/>
      <c r="BL197" s="380"/>
      <c r="BM197" s="380"/>
      <c r="BN197" s="380"/>
      <c r="BO197" s="380"/>
      <c r="BP197" s="347"/>
    </row>
    <row customHeight="1" ht="11.25">
      <c r="AJ198" s="227"/>
      <c r="AK198" s="227"/>
      <c r="AL198" s="227"/>
      <c r="AM198" s="227"/>
      <c r="AN198" s="227"/>
      <c r="AO198" s="227"/>
      <c r="AP198" s="227"/>
      <c r="AQ198" s="227"/>
      <c r="AR198" s="227"/>
      <c r="AS198" s="227"/>
      <c r="AT198" s="227"/>
      <c r="AU198" s="227"/>
      <c r="AV198" s="227"/>
      <c r="AW198" s="227"/>
      <c r="AX198" s="227"/>
      <c r="AY198" s="227"/>
      <c r="AZ198" s="227"/>
      <c r="BA198" s="227"/>
      <c r="BB198" s="227"/>
      <c r="BC198" s="227"/>
      <c r="BD198" s="227"/>
      <c r="BE198" s="227"/>
      <c r="BF198" s="227"/>
      <c r="BG198" s="227"/>
      <c r="BH198" s="227"/>
      <c r="BI198" s="227"/>
      <c r="BJ198" s="227"/>
      <c r="BK198" s="227"/>
      <c r="BL198" s="227"/>
      <c r="BM198" s="227"/>
      <c r="BQ198" s="227"/>
    </row>
  </sheetData>
  <sheetProtection formatColumns="0" formatRows="0" insertRows="0" deleteColumns="0" deleteRows="0" sort="0" autoFilter="0" insertColumns="1"/>
  <mergeCells count="17">
    <mergeCell ref="X27:X81"/>
    <mergeCell ref="Z27:Z81"/>
    <mergeCell ref="AB197:AC197"/>
    <mergeCell ref="AB195:BP195"/>
    <mergeCell ref="BP24:BP25"/>
    <mergeCell ref="BN24:BN25"/>
    <mergeCell ref="BO24:BO25"/>
    <mergeCell ref="AB194:BP194"/>
    <mergeCell ref="AB24:AB25"/>
    <mergeCell ref="AC24:AC25"/>
    <mergeCell ref="AD24:AD25"/>
    <mergeCell ref="BD25:BM25"/>
    <mergeCell ref="AB196:BP196"/>
    <mergeCell ref="X82:X136"/>
    <mergeCell ref="Z82:Z136"/>
    <mergeCell ref="X137:X191"/>
    <mergeCell ref="Z137:Z191"/>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E3B88-7748-7D39-3092-AFC9F33E41F8}" mc:Ignorable="x14ac xr xr2 xr3">
  <sheetPr>
    <tabColor rgb="FF92D050"/>
    <outlinePr summaryRight="0" summaryBelow="0"/>
    <pageSetUpPr fitToPage="1"/>
  </sheetPr>
  <dimension ref="A1:AS23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1793</v>
      </c>
      <c r="M1" s="1276" t="s">
        <v>1566</v>
      </c>
      <c r="N1" s="1276" t="s">
        <v>1794</v>
      </c>
      <c r="O1" s="1276" t="s">
        <v>1795</v>
      </c>
      <c r="P1" s="1276" t="s">
        <v>1796</v>
      </c>
      <c r="Q1" s="1276" t="s">
        <v>1797</v>
      </c>
      <c r="R1" s="1276" t="s">
        <v>1569</v>
      </c>
      <c r="S1" s="1266" t="s">
        <v>1567</v>
      </c>
      <c r="T1" s="805" t="s">
        <v>86</v>
      </c>
      <c r="U1" s="805" t="s">
        <v>91</v>
      </c>
      <c r="V1" s="805" t="s">
        <v>87</v>
      </c>
      <c r="W1" s="805" t="s">
        <v>88</v>
      </c>
      <c r="X1" s="805" t="s">
        <v>89</v>
      </c>
      <c r="Y1" s="816" t="s">
        <v>376</v>
      </c>
      <c r="Z1" s="805" t="s">
        <v>93</v>
      </c>
      <c r="AA1" s="816" t="s">
        <v>90</v>
      </c>
      <c r="AB1" s="816" t="s">
        <v>92</v>
      </c>
      <c r="AJ1" s="225"/>
      <c r="AK1" s="225"/>
      <c r="AL1" s="225"/>
      <c r="AR1" s="1230" t="s">
        <v>377</v>
      </c>
      <c r="AS1" s="1276" t="s">
        <v>1570</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430</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431</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432</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1571</v>
      </c>
      <c r="AF12" s="1266" t="s">
        <v>1571</v>
      </c>
      <c r="AG12" s="1266" t="s">
        <v>1571</v>
      </c>
      <c r="AH12" s="1266" t="s">
        <v>1571</v>
      </c>
      <c r="AI12" s="1266" t="s">
        <v>1571</v>
      </c>
      <c r="AJ12" s="1266" t="s">
        <v>1571</v>
      </c>
      <c r="AK12" s="1266" t="s">
        <v>1571</v>
      </c>
      <c r="AL12" s="1266" t="s">
        <v>1571</v>
      </c>
    </row>
    <row s="1267" customFormat="1" customHeight="1" ht="12" hidden="1">
      <c r="A13" s="1273" t="s">
        <v>1572</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1573</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1574</v>
      </c>
      <c r="AF14" s="1266" t="s">
        <v>1575</v>
      </c>
      <c r="AG14" s="1266" t="s">
        <v>1574</v>
      </c>
      <c r="AH14" s="1266" t="s">
        <v>1576</v>
      </c>
      <c r="AI14" s="1266" t="s">
        <v>1574</v>
      </c>
      <c r="AJ14" s="1266" t="s">
        <v>1575</v>
      </c>
      <c r="AK14" s="1266" t="s">
        <v>1574</v>
      </c>
      <c r="AL14" s="1266" t="s">
        <v>1576</v>
      </c>
    </row>
    <row s="1267" customFormat="1" customHeight="1" ht="12" hidden="1">
      <c r="A15" s="1273" t="s">
        <v>1577</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1578</v>
      </c>
      <c r="AF15" s="1266" t="s">
        <v>1579</v>
      </c>
      <c r="AG15" s="1266" t="s">
        <v>1579</v>
      </c>
      <c r="AH15" s="1266" t="s">
        <v>1580</v>
      </c>
      <c r="AJ15" s="1270"/>
      <c r="AK15" s="1270"/>
      <c r="AL15" s="1270"/>
    </row>
    <row s="1267" customFormat="1" customHeight="1" ht="12" hidden="1">
      <c r="A16" s="1305" t="s">
        <v>1581</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1582</v>
      </c>
      <c r="AN16" s="1266" t="s">
        <v>1583</v>
      </c>
      <c r="AO16" s="1266" t="s">
        <v>1584</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390</v>
      </c>
      <c r="AC24" s="1544" t="s">
        <v>433</v>
      </c>
      <c r="AD24" s="1544" t="s">
        <v>434</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1288</v>
      </c>
      <c r="AN24" s="1543" t="s">
        <v>587</v>
      </c>
      <c r="AO24" s="1543" t="s">
        <v>1289</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407</v>
      </c>
      <c r="AF25" s="1355" t="s">
        <v>588</v>
      </c>
      <c r="AG25" s="166" t="s">
        <v>589</v>
      </c>
      <c r="AH25" s="258" t="s">
        <v>1290</v>
      </c>
      <c r="AI25" s="166" t="s">
        <v>407</v>
      </c>
      <c r="AJ25" s="1354" t="s">
        <v>408</v>
      </c>
      <c r="AK25" s="410" t="s">
        <v>407</v>
      </c>
      <c r="AL25" s="258" t="s">
        <v>1291</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K27" s="210" cm="1" t="str">
        <f t="array" ref="K27:K27">INDEX('Общие сведения'!$AL$169:$AL$218,MATCH($F27,'Общие сведения'!$Z$169:$Z$218,0))</f>
        <v>0</v>
      </c>
      <c r="L27" s="1292"/>
      <c r="M27" s="1292"/>
      <c r="N27" s="1292"/>
      <c r="O27" s="1292"/>
      <c r="P27" s="1292"/>
      <c r="Q27" s="1292"/>
      <c r="R27" s="1292"/>
      <c r="S27" s="1292"/>
      <c r="T27" s="805">
        <f>X27&gt;0</f>
        <v>0</v>
      </c>
      <c r="V27" s="172" t="s">
        <v>309</v>
      </c>
      <c r="X27" s="1554">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1798</v>
      </c>
      <c r="D28" s="1257" t="s">
        <v>1799</v>
      </c>
      <c r="E28" s="794">
        <v>35</v>
      </c>
      <c r="F28" s="919" cm="1" t="str">
        <f t="array" ref="F28:F28">OFFSET(G28,-1,-1)</f>
        <v>0</v>
      </c>
      <c r="L28" s="1286"/>
      <c r="M28" s="1286" cm="1" t="str">
        <f t="array" ref="M28:M28">INDEX('Общие сведения'!$N$169:$N$218,MATCH($F27,'Общие сведения'!$Z$169:$Z$218,0)+1)</f>
        <v>0</v>
      </c>
      <c r="N28" s="1286"/>
      <c r="O28" s="1286"/>
      <c r="P28" s="1286"/>
      <c r="Q28" s="1286"/>
      <c r="R28" s="1286"/>
      <c r="S28" s="1286"/>
      <c r="T28" s="805" cm="1" t="str">
        <f t="array" ref="T28:T28">T27</f>
        <v>false</v>
      </c>
      <c r="AB28" s="986">
        <v>1</v>
      </c>
      <c r="AC28" s="987" t="s">
        <v>1800</v>
      </c>
      <c r="AD28" s="988" t="s">
        <v>1019</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3"/>
      <c r="AN28" s="73"/>
      <c r="AO28" s="73"/>
      <c r="AR28" s="1230" t="s">
        <v>1801</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1798</v>
      </c>
      <c r="D29" s="1257" t="s">
        <v>1799</v>
      </c>
      <c r="E29" s="794">
        <v>17.1</v>
      </c>
      <c r="F29" s="919" cm="1" t="str">
        <f t="array" ref="F29:F29">OFFSET(G29,-1,-1)</f>
        <v>0</v>
      </c>
      <c r="L29" s="1286" t="s">
        <v>1802</v>
      </c>
      <c r="M29" s="1284" cm="1" t="str">
        <f t="array" ref="M29:M29">OFFSET(L29,-1,1)</f>
        <v>0</v>
      </c>
      <c r="N29" s="1286"/>
      <c r="O29" s="1286"/>
      <c r="P29" s="1286"/>
      <c r="Q29" s="1286"/>
      <c r="R29" s="1286"/>
      <c r="S29" s="1286"/>
      <c r="T29" s="805" cm="1" t="str">
        <f t="array" ref="T29:T29">T28</f>
        <v>false</v>
      </c>
      <c r="AB29" s="989" t="s">
        <v>442</v>
      </c>
      <c r="AC29" s="990" t="s">
        <v>1803</v>
      </c>
      <c r="AD29" s="991" t="s">
        <v>1019</v>
      </c>
      <c r="AE29" s="121"/>
      <c r="AF29" s="121"/>
      <c r="AG29" s="121"/>
      <c r="AH29" s="307">
        <f>AG29-AF29</f>
        <v>0</v>
      </c>
      <c r="AI29" s="121"/>
      <c r="AJ29" s="614"/>
      <c r="AK29" s="614"/>
      <c r="AL29" s="307">
        <f>IF(AI29=0,0,(AK29-AI29)/AI29*100)</f>
        <v>0</v>
      </c>
      <c r="AM29" s="73"/>
      <c r="AN29" s="73"/>
      <c r="AO29" s="73"/>
      <c r="AR29" s="1230" t="s">
        <v>1296</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1798</v>
      </c>
      <c r="D30" s="1257" t="s">
        <v>1799</v>
      </c>
      <c r="E30" s="794">
        <v>26.3</v>
      </c>
      <c r="F30" s="919" cm="1" t="str">
        <f t="array" ref="F30:F30">OFFSET(G30,-1,-1)</f>
        <v>0</v>
      </c>
      <c r="G30" s="190" t="s">
        <v>1385</v>
      </c>
      <c r="L30" s="1286" t="s">
        <v>1804</v>
      </c>
      <c r="M30" s="1284" cm="1" t="str">
        <f t="array" ref="M30:M30">OFFSET(L30,-1,1)</f>
        <v>0</v>
      </c>
      <c r="N30" s="1286"/>
      <c r="O30" s="1286"/>
      <c r="P30" s="1286"/>
      <c r="Q30" s="1286"/>
      <c r="R30" s="1286"/>
      <c r="S30" s="1286"/>
      <c r="T30" s="805" cm="1" t="str">
        <f t="array" ref="T30:T30">T29</f>
        <v>false</v>
      </c>
      <c r="AB30" s="989" t="s">
        <v>931</v>
      </c>
      <c r="AC30" s="990" t="s">
        <v>1386</v>
      </c>
      <c r="AD30" s="991" t="s">
        <v>1019</v>
      </c>
      <c r="AE30" s="307">
        <f>_xlfn.SUMIFS('Топливо 4.4'!AH$27:AH$411,'Топливо 4.4'!$F$27:$F$411,$F30,'Топливо 4.4'!$G$27:$G$411,$G30)</f>
        <v>0</v>
      </c>
      <c r="AF30" s="307">
        <f>_xlfn.SUMIFS('Топливо 4.4'!AI$27:AI$411,'Топливо 4.4'!$F$27:$F$411,$F30,'Топливо 4.4'!$G$27:$G$411,$G30)</f>
        <v>0</v>
      </c>
      <c r="AG30" s="307">
        <f>_xlfn.SUMIFS('Топливо 4.4'!AJ$27:AJ$411,'Топливо 4.4'!$F$27:$F$411,$F30,'Топливо 4.4'!$G$27:$G$411,$G30)</f>
        <v>0</v>
      </c>
      <c r="AH30" s="307">
        <f>AG30-AF30</f>
        <v>0</v>
      </c>
      <c r="AI30" s="307">
        <f>_xlfn.SUMIFS('Топливо 4.4'!AK$27:AK$411,'Топливо 4.4'!$F$27:$F$411,$F30,'Топливо 4.4'!$G$27:$G$411,$G30)</f>
        <v>0</v>
      </c>
      <c r="AJ30" s="307">
        <f>_xlfn.SUMIFS('Топливо 4.4'!AL$27:AL$411,'Топливо 4.4'!$F$27:$F$411,$F30,'Топливо 4.4'!$G$27:$G$411,$G30)</f>
        <v>0</v>
      </c>
      <c r="AK30" s="307">
        <f>_xlfn.SUMIFS('Топливо 4.4'!BP$27:BP$411,'Топливо 4.4'!$F$27:$F$411,$F30,'Топливо 4.4'!$G$27:$G$411,$G30)</f>
        <v>0</v>
      </c>
      <c r="AL30" s="307">
        <f>IF(AI30=0,0,(AK30-AI30)/AI30*100)</f>
        <v>0</v>
      </c>
      <c r="AM30" s="73"/>
      <c r="AN30" s="73"/>
      <c r="AO30" s="73"/>
      <c r="AR30" s="1230" t="s">
        <v>1380</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1798</v>
      </c>
      <c r="D31" s="1257" t="s">
        <v>1799</v>
      </c>
      <c r="E31" s="794">
        <v>17.1</v>
      </c>
      <c r="F31" s="919" cm="1" t="str">
        <f t="array" ref="F31:F31">OFFSET(G31,-1,-1)</f>
        <v>0</v>
      </c>
      <c r="L31" s="1286" t="s">
        <v>1805</v>
      </c>
      <c r="M31" s="1284" cm="1" t="str">
        <f t="array" ref="M31:M31">OFFSET(L31,-1,1)</f>
        <v>0</v>
      </c>
      <c r="N31" s="1286"/>
      <c r="O31" s="1286"/>
      <c r="P31" s="1286"/>
      <c r="Q31" s="1286"/>
      <c r="R31" s="1286"/>
      <c r="S31" s="1286"/>
      <c r="T31" s="805" cm="1" t="str">
        <f t="array" ref="T31:T31">T30</f>
        <v>false</v>
      </c>
      <c r="AB31" s="989" t="s">
        <v>933</v>
      </c>
      <c r="AC31" s="990" t="s">
        <v>39</v>
      </c>
      <c r="AD31" s="991" t="s">
        <v>1019</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3"/>
      <c r="AN31" s="73"/>
      <c r="AO31" s="73"/>
      <c r="AR31" s="1230" t="s">
        <v>1806</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1798</v>
      </c>
      <c r="D32" s="1257" t="s">
        <v>1799</v>
      </c>
      <c r="E32" s="794">
        <v>17.1</v>
      </c>
      <c r="F32" s="919" cm="1" t="str">
        <f t="array" ref="F32:F32">OFFSET(G32,-1,-1)</f>
        <v>0</v>
      </c>
      <c r="G32" s="190" t="s">
        <v>925</v>
      </c>
      <c r="L32" s="1286" t="s">
        <v>1807</v>
      </c>
      <c r="M32" s="1284" cm="1" t="str">
        <f t="array" ref="M32:M32">OFFSET(L32,-1,1)</f>
        <v>0</v>
      </c>
      <c r="N32" s="1286"/>
      <c r="O32" s="1286"/>
      <c r="P32" s="1286"/>
      <c r="Q32" s="1286"/>
      <c r="R32" s="1286"/>
      <c r="S32" s="1286"/>
      <c r="T32" s="805" cm="1" t="str">
        <f t="array" ref="T32:T32">T31</f>
        <v>false</v>
      </c>
      <c r="AB32" s="989" t="s">
        <v>1165</v>
      </c>
      <c r="AC32" s="682" t="s">
        <v>1808</v>
      </c>
      <c r="AD32" s="991" t="s">
        <v>1019</v>
      </c>
      <c r="AE32" s="307">
        <f>_xlfn.SUMIFS(ЭнергоРесурсы!AE$26:AE$156,ЭнергоРесурсы!$F$26:$F$156,$F32,ЭнергоРесурсы!$G$26:$G$156,$G32)</f>
        <v>0</v>
      </c>
      <c r="AF32" s="307">
        <f>_xlfn.SUMIFS(ЭнергоРесурсы!AF$26:AF$156,ЭнергоРесурсы!$F$26:$F$156,$F32,ЭнергоРесурсы!$G$26:$G$156,$G32)</f>
        <v>0</v>
      </c>
      <c r="AG32" s="307">
        <f>_xlfn.SUMIFS(ЭнергоРесурсы!AG$26:AG$156,ЭнергоРесурсы!$F$26:$F$156,$F32,ЭнергоРесурсы!$G$26:$G$156,$G32)</f>
        <v>0</v>
      </c>
      <c r="AH32" s="307">
        <f>AG32-AF32</f>
        <v>0</v>
      </c>
      <c r="AI32" s="307">
        <f>_xlfn.SUMIFS(ЭнергоРесурсы!AH$26:AH$156,ЭнергоРесурсы!$F$26:$F$156,$F32,ЭнергоРесурсы!$G$26:$G$156,$G32)</f>
        <v>0</v>
      </c>
      <c r="AJ32" s="307">
        <f>_xlfn.SUMIFS(ЭнергоРесурсы!AI$26:AI$156,ЭнергоРесурсы!$F$26:$F$156,$F32,ЭнергоРесурсы!$G$26:$G$156,$G32)</f>
        <v>0</v>
      </c>
      <c r="AK32" s="307">
        <f>_xlfn.SUMIFS(ЭнергоРесурсы!AS$26:AS$156,ЭнергоРесурсы!$F$26:$F$156,$F32,ЭнергоРесурсы!$G$26:$G$156,$G32)</f>
        <v>0</v>
      </c>
      <c r="AL32" s="307">
        <f>IF(AI32=0,0,(AK32-AI32)/AI32*100)</f>
        <v>0</v>
      </c>
      <c r="AM32" s="73"/>
      <c r="AN32" s="73"/>
      <c r="AO32" s="73"/>
      <c r="AR32" s="1230" t="s">
        <v>1809</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1798</v>
      </c>
      <c r="D33" s="1257" t="s">
        <v>1799</v>
      </c>
      <c r="E33" s="794">
        <v>17.1</v>
      </c>
      <c r="F33" s="919" cm="1" t="str">
        <f t="array" ref="F33:F33">OFFSET(G33,-1,-1)</f>
        <v>0</v>
      </c>
      <c r="G33" s="190" t="s">
        <v>960</v>
      </c>
      <c r="L33" s="1286" t="s">
        <v>1810</v>
      </c>
      <c r="M33" s="1284" cm="1" t="str">
        <f t="array" ref="M33:M33">OFFSET(L33,-1,1)</f>
        <v>0</v>
      </c>
      <c r="N33" s="1286"/>
      <c r="O33" s="1286"/>
      <c r="P33" s="1286"/>
      <c r="Q33" s="1286"/>
      <c r="R33" s="1286"/>
      <c r="S33" s="1286"/>
      <c r="T33" s="805" cm="1" t="str">
        <f t="array" ref="T33:T33">T32</f>
        <v>false</v>
      </c>
      <c r="AB33" s="989" t="s">
        <v>1169</v>
      </c>
      <c r="AC33" s="682" t="s">
        <v>1811</v>
      </c>
      <c r="AD33" s="991" t="s">
        <v>1019</v>
      </c>
      <c r="AE33" s="307">
        <f>_xlfn.SUMIFS(ЭнергоРесурсы!AE$26:AE$156,ЭнергоРесурсы!$F$26:$F$156,$F33,ЭнергоРесурсы!$G$26:$G$156,$G33)</f>
        <v>0</v>
      </c>
      <c r="AF33" s="307">
        <f>_xlfn.SUMIFS(ЭнергоРесурсы!AF$26:AF$156,ЭнергоРесурсы!$F$26:$F$156,$F33,ЭнергоРесурсы!$G$26:$G$156,$G33)</f>
        <v>0</v>
      </c>
      <c r="AG33" s="307">
        <f>_xlfn.SUMIFS(ЭнергоРесурсы!AG$26:AG$156,ЭнергоРесурсы!$F$26:$F$156,$F33,ЭнергоРесурсы!$G$26:$G$156,$G33)</f>
        <v>0</v>
      </c>
      <c r="AH33" s="307">
        <f>AG33-AF33</f>
        <v>0</v>
      </c>
      <c r="AI33" s="307">
        <f>_xlfn.SUMIFS(ЭнергоРесурсы!AH$26:AH$156,ЭнергоРесурсы!$F$26:$F$156,$F33,ЭнергоРесурсы!$G$26:$G$156,$G33)</f>
        <v>0</v>
      </c>
      <c r="AJ33" s="307">
        <f>_xlfn.SUMIFS(ЭнергоРесурсы!AI$26:AI$156,ЭнергоРесурсы!$F$26:$F$156,$F33,ЭнергоРесурсы!$G$26:$G$156,$G33)</f>
        <v>0</v>
      </c>
      <c r="AK33" s="307">
        <f>_xlfn.SUMIFS(ЭнергоРесурсы!AS$26:AS$156,ЭнергоРесурсы!$F$26:$F$156,$F33,ЭнергоРесурсы!$G$26:$G$156,$G33)</f>
        <v>0</v>
      </c>
      <c r="AL33" s="307">
        <f>IF(AI33=0,0,(AK33-AI33)/AI33*100)</f>
        <v>0</v>
      </c>
      <c r="AM33" s="73"/>
      <c r="AN33" s="73"/>
      <c r="AO33" s="73"/>
      <c r="AR33" s="1230" t="s">
        <v>1812</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1798</v>
      </c>
      <c r="D34" s="1257" t="s">
        <v>1799</v>
      </c>
      <c r="E34" s="794">
        <v>17.1</v>
      </c>
      <c r="F34" s="919" cm="1" t="str">
        <f t="array" ref="F34:F34">OFFSET(G34,-1,-1)</f>
        <v>0</v>
      </c>
      <c r="G34" s="190" t="s">
        <v>992</v>
      </c>
      <c r="L34" s="1286" t="s">
        <v>1813</v>
      </c>
      <c r="M34" s="1284" cm="1" t="str">
        <f t="array" ref="M34:M34">OFFSET(L34,-1,1)</f>
        <v>0</v>
      </c>
      <c r="N34" s="1286"/>
      <c r="O34" s="1286"/>
      <c r="P34" s="1286"/>
      <c r="Q34" s="1286"/>
      <c r="R34" s="1286"/>
      <c r="S34" s="1286"/>
      <c r="T34" s="805" cm="1" t="str">
        <f t="array" ref="T34:T34">T33</f>
        <v>false</v>
      </c>
      <c r="AB34" s="989" t="s">
        <v>937</v>
      </c>
      <c r="AC34" s="990" t="s">
        <v>993</v>
      </c>
      <c r="AD34" s="991" t="s">
        <v>1019</v>
      </c>
      <c r="AE34" s="547">
        <f>_xlfn.SUMIFS('ХВС, ТН'!AE$26:AE$72,'ХВС, ТН'!$F$26:$F$72,$F34,'ХВС, ТН'!$G$26:$G$72,$G34)</f>
        <v>0</v>
      </c>
      <c r="AF34" s="547">
        <f>_xlfn.SUMIFS('ХВС, ТН'!AF$26:AF$72,'ХВС, ТН'!$F$26:$F$72,$F34,'ХВС, ТН'!$G$26:$G$72,$G34)</f>
        <v>0</v>
      </c>
      <c r="AG34" s="547">
        <f>_xlfn.SUMIFS('ХВС, ТН'!AG$26:AG$72,'ХВС, ТН'!$F$26:$F$72,$F34,'ХВС, ТН'!$G$26:$G$72,$G34)</f>
        <v>0</v>
      </c>
      <c r="AH34" s="307">
        <f>AG34-AF34</f>
        <v>0</v>
      </c>
      <c r="AI34" s="547">
        <f>_xlfn.SUMIFS('ХВС, ТН'!AH$26:AH$72,'ХВС, ТН'!$F$26:$F$72,$F34,'ХВС, ТН'!$G$26:$G$72,$G34)</f>
        <v>0</v>
      </c>
      <c r="AJ34" s="547">
        <f>_xlfn.SUMIFS('ХВС, ТН'!AI$26:AI$72,'ХВС, ТН'!$F$26:$F$72,$F34,'ХВС, ТН'!$G$26:$G$72,$G34)</f>
        <v>0</v>
      </c>
      <c r="AK34" s="547">
        <f>_xlfn.SUMIFS('ХВС, ТН'!AS$26:AS$72,'ХВС, ТН'!$F$26:$F$72,$F34,'ХВС, ТН'!$G$26:$G$72,$G34)</f>
        <v>0</v>
      </c>
      <c r="AL34" s="307">
        <f>IF(AI34=0,0,(AK34-AI34)/AI34*100)</f>
        <v>0</v>
      </c>
      <c r="AM34" s="73"/>
      <c r="AN34" s="73"/>
      <c r="AO34" s="73"/>
      <c r="AR34" s="1230" t="s">
        <v>1390</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1798</v>
      </c>
      <c r="D35" s="1257" t="s">
        <v>1799</v>
      </c>
      <c r="E35" s="794">
        <v>17.1</v>
      </c>
      <c r="F35" s="919" cm="1" t="str">
        <f t="array" ref="F35:F35">OFFSET(G35,-1,-1)</f>
        <v>0</v>
      </c>
      <c r="G35" s="190" t="s">
        <v>1003</v>
      </c>
      <c r="L35" s="1286" t="s">
        <v>1814</v>
      </c>
      <c r="M35" s="1284" cm="1" t="str">
        <f t="array" ref="M35:M35">OFFSET(L35,-1,1)</f>
        <v>0</v>
      </c>
      <c r="N35" s="1286"/>
      <c r="O35" s="1286"/>
      <c r="P35" s="1286"/>
      <c r="Q35" s="1286"/>
      <c r="R35" s="1286"/>
      <c r="S35" s="1286"/>
      <c r="T35" s="805" cm="1" t="str">
        <f t="array" ref="T35:T35">T34</f>
        <v>false</v>
      </c>
      <c r="AB35" s="989" t="s">
        <v>1042</v>
      </c>
      <c r="AC35" s="990" t="s">
        <v>1004</v>
      </c>
      <c r="AD35" s="991" t="s">
        <v>1019</v>
      </c>
      <c r="AE35" s="547">
        <f>_xlfn.SUMIFS('ХВС, ТН'!AE$26:AE$72,'ХВС, ТН'!$F$26:$F$72,$F35,'ХВС, ТН'!$G$26:$G$72,$G35)</f>
        <v>0</v>
      </c>
      <c r="AF35" s="547">
        <f>_xlfn.SUMIFS('ХВС, ТН'!AF$26:AF$72,'ХВС, ТН'!$F$26:$F$72,$F35,'ХВС, ТН'!$G$26:$G$72,$G35)</f>
        <v>0</v>
      </c>
      <c r="AG35" s="547">
        <f>_xlfn.SUMIFS('ХВС, ТН'!AG$26:AG$72,'ХВС, ТН'!$F$26:$F$72,$F35,'ХВС, ТН'!$G$26:$G$72,$G35)</f>
        <v>0</v>
      </c>
      <c r="AH35" s="307">
        <f>AG35-AF35</f>
        <v>0</v>
      </c>
      <c r="AI35" s="547">
        <f>_xlfn.SUMIFS('ХВС, ТН'!AH$26:AH$72,'ХВС, ТН'!$F$26:$F$72,$F35,'ХВС, ТН'!$G$26:$G$72,$G35)</f>
        <v>0</v>
      </c>
      <c r="AJ35" s="547">
        <f>_xlfn.SUMIFS('ХВС, ТН'!AI$26:AI$72,'ХВС, ТН'!$F$26:$F$72,$F35,'ХВС, ТН'!$G$26:$G$72,$G35)</f>
        <v>0</v>
      </c>
      <c r="AK35" s="547">
        <f>_xlfn.SUMIFS('ХВС, ТН'!AS$26:AS$72,'ХВС, ТН'!$F$26:$F$72,$F35,'ХВС, ТН'!$G$26:$G$72,$G35)</f>
        <v>0</v>
      </c>
      <c r="AL35" s="307">
        <f>IF(AI35=0,0,(AK35-AI35)/AI35*100)</f>
        <v>0</v>
      </c>
      <c r="AM35" s="73"/>
      <c r="AN35" s="73"/>
      <c r="AO35" s="73"/>
      <c r="AR35" s="1230" t="s">
        <v>1391</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1798</v>
      </c>
      <c r="D36" s="1257" t="s">
        <v>1799</v>
      </c>
      <c r="E36" s="794">
        <v>17.1</v>
      </c>
      <c r="F36" s="919" cm="1" t="str">
        <f t="array" ref="F36:F36">OFFSET(G36,-1,-1)</f>
        <v>0</v>
      </c>
      <c r="G36" s="190" t="s">
        <v>1129</v>
      </c>
      <c r="L36" s="1286" t="s">
        <v>1815</v>
      </c>
      <c r="M36" s="1284" cm="1" t="str">
        <f t="array" ref="M36:M36">OFFSET(L36,-1,1)</f>
        <v>0</v>
      </c>
      <c r="N36" s="1286"/>
      <c r="O36" s="1286"/>
      <c r="P36" s="1286"/>
      <c r="Q36" s="1286"/>
      <c r="R36" s="1286"/>
      <c r="S36" s="1286"/>
      <c r="T36" s="805" cm="1" t="str">
        <f t="array" ref="T36:T36">T35</f>
        <v>false</v>
      </c>
      <c r="AB36" s="989" t="s">
        <v>1045</v>
      </c>
      <c r="AC36" s="990" t="s">
        <v>1369</v>
      </c>
      <c r="AD36" s="991" t="s">
        <v>1019</v>
      </c>
      <c r="AE36" s="612">
        <f>_xlfn.SUMIFS(Амортизация!AE$26:AE$324,Амортизация!$F$26:$F$324,$F36,Амортизация!$G$26:$G$324,$G36)</f>
        <v>0</v>
      </c>
      <c r="AF36" s="612">
        <f>_xlfn.SUMIFS(Амортизация!AF$26:AF$324,Амортизация!$F$26:$F$324,$F36,Амортизация!$G$26:$G$324,$G36)</f>
        <v>0</v>
      </c>
      <c r="AG36" s="612">
        <f>_xlfn.SUMIFS(Амортизация!AG$26:AG$324,Амортизация!$F$26:$F$324,$F36,Амортизация!$G$26:$G$324,$G36)</f>
        <v>0</v>
      </c>
      <c r="AH36" s="307">
        <f>AG36-AF36</f>
        <v>0</v>
      </c>
      <c r="AI36" s="612">
        <f>_xlfn.SUMIFS(Амортизация!AH$26:AH$324,Амортизация!$F$26:$F$324,$F36,Амортизация!$G$26:$G$324,$G36)</f>
        <v>0</v>
      </c>
      <c r="AJ36" s="612">
        <f>_xlfn.SUMIFS(Амортизация!AI$26:AI$324,Амортизация!$F$26:$F$324,$F36,Амортизация!$G$26:$G$324,$G36)</f>
        <v>0</v>
      </c>
      <c r="AK36" s="612">
        <f>_xlfn.SUMIFS(Амортизация!AS$26:AS$324,Амортизация!$F$26:$F$324,$F36,Амортизация!$G$26:$G$324,$G36)</f>
        <v>0</v>
      </c>
      <c r="AL36" s="307">
        <f>IF(AI36=0,0,(AK36-AI36)/AI36*100)</f>
        <v>0</v>
      </c>
      <c r="AM36" s="73"/>
      <c r="AN36" s="73"/>
      <c r="AO36" s="73"/>
      <c r="AR36" s="1230" t="s">
        <v>1370</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1798</v>
      </c>
      <c r="D37" s="1257" t="s">
        <v>1799</v>
      </c>
      <c r="E37" s="794">
        <v>17.1</v>
      </c>
      <c r="F37" s="919" cm="1" t="str">
        <f t="array" ref="F37:F37">OFFSET(G37,-1,-1)</f>
        <v>0</v>
      </c>
      <c r="G37" s="190" t="s">
        <v>48</v>
      </c>
      <c r="L37" s="1286" t="s">
        <v>1816</v>
      </c>
      <c r="M37" s="1284" cm="1" t="str">
        <f t="array" ref="M37:M37">OFFSET(L37,-1,1)</f>
        <v>0</v>
      </c>
      <c r="N37" s="1286"/>
      <c r="O37" s="1286"/>
      <c r="P37" s="1286"/>
      <c r="Q37" s="1286"/>
      <c r="R37" s="1286"/>
      <c r="S37" s="1286"/>
      <c r="T37" s="805" cm="1" t="str">
        <f t="array" ref="T37:T37">T36</f>
        <v>false</v>
      </c>
      <c r="AB37" s="989" t="s">
        <v>1048</v>
      </c>
      <c r="AC37" s="990" t="s">
        <v>1817</v>
      </c>
      <c r="AD37" s="991" t="s">
        <v>1019</v>
      </c>
      <c r="AE37" s="307">
        <f>_xlfn.SUMIFS(ФОТ!AE$26:AE$108,ФОТ!$F$26:$F$108,$F37,ФОТ!$G$26:$G$108,$G37)</f>
        <v>0</v>
      </c>
      <c r="AF37" s="307">
        <f>_xlfn.SUMIFS(ФОТ!AF$26:AF$108,ФОТ!$F$26:$F$108,$F37,ФОТ!$G$26:$G$108,$G37)</f>
        <v>0</v>
      </c>
      <c r="AG37" s="307">
        <f>_xlfn.SUMIFS(ФОТ!AG$26:AG$108,ФОТ!$F$26:$F$108,$F37,ФОТ!$G$26:$G$108,$G37)</f>
        <v>0</v>
      </c>
      <c r="AH37" s="307">
        <f>AG37-AF37</f>
        <v>0</v>
      </c>
      <c r="AI37" s="307">
        <f>_xlfn.SUMIFS(ФОТ!AH$26:AH$108,ФОТ!$F$26:$F$108,$F37,ФОТ!$G$26:$G$108,$G37)</f>
        <v>0</v>
      </c>
      <c r="AJ37" s="307">
        <f>_xlfn.SUMIFS(ФОТ!AI$26:AI$108,ФОТ!$F$26:$F$108,$F37,ФОТ!$G$26:$G$108,$G37)</f>
        <v>0</v>
      </c>
      <c r="AK37" s="307">
        <f>_xlfn.SUMIFS(ФОТ!AJ$26:AJ$108,ФОТ!$F$26:$F$108,$F37,ФОТ!$G$26:$G$108,$G37)</f>
        <v>0</v>
      </c>
      <c r="AL37" s="307">
        <f>IF(AI37=0,0,(AK37-AI37)/AI37*100)</f>
        <v>0</v>
      </c>
      <c r="AM37" s="73"/>
      <c r="AN37" s="73"/>
      <c r="AO37" s="73"/>
      <c r="AR37" s="1230" t="s">
        <v>1299</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1798</v>
      </c>
      <c r="D38" s="1257" t="s">
        <v>1799</v>
      </c>
      <c r="E38" s="794">
        <v>17.1</v>
      </c>
      <c r="F38" s="919" cm="1" t="str">
        <f t="array" ref="F38:F38">OFFSET(G38,-1,-1)</f>
        <v>0</v>
      </c>
      <c r="L38" s="1286" t="s">
        <v>1818</v>
      </c>
      <c r="M38" s="1284" cm="1" t="str">
        <f t="array" ref="M38:M38">OFFSET(L38,-1,1)</f>
        <v>0</v>
      </c>
      <c r="N38" s="1286"/>
      <c r="O38" s="1286"/>
      <c r="P38" s="1286"/>
      <c r="Q38" s="1286"/>
      <c r="R38" s="1286"/>
      <c r="S38" s="1286"/>
      <c r="T38" s="805" cm="1" t="str">
        <f t="array" ref="T38:T38">T37</f>
        <v>false</v>
      </c>
      <c r="AB38" s="989" t="s">
        <v>1051</v>
      </c>
      <c r="AC38" s="990" t="s">
        <v>1362</v>
      </c>
      <c r="AD38" s="991" t="s">
        <v>1019</v>
      </c>
      <c r="AE38" s="121"/>
      <c r="AF38" s="121"/>
      <c r="AG38" s="121"/>
      <c r="AH38" s="307">
        <f>AG38-AF38</f>
        <v>0</v>
      </c>
      <c r="AI38" s="121"/>
      <c r="AJ38" s="614"/>
      <c r="AK38" s="614"/>
      <c r="AL38" s="307">
        <f>IF(AI38=0,0,(AK38-AI38)/AI38*100)</f>
        <v>0</v>
      </c>
      <c r="AM38" s="73"/>
      <c r="AN38" s="73"/>
      <c r="AO38" s="73"/>
      <c r="AR38" s="1230" t="s">
        <v>1363</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1819</v>
      </c>
      <c r="D39" s="1257" t="s">
        <v>1820</v>
      </c>
      <c r="E39" s="794">
        <v>17.1</v>
      </c>
      <c r="F39" s="919" cm="1" t="str">
        <f t="array" ref="F39:F39">OFFSET(G39,-1,-1)</f>
        <v>0</v>
      </c>
      <c r="L39" s="1286" t="s">
        <v>1821</v>
      </c>
      <c r="M39" s="1284" cm="1" t="str">
        <f t="array" ref="M39:M39">OFFSET(L39,-1,1)</f>
        <v>0</v>
      </c>
      <c r="N39" s="1286"/>
      <c r="O39" s="1286"/>
      <c r="P39" s="1286"/>
      <c r="Q39" s="1286"/>
      <c r="R39" s="1286"/>
      <c r="S39" s="1286"/>
      <c r="T39" s="805" cm="1" t="str">
        <f t="array" ref="T39:T39">T38</f>
        <v>false</v>
      </c>
      <c r="AB39" s="989" t="s">
        <v>1822</v>
      </c>
      <c r="AC39" s="682" t="s">
        <v>1823</v>
      </c>
      <c r="AD39" s="991" t="s">
        <v>490</v>
      </c>
      <c r="AE39" s="121"/>
      <c r="AF39" s="121"/>
      <c r="AG39" s="121"/>
      <c r="AH39" s="307">
        <f>AG39-AF39</f>
        <v>0</v>
      </c>
      <c r="AI39" s="121"/>
      <c r="AJ39" s="614"/>
      <c r="AK39" s="614"/>
      <c r="AL39" s="307">
        <f>IF(AI39=0,0,(AK39-AI39)/AI39*100)</f>
        <v>0</v>
      </c>
      <c r="AM39" s="73"/>
      <c r="AN39" s="73"/>
      <c r="AO39" s="73"/>
      <c r="AR39" s="1230" t="s">
        <v>1360</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1824</v>
      </c>
      <c r="D40" s="1257" t="s">
        <v>1825</v>
      </c>
      <c r="E40" s="794">
        <v>17.1</v>
      </c>
      <c r="F40" s="919" cm="1" t="str">
        <f t="array" ref="F40:F40">OFFSET(G40,-1,-1)</f>
        <v>0</v>
      </c>
      <c r="L40" s="1286"/>
      <c r="M40" s="1284" cm="1" t="str">
        <f t="array" ref="M40:M40">OFFSET(L40,-1,1)</f>
        <v>0</v>
      </c>
      <c r="N40" s="1286" t="s">
        <v>1826</v>
      </c>
      <c r="O40" s="1286"/>
      <c r="P40" s="1286"/>
      <c r="Q40" s="1286"/>
      <c r="R40" s="1286"/>
      <c r="S40" s="1286"/>
      <c r="T40" s="805" cm="1" t="str">
        <f t="array" ref="T40:T40">T39</f>
        <v>false</v>
      </c>
      <c r="AB40" s="989" t="s">
        <v>1266</v>
      </c>
      <c r="AC40" s="990" t="s">
        <v>1827</v>
      </c>
      <c r="AD40" s="991" t="s">
        <v>1019</v>
      </c>
      <c r="AE40" s="121"/>
      <c r="AF40" s="121"/>
      <c r="AG40" s="121"/>
      <c r="AH40" s="307">
        <f>AG40-AF40</f>
        <v>0</v>
      </c>
      <c r="AI40" s="121"/>
      <c r="AJ40" s="614"/>
      <c r="AK40" s="614"/>
      <c r="AL40" s="307">
        <f>IF(AI40=0,0,(AK40-AI40)/AI40*100)</f>
        <v>0</v>
      </c>
      <c r="AM40" s="73"/>
      <c r="AN40" s="73"/>
      <c r="AO40" s="73"/>
      <c r="AR40" s="1230" t="s">
        <v>1828</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1829</v>
      </c>
      <c r="E41" s="794">
        <v>35</v>
      </c>
      <c r="F41" s="919" cm="1" t="str">
        <f t="array" ref="F41:F41">OFFSET(G41,-1,-1)</f>
        <v>0</v>
      </c>
      <c r="G41" s="190" t="s">
        <v>1179</v>
      </c>
      <c r="L41" s="1286"/>
      <c r="M41" s="1284" cm="1" t="str">
        <f t="array" ref="M41:M41">OFFSET(L41,-1,1)</f>
        <v>0</v>
      </c>
      <c r="N41" s="1286" t="s">
        <v>1830</v>
      </c>
      <c r="O41" s="1286"/>
      <c r="P41" s="1286"/>
      <c r="Q41" s="1286"/>
      <c r="R41" s="1286"/>
      <c r="S41" s="1286"/>
      <c r="T41" s="805" cm="1" t="str">
        <f t="array" ref="T41:T41">T40</f>
        <v>false</v>
      </c>
      <c r="AB41" s="989" t="s">
        <v>1831</v>
      </c>
      <c r="AC41" s="990" t="s">
        <v>1832</v>
      </c>
      <c r="AD41" s="991" t="s">
        <v>1019</v>
      </c>
      <c r="AE41" s="612">
        <f>_xlfn.SUMIFS('Покупка услуг'!AE$26:AE$87,'Покупка услуг'!$F$26:$F$87,$F41,'Покупка услуг'!$G$26:$G$87,$G41)</f>
        <v>0</v>
      </c>
      <c r="AF41" s="612">
        <f>_xlfn.SUMIFS('Покупка услуг'!AF$26:AF$87,'Покупка услуг'!$F$26:$F$87,$F41,'Покупка услуг'!$G$26:$G$87,$G41)</f>
        <v>0</v>
      </c>
      <c r="AG41" s="612">
        <f>_xlfn.SUMIFS('Покупка услуг'!AG$26:AG$87,'Покупка услуг'!$F$26:$F$87,$F41,'Покупка услуг'!$G$26:$G$87,$G41)</f>
        <v>0</v>
      </c>
      <c r="AH41" s="307">
        <f>AG41-AF41</f>
        <v>0</v>
      </c>
      <c r="AI41" s="612">
        <f>_xlfn.SUMIFS('Покупка услуг'!AH$26:AH$87,'Покупка услуг'!$F$26:$F$87,$F41,'Покупка услуг'!$G$26:$G$87,$G41)</f>
        <v>0</v>
      </c>
      <c r="AJ41" s="612">
        <f>_xlfn.SUMIFS('Покупка услуг'!AI$26:AI$87,'Покупка услуг'!$F$26:$F$87,$F41,'Покупка услуг'!$G$26:$G$87,$G41)</f>
        <v>0</v>
      </c>
      <c r="AK41" s="612">
        <f>_xlfn.SUMIFS('Покупка услуг'!AS$26:AS$87,'Покупка услуг'!$F$26:$F$87,$F41,'Покупка услуг'!$G$26:$G$87,$G41)</f>
        <v>0</v>
      </c>
      <c r="AL41" s="307">
        <f>IF(AI41=0,0,(AK41-AI41)/AI41*100)</f>
        <v>0</v>
      </c>
      <c r="AM41" s="73"/>
      <c r="AN41" s="73"/>
      <c r="AO41" s="73"/>
      <c r="AR41" s="1230" t="s">
        <v>1833</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1798</v>
      </c>
      <c r="D42" s="1257" t="s">
        <v>1799</v>
      </c>
      <c r="E42" s="794">
        <v>35</v>
      </c>
      <c r="F42" s="919" cm="1" t="str">
        <f t="array" ref="F42:F42">OFFSET(G42,-1,-1)</f>
        <v>0</v>
      </c>
      <c r="L42" s="1286" t="s">
        <v>1834</v>
      </c>
      <c r="M42" s="1284" cm="1" t="str">
        <f t="array" ref="M42:M42">OFFSET(L42,-1,1)</f>
        <v>0</v>
      </c>
      <c r="N42" s="1286"/>
      <c r="O42" s="1286"/>
      <c r="P42" s="1286"/>
      <c r="Q42" s="1286"/>
      <c r="R42" s="1286"/>
      <c r="S42" s="1286"/>
      <c r="T42" s="805" cm="1" t="str">
        <f t="array" ref="T42:T42">T41</f>
        <v>false</v>
      </c>
      <c r="AB42" s="989" t="s">
        <v>1835</v>
      </c>
      <c r="AC42" s="990" t="s">
        <v>1836</v>
      </c>
      <c r="AD42" s="991" t="s">
        <v>1019</v>
      </c>
      <c r="AE42" s="121"/>
      <c r="AF42" s="121"/>
      <c r="AG42" s="121"/>
      <c r="AH42" s="307">
        <f>AG42-AF42</f>
        <v>0</v>
      </c>
      <c r="AI42" s="121"/>
      <c r="AJ42" s="614"/>
      <c r="AK42" s="614"/>
      <c r="AL42" s="307">
        <f>IF(AI42=0,0,(AK42-AI42)/AI42*100)</f>
        <v>0</v>
      </c>
      <c r="AM42" s="73"/>
      <c r="AN42" s="73"/>
      <c r="AO42" s="73"/>
      <c r="AR42" s="1230" t="s">
        <v>1837</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1798</v>
      </c>
      <c r="D43" s="1257" t="s">
        <v>1799</v>
      </c>
      <c r="E43" s="794">
        <v>55</v>
      </c>
      <c r="F43" s="919" cm="1" t="str">
        <f t="array" ref="F43:F43">OFFSET(G43,-1,-1)</f>
        <v>0</v>
      </c>
      <c r="L43" s="1286" t="s">
        <v>1838</v>
      </c>
      <c r="M43" s="1284" cm="1" t="str">
        <f t="array" ref="M43:M43">OFFSET(L43,-1,1)</f>
        <v>0</v>
      </c>
      <c r="N43" s="1286"/>
      <c r="O43" s="1286"/>
      <c r="P43" s="1286"/>
      <c r="Q43" s="1286"/>
      <c r="R43" s="1286"/>
      <c r="S43" s="1286"/>
      <c r="T43" s="805" cm="1" t="str">
        <f t="array" ref="T43:T43">T42</f>
        <v>false</v>
      </c>
      <c r="AB43" s="989" t="s">
        <v>1839</v>
      </c>
      <c r="AC43" s="990" t="s">
        <v>1840</v>
      </c>
      <c r="AD43" s="991" t="s">
        <v>1019</v>
      </c>
      <c r="AE43" s="121"/>
      <c r="AF43" s="121"/>
      <c r="AG43" s="121"/>
      <c r="AH43" s="307">
        <f>AG43-AF43</f>
        <v>0</v>
      </c>
      <c r="AI43" s="121"/>
      <c r="AJ43" s="614"/>
      <c r="AK43" s="614"/>
      <c r="AL43" s="307">
        <f>IF(AI43=0,0,(AK43-AI43)/AI43*100)</f>
        <v>0</v>
      </c>
      <c r="AM43" s="73"/>
      <c r="AN43" s="73"/>
      <c r="AO43" s="73"/>
      <c r="AR43" s="1230" t="s">
        <v>1841</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1798</v>
      </c>
      <c r="D44" s="1257" t="s">
        <v>1799</v>
      </c>
      <c r="E44" s="794">
        <v>40</v>
      </c>
      <c r="F44" s="919" cm="1" t="str">
        <f t="array" ref="F44:F44">OFFSET(G44,-1,-1)</f>
        <v>0</v>
      </c>
      <c r="G44" s="190" t="s">
        <v>1245</v>
      </c>
      <c r="L44" s="1286" t="s">
        <v>1842</v>
      </c>
      <c r="M44" s="1284" cm="1" t="str">
        <f t="array" ref="M44:M44">OFFSET(L44,-1,1)</f>
        <v>0</v>
      </c>
      <c r="N44" s="1286"/>
      <c r="O44" s="1286"/>
      <c r="P44" s="1286"/>
      <c r="Q44" s="1286"/>
      <c r="R44" s="1286"/>
      <c r="S44" s="1286"/>
      <c r="T44" s="805" cm="1" t="str">
        <f t="array" ref="T44:T44">T43</f>
        <v>false</v>
      </c>
      <c r="AB44" s="989" t="s">
        <v>1843</v>
      </c>
      <c r="AC44" s="990" t="s">
        <v>1844</v>
      </c>
      <c r="AD44" s="991" t="s">
        <v>1019</v>
      </c>
      <c r="AE44" s="612">
        <f>_xlfn.SUMIFS(Налоги!AE$26:AE$69,Налоги!$F$26:$F$69,$F44,Налоги!$G$26:$G$69,$G44)</f>
        <v>0</v>
      </c>
      <c r="AF44" s="612">
        <f>_xlfn.SUMIFS(Налоги!AF$26:AF$69,Налоги!$F$26:$F$69,$F44,Налоги!$G$26:$G$69,$G44)</f>
        <v>0</v>
      </c>
      <c r="AG44" s="612">
        <f>_xlfn.SUMIFS(Налоги!AG$26:AG$69,Налоги!$F$26:$F$69,$F44,Налоги!$G$26:$G$69,$G44)</f>
        <v>0</v>
      </c>
      <c r="AH44" s="307">
        <f>AG44-AF44</f>
        <v>0</v>
      </c>
      <c r="AI44" s="612">
        <f>_xlfn.SUMIFS(Налоги!AH$26:AH$69,Налоги!$F$26:$F$69,$F44,Налоги!$G$26:$G$69,$G44)</f>
        <v>0</v>
      </c>
      <c r="AJ44" s="612">
        <f>_xlfn.SUMIFS(Налоги!AI$26:AI$69,Налоги!$F$26:$F$69,$F44,Налоги!$G$26:$G$69,$G44)</f>
        <v>0</v>
      </c>
      <c r="AK44" s="612">
        <f>_xlfn.SUMIFS(Налоги!AS$26:AS$69,Налоги!$F$26:$F$69,$F44,Налоги!$G$26:$G$69,$G44)</f>
        <v>0</v>
      </c>
      <c r="AL44" s="307">
        <f>IF(AI44=0,0,(AK44-AI44)/AI44*100)</f>
        <v>0</v>
      </c>
      <c r="AM44" s="73"/>
      <c r="AN44" s="73"/>
      <c r="AO44" s="73"/>
      <c r="AR44" s="1230" t="s">
        <v>1358</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1798</v>
      </c>
      <c r="D45" s="1257" t="s">
        <v>1799</v>
      </c>
      <c r="E45" s="794">
        <v>17.1</v>
      </c>
      <c r="F45" s="919" cm="1" t="str">
        <f t="array" ref="F45:F45">OFFSET(G45,-1,-1)</f>
        <v>0</v>
      </c>
      <c r="G45" s="190" t="s">
        <v>1147</v>
      </c>
      <c r="L45" s="1286"/>
      <c r="M45" s="1284" cm="1" t="str">
        <f t="array" ref="M45:M45">OFFSET(L45,-1,1)</f>
        <v>0</v>
      </c>
      <c r="N45" s="1286" t="s">
        <v>1845</v>
      </c>
      <c r="O45" s="1286"/>
      <c r="P45" s="1286"/>
      <c r="Q45" s="1286"/>
      <c r="R45" s="1286"/>
      <c r="S45" s="1286"/>
      <c r="T45" s="805" cm="1" t="str">
        <f t="array" ref="T45:T45">T44</f>
        <v>false</v>
      </c>
      <c r="AB45" s="989" t="s">
        <v>1846</v>
      </c>
      <c r="AC45" s="990" t="s">
        <v>1847</v>
      </c>
      <c r="AD45" s="991" t="s">
        <v>1019</v>
      </c>
      <c r="AE45" s="307">
        <f>_xlfn.SUMIFS(Аренда!AE$26:AE$63,Аренда!$F$26:$F$63,$F45,Аренда!$G$26:$G$63,$G45)</f>
        <v>0</v>
      </c>
      <c r="AF45" s="307">
        <f>_xlfn.SUMIFS(Аренда!AF$26:AF$63,Аренда!$F$26:$F$63,$F45,Аренда!$G$26:$G$63,$G45)</f>
        <v>0</v>
      </c>
      <c r="AG45" s="307">
        <f>_xlfn.SUMIFS(Аренда!AG$26:AG$63,Аренда!$F$26:$F$63,$F45,Аренда!$G$26:$G$63,$G45)</f>
        <v>0</v>
      </c>
      <c r="AH45" s="307">
        <f>AG45-AF45</f>
        <v>0</v>
      </c>
      <c r="AI45" s="307">
        <f>_xlfn.SUMIFS(Аренда!AH$26:AH$63,Аренда!$F$26:$F$63,$F45,Аренда!$G$26:$G$63,$G45)</f>
        <v>0</v>
      </c>
      <c r="AJ45" s="307">
        <f>_xlfn.SUMIFS(Аренда!AI$26:AI$63,Аренда!$F$26:$F$63,$F45,Аренда!$G$26:$G$63,$G45)</f>
        <v>0</v>
      </c>
      <c r="AK45" s="307">
        <f>_xlfn.SUMIFS(Аренда!AS$26:AS$63,Аренда!$F$26:$F$63,$F45,Аренда!$G$26:$G$63,$G45)</f>
        <v>0</v>
      </c>
      <c r="AL45" s="307">
        <f>IF(AI45=0,0,(AK45-AI45)/AI45*100)</f>
        <v>0</v>
      </c>
      <c r="AM45" s="73"/>
      <c r="AN45" s="73"/>
      <c r="AO45" s="73"/>
      <c r="AR45" s="1230" t="s">
        <v>1848</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1798</v>
      </c>
      <c r="D46" s="1257" t="s">
        <v>1799</v>
      </c>
      <c r="E46" s="794">
        <v>17.1</v>
      </c>
      <c r="F46" s="919" cm="1" t="str">
        <f t="array" ref="F46:F46">OFFSET(G46,-1,-1)</f>
        <v>0</v>
      </c>
      <c r="L46" s="1286"/>
      <c r="M46" s="1284" cm="1" t="str">
        <f t="array" ref="M46:M46">OFFSET(L46,-1,1)</f>
        <v>0</v>
      </c>
      <c r="N46" s="1286"/>
      <c r="O46" s="1286" t="s">
        <v>1849</v>
      </c>
      <c r="P46" s="1286"/>
      <c r="Q46" s="1286"/>
      <c r="R46" s="1286"/>
      <c r="S46" s="1286"/>
      <c r="T46" s="805" cm="1" t="str">
        <f t="array" ref="T46:T46">T45</f>
        <v>false</v>
      </c>
      <c r="AB46" s="989" t="s">
        <v>1850</v>
      </c>
      <c r="AC46" s="990" t="s">
        <v>1318</v>
      </c>
      <c r="AD46" s="991" t="s">
        <v>1019</v>
      </c>
      <c r="AE46" s="121"/>
      <c r="AF46" s="121"/>
      <c r="AG46" s="121"/>
      <c r="AH46" s="307">
        <f>AG46-AF46</f>
        <v>0</v>
      </c>
      <c r="AI46" s="121"/>
      <c r="AJ46" s="614"/>
      <c r="AK46" s="614"/>
      <c r="AL46" s="307">
        <f>IF(AI46=0,0,(AK46-AI46)/AI46*100)</f>
        <v>0</v>
      </c>
      <c r="AM46" s="73"/>
      <c r="AN46" s="73"/>
      <c r="AO46" s="73"/>
      <c r="AR46" s="1230" t="s">
        <v>1851</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1798</v>
      </c>
      <c r="D47" s="1257" t="s">
        <v>1799</v>
      </c>
      <c r="E47" s="794">
        <v>17.1</v>
      </c>
      <c r="F47" s="919" cm="1" t="str">
        <f t="array" ref="F47:F47">OFFSET(G47,-1,-1)</f>
        <v>0</v>
      </c>
      <c r="L47" s="1286"/>
      <c r="M47" s="1284" cm="1" t="str">
        <f t="array" ref="M47:M47">OFFSET(L47,-1,1)</f>
        <v>0</v>
      </c>
      <c r="N47" s="1286"/>
      <c r="O47" s="1286" t="s">
        <v>1852</v>
      </c>
      <c r="P47" s="1286"/>
      <c r="Q47" s="1286"/>
      <c r="R47" s="1286"/>
      <c r="S47" s="1286"/>
      <c r="T47" s="805" cm="1" t="str">
        <f t="array" ref="T47:T47">T46</f>
        <v>false</v>
      </c>
      <c r="AB47" s="989" t="s">
        <v>1853</v>
      </c>
      <c r="AC47" s="990" t="s">
        <v>1320</v>
      </c>
      <c r="AD47" s="991" t="s">
        <v>1019</v>
      </c>
      <c r="AE47" s="121"/>
      <c r="AF47" s="121"/>
      <c r="AG47" s="121"/>
      <c r="AH47" s="307">
        <f>AG47-AF47</f>
        <v>0</v>
      </c>
      <c r="AI47" s="121"/>
      <c r="AJ47" s="614"/>
      <c r="AK47" s="614"/>
      <c r="AL47" s="307">
        <f>IF(AI47=0,0,(AK47-AI47)/AI47*100)</f>
        <v>0</v>
      </c>
      <c r="AM47" s="73"/>
      <c r="AN47" s="73"/>
      <c r="AO47" s="73"/>
      <c r="AR47" s="1230" t="s">
        <v>1321</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1798</v>
      </c>
      <c r="D48" s="1257" t="s">
        <v>1799</v>
      </c>
      <c r="E48" s="794">
        <v>35</v>
      </c>
      <c r="F48" s="919" cm="1" t="str">
        <f t="array" ref="F48:F48">OFFSET(G48,-1,-1)</f>
        <v>0</v>
      </c>
      <c r="G48" s="190" t="s">
        <v>1252</v>
      </c>
      <c r="L48" s="1286"/>
      <c r="M48" s="1284" cm="1" t="str">
        <f t="array" ref="M48:M48">OFFSET(L48,-1,1)</f>
        <v>0</v>
      </c>
      <c r="N48" s="1286"/>
      <c r="O48" s="1286" t="s">
        <v>1854</v>
      </c>
      <c r="P48" s="1286"/>
      <c r="Q48" s="1286"/>
      <c r="R48" s="1286"/>
      <c r="S48" s="1286"/>
      <c r="T48" s="805" cm="1" t="str">
        <f t="array" ref="T48:T48">T47</f>
        <v>false</v>
      </c>
      <c r="AB48" s="989" t="s">
        <v>1855</v>
      </c>
      <c r="AC48" s="990" t="s">
        <v>1856</v>
      </c>
      <c r="AD48" s="991" t="s">
        <v>1019</v>
      </c>
      <c r="AE48" s="612">
        <f>_xlfn.SUMIFS(Налоги!AE$26:AE$69,Налоги!$F$26:$F$69,$F48,Налоги!$G$26:$G$69,$G48)</f>
        <v>0</v>
      </c>
      <c r="AF48" s="612">
        <f>_xlfn.SUMIFS(Налоги!AF$26:AF$69,Налоги!$F$26:$F$69,$F48,Налоги!$G$26:$G$69,$G48)</f>
        <v>0</v>
      </c>
      <c r="AG48" s="612">
        <f>_xlfn.SUMIFS(Налоги!AG$26:AG$69,Налоги!$F$26:$F$69,$F48,Налоги!$G$26:$G$69,$G48)</f>
        <v>0</v>
      </c>
      <c r="AH48" s="307">
        <f>AG48-AF48</f>
        <v>0</v>
      </c>
      <c r="AI48" s="612">
        <f>_xlfn.SUMIFS(Налоги!AH$26:AH$69,Налоги!$F$26:$F$69,$F48,Налоги!$G$26:$G$69,$G48)</f>
        <v>0</v>
      </c>
      <c r="AJ48" s="612">
        <f>_xlfn.SUMIFS(Налоги!AI$26:AI$69,Налоги!$F$26:$F$69,$F48,Налоги!$G$26:$G$69,$G48)</f>
        <v>0</v>
      </c>
      <c r="AK48" s="612">
        <f>_xlfn.SUMIFS(Налоги!AS$26:AS$69,Налоги!$F$26:$F$69,$F48,Налоги!$G$26:$G$69,$G48)</f>
        <v>0</v>
      </c>
      <c r="AL48" s="307">
        <f>IF(AI48=0,0,(AK48-AI48)/AI48*100)</f>
        <v>0</v>
      </c>
      <c r="AM48" s="73"/>
      <c r="AN48" s="73"/>
      <c r="AO48" s="73"/>
      <c r="AR48" s="1230" t="s">
        <v>1857</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1798</v>
      </c>
      <c r="D49" s="1257" t="s">
        <v>1799</v>
      </c>
      <c r="E49" s="794">
        <v>35</v>
      </c>
      <c r="F49" s="919" cm="1" t="str">
        <f t="array" ref="F49:F49">OFFSET(G49,-1,-1)</f>
        <v>0</v>
      </c>
      <c r="L49" s="1286" t="s">
        <v>1858</v>
      </c>
      <c r="M49" s="1284" cm="1" t="str">
        <f t="array" ref="M49:M49">OFFSET(L49,-1,1)</f>
        <v>0</v>
      </c>
      <c r="N49" s="1286"/>
      <c r="O49" s="1286"/>
      <c r="P49" s="1286"/>
      <c r="Q49" s="1286"/>
      <c r="R49" s="1286"/>
      <c r="S49" s="1286"/>
      <c r="T49" s="805" cm="1" t="str">
        <f t="array" ref="T49:T49">T48</f>
        <v>false</v>
      </c>
      <c r="AB49" s="989" t="s">
        <v>1859</v>
      </c>
      <c r="AC49" s="990" t="s">
        <v>1860</v>
      </c>
      <c r="AD49" s="991" t="s">
        <v>1019</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3"/>
      <c r="AN49" s="73"/>
      <c r="AO49" s="73"/>
      <c r="AR49" s="1230" t="s">
        <v>1268</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1798</v>
      </c>
      <c r="D50" s="1257" t="s">
        <v>1799</v>
      </c>
      <c r="E50" s="794">
        <v>17.1</v>
      </c>
      <c r="F50" s="919" cm="1" t="str">
        <f t="array" ref="F50:F50">OFFSET(G50,-1,-1)</f>
        <v>0</v>
      </c>
      <c r="G50" s="190" t="s">
        <v>1256</v>
      </c>
      <c r="L50" s="1286" t="s">
        <v>1861</v>
      </c>
      <c r="M50" s="1284" cm="1" t="str">
        <f t="array" ref="M50:M50">OFFSET(L50,-1,1)</f>
        <v>0</v>
      </c>
      <c r="N50" s="1286"/>
      <c r="O50" s="1286"/>
      <c r="P50" s="1286"/>
      <c r="Q50" s="1286"/>
      <c r="R50" s="1286"/>
      <c r="S50" s="1286"/>
      <c r="T50" s="805" cm="1" t="str">
        <f t="array" ref="T50:T50">T49</f>
        <v>false</v>
      </c>
      <c r="AB50" s="989" t="s">
        <v>1862</v>
      </c>
      <c r="AC50" s="990" t="s">
        <v>1863</v>
      </c>
      <c r="AD50" s="991" t="s">
        <v>1019</v>
      </c>
      <c r="AE50" s="612">
        <f>_xlfn.SUMIFS(Налоги!AE$26:AE$69,Налоги!$F$26:$F$69,$F50,Налоги!$H$26:$H$69,$G50)</f>
        <v>0</v>
      </c>
      <c r="AF50" s="612">
        <f>_xlfn.SUMIFS(Налоги!AF$26:AF$69,Налоги!$F$26:$F$69,$F50,Налоги!$H$26:$H$69,$G50)</f>
        <v>0</v>
      </c>
      <c r="AG50" s="612">
        <f>_xlfn.SUMIFS(Налоги!AG$26:AG$69,Налоги!$F$26:$F$69,$F50,Налоги!$H$26:$H$69,$G50)</f>
        <v>0</v>
      </c>
      <c r="AH50" s="307">
        <f>AG50-AF50</f>
        <v>0</v>
      </c>
      <c r="AI50" s="612">
        <f>_xlfn.SUMIFS(Налоги!AH$26:AH$69,Налоги!$F$26:$F$69,$F50,Налоги!$H$26:$H$69,$G50)</f>
        <v>0</v>
      </c>
      <c r="AJ50" s="612">
        <f>_xlfn.SUMIFS(Налоги!AI$26:AI$69,Налоги!$F$26:$F$69,$F50,Налоги!$H$26:$H$69,$G50)</f>
        <v>0</v>
      </c>
      <c r="AK50" s="612">
        <f>_xlfn.SUMIFS(Налоги!AS$26:AS$69,Налоги!$F$26:$F$69,$F50,Налоги!$H$26:$H$69,$G50)</f>
        <v>0</v>
      </c>
      <c r="AL50" s="307">
        <f>IF(AI50=0,0,(AK50-AI50)/AI50*100)</f>
        <v>0</v>
      </c>
      <c r="AM50" s="73"/>
      <c r="AN50" s="73"/>
      <c r="AO50" s="73"/>
      <c r="AR50" s="1230" t="s">
        <v>563</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1798</v>
      </c>
      <c r="D51" s="1257" t="s">
        <v>1799</v>
      </c>
      <c r="E51" s="794">
        <v>17.1</v>
      </c>
      <c r="F51" s="919" cm="1" t="str">
        <f t="array" ref="F51:F51">OFFSET(G51,-1,-1)</f>
        <v>0</v>
      </c>
      <c r="G51" s="190" t="s">
        <v>1258</v>
      </c>
      <c r="L51" s="1286" t="s">
        <v>1864</v>
      </c>
      <c r="M51" s="1284" cm="1" t="str">
        <f t="array" ref="M51:M51">OFFSET(L51,-1,1)</f>
        <v>0</v>
      </c>
      <c r="N51" s="1286"/>
      <c r="O51" s="1286"/>
      <c r="P51" s="1286"/>
      <c r="Q51" s="1286"/>
      <c r="R51" s="1286"/>
      <c r="S51" s="1286"/>
      <c r="T51" s="805" cm="1" t="str">
        <f t="array" ref="T51:T51">T50</f>
        <v>false</v>
      </c>
      <c r="AB51" s="989" t="s">
        <v>1865</v>
      </c>
      <c r="AC51" s="990" t="s">
        <v>1259</v>
      </c>
      <c r="AD51" s="991" t="s">
        <v>1019</v>
      </c>
      <c r="AE51" s="612">
        <f>_xlfn.SUMIFS(Налоги!AE$26:AE$69,Налоги!$F$26:$F$69,$F51,Налоги!$H$26:$H$69,$G51)</f>
        <v>0</v>
      </c>
      <c r="AF51" s="612">
        <f>_xlfn.SUMIFS(Налоги!AF$26:AF$69,Налоги!$F$26:$F$69,$F51,Налоги!$H$26:$H$69,$G51)</f>
        <v>0</v>
      </c>
      <c r="AG51" s="612">
        <f>_xlfn.SUMIFS(Налоги!AG$26:AG$69,Налоги!$F$26:$F$69,$F51,Налоги!$H$26:$H$69,$G51)</f>
        <v>0</v>
      </c>
      <c r="AH51" s="307">
        <f>AG51-AF51</f>
        <v>0</v>
      </c>
      <c r="AI51" s="612">
        <f>_xlfn.SUMIFS(Налоги!AH$26:AH$69,Налоги!$F$26:$F$69,$F51,Налоги!$H$26:$H$69,$G51)</f>
        <v>0</v>
      </c>
      <c r="AJ51" s="612">
        <f>_xlfn.SUMIFS(Налоги!AI$26:AI$69,Налоги!$F$26:$F$69,$F51,Налоги!$H$26:$H$69,$G51)</f>
        <v>0</v>
      </c>
      <c r="AK51" s="612">
        <f>_xlfn.SUMIFS(Налоги!AS$26:AS$69,Налоги!$F$26:$F$69,$F51,Налоги!$H$26:$H$69,$G51)</f>
        <v>0</v>
      </c>
      <c r="AL51" s="307">
        <f>IF(AI51=0,0,(AK51-AI51)/AI51*100)</f>
        <v>0</v>
      </c>
      <c r="AM51" s="73"/>
      <c r="AN51" s="73"/>
      <c r="AO51" s="73"/>
      <c r="AR51" s="1230" t="s">
        <v>1260</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1798</v>
      </c>
      <c r="D52" s="1257" t="s">
        <v>1799</v>
      </c>
      <c r="E52" s="794">
        <v>17.1</v>
      </c>
      <c r="F52" s="919" cm="1" t="str">
        <f t="array" ref="F52:F52">OFFSET(G52,-1,-1)</f>
        <v>0</v>
      </c>
      <c r="G52" s="190" t="s">
        <v>1249</v>
      </c>
      <c r="L52" s="1286" t="s">
        <v>1866</v>
      </c>
      <c r="M52" s="1284" cm="1" t="str">
        <f t="array" ref="M52:M52">OFFSET(L52,-1,1)</f>
        <v>0</v>
      </c>
      <c r="N52" s="1286"/>
      <c r="O52" s="1286"/>
      <c r="P52" s="1286"/>
      <c r="Q52" s="1286"/>
      <c r="R52" s="1286"/>
      <c r="S52" s="1286"/>
      <c r="T52" s="805" cm="1" t="str">
        <f t="array" ref="T52:T52">T51</f>
        <v>false</v>
      </c>
      <c r="AB52" s="994" t="s">
        <v>1867</v>
      </c>
      <c r="AC52" s="995" t="s">
        <v>1250</v>
      </c>
      <c r="AD52" s="996" t="s">
        <v>1019</v>
      </c>
      <c r="AE52" s="612">
        <f>_xlfn.SUMIFS(Налоги!AE$26:AE$69,Налоги!$F$26:$F$69,$F52,Налоги!$H$26:$H$69,$G52)</f>
        <v>0</v>
      </c>
      <c r="AF52" s="612">
        <f>_xlfn.SUMIFS(Налоги!AF$26:AF$69,Налоги!$F$26:$F$69,$F52,Налоги!$H$26:$H$69,$G52)</f>
        <v>0</v>
      </c>
      <c r="AG52" s="612">
        <f>_xlfn.SUMIFS(Налоги!AG$26:AG$69,Налоги!$F$26:$F$69,$F52,Налоги!$H$26:$H$69,$G52)</f>
        <v>0</v>
      </c>
      <c r="AH52" s="307">
        <f>AG52-AF52</f>
        <v>0</v>
      </c>
      <c r="AI52" s="612">
        <f>_xlfn.SUMIFS(Налоги!AH$26:AH$69,Налоги!$F$26:$F$69,$F52,Налоги!$H$26:$H$69,$G52)</f>
        <v>0</v>
      </c>
      <c r="AJ52" s="612">
        <f>_xlfn.SUMIFS(Налоги!AI$26:AI$69,Налоги!$F$26:$F$69,$F52,Налоги!$H$26:$H$69,$G52)</f>
        <v>0</v>
      </c>
      <c r="AK52" s="612">
        <f>_xlfn.SUMIFS(Налоги!AS$26:AS$69,Налоги!$F$26:$F$69,$F52,Налоги!$H$26:$H$69,$G52)</f>
        <v>0</v>
      </c>
      <c r="AL52" s="307">
        <f>IF(AI52=0,0,(AK52-AI52)/AI52*100)</f>
        <v>0</v>
      </c>
      <c r="AM52" s="73"/>
      <c r="AN52" s="73"/>
      <c r="AO52" s="73"/>
      <c r="AR52" s="1230" t="s">
        <v>1868</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1798</v>
      </c>
      <c r="D53" s="1257" t="s">
        <v>1799</v>
      </c>
      <c r="E53" s="794">
        <v>17.1</v>
      </c>
      <c r="F53" s="919" cm="1" t="str">
        <f t="array" ref="F53:F53">OFFSET(G53,-1,-1)</f>
        <v>0</v>
      </c>
      <c r="G53" s="190" t="s">
        <v>1263</v>
      </c>
      <c r="L53" s="1286" t="s">
        <v>1869</v>
      </c>
      <c r="M53" s="1284" cm="1" t="str">
        <f t="array" ref="M53:M53">OFFSET(L53,-1,1)</f>
        <v>0</v>
      </c>
      <c r="N53" s="1286"/>
      <c r="O53" s="1286"/>
      <c r="P53" s="1286"/>
      <c r="Q53" s="1286"/>
      <c r="R53" s="1286"/>
      <c r="S53" s="1286"/>
      <c r="T53" s="805" cm="1" t="str">
        <f t="array" ref="T53:T53">T52</f>
        <v>false</v>
      </c>
      <c r="AB53" s="856" t="s">
        <v>1870</v>
      </c>
      <c r="AC53" s="998" t="s">
        <v>1264</v>
      </c>
      <c r="AD53" s="856" t="s">
        <v>1019</v>
      </c>
      <c r="AE53" s="612">
        <f>_xlfn.SUMIFS(Налоги!AE$26:AE$69,Налоги!$F$26:$F$69,$F53,Налоги!$H$26:$H$69,$G53)</f>
        <v>0</v>
      </c>
      <c r="AF53" s="612">
        <f>_xlfn.SUMIFS(Налоги!AF$26:AF$69,Налоги!$F$26:$F$69,$F53,Налоги!$H$26:$H$69,$G53)</f>
        <v>0</v>
      </c>
      <c r="AG53" s="612">
        <f>_xlfn.SUMIFS(Налоги!AG$26:AG$69,Налоги!$F$26:$F$69,$F53,Налоги!$H$26:$H$69,$G53)</f>
        <v>0</v>
      </c>
      <c r="AH53" s="307">
        <f>AG53-AF53</f>
        <v>0</v>
      </c>
      <c r="AI53" s="612">
        <f>_xlfn.SUMIFS(Налоги!AH$26:AH$69,Налоги!$F$26:$F$69,$F53,Налоги!$H$26:$H$69,$G53)</f>
        <v>0</v>
      </c>
      <c r="AJ53" s="612">
        <f>_xlfn.SUMIFS(Налоги!AI$26:AI$69,Налоги!$F$26:$F$69,$F53,Налоги!$H$26:$H$69,$G53)</f>
        <v>0</v>
      </c>
      <c r="AK53" s="612">
        <f>_xlfn.SUMIFS(Налоги!AS$26:AS$69,Налоги!$F$26:$F$69,$F53,Налоги!$H$26:$H$69,$G53)</f>
        <v>0</v>
      </c>
      <c r="AL53" s="307">
        <f>IF(AI53=0,0,(AK53-AI53)/AI53*100)</f>
        <v>0</v>
      </c>
      <c r="AM53" s="73"/>
      <c r="AN53" s="73"/>
      <c r="AO53" s="73"/>
      <c r="AR53" s="1230" t="s">
        <v>1265</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1798</v>
      </c>
      <c r="D54" s="1257" t="s">
        <v>1799</v>
      </c>
      <c r="E54" s="794">
        <v>17.1</v>
      </c>
      <c r="F54" s="919" cm="1" t="str">
        <f t="array" ref="F54:F54">OFFSET(G54,-1,-1)</f>
        <v>0</v>
      </c>
      <c r="G54" s="190" t="s">
        <v>1248</v>
      </c>
      <c r="L54" s="1286" t="s">
        <v>1871</v>
      </c>
      <c r="M54" s="1284" cm="1" t="str">
        <f t="array" ref="M54:M54">OFFSET(L54,-1,1)</f>
        <v>0</v>
      </c>
      <c r="N54" s="1286"/>
      <c r="O54" s="1286"/>
      <c r="P54" s="1286"/>
      <c r="Q54" s="1286"/>
      <c r="R54" s="1286"/>
      <c r="S54" s="1286"/>
      <c r="T54" s="805" cm="1" t="str">
        <f t="array" ref="T54:T54">T53</f>
        <v>false</v>
      </c>
      <c r="AB54" s="856" t="s">
        <v>1872</v>
      </c>
      <c r="AC54" s="998" t="s">
        <v>1873</v>
      </c>
      <c r="AD54" s="856" t="s">
        <v>1019</v>
      </c>
      <c r="AE54" s="612">
        <f>_xlfn.SUMIFS(Налоги!AE$26:AE$69,Налоги!$F$26:$F$69,$F54,Налоги!$H$26:$H$69,$G54)</f>
        <v>0</v>
      </c>
      <c r="AF54" s="612">
        <f>_xlfn.SUMIFS(Налоги!AF$26:AF$69,Налоги!$F$26:$F$69,$F54,Налоги!$H$26:$H$69,$G54)</f>
        <v>0</v>
      </c>
      <c r="AG54" s="612">
        <f>_xlfn.SUMIFS(Налоги!AG$26:AG$69,Налоги!$F$26:$F$69,$F54,Налоги!$H$26:$H$69,$G54)</f>
        <v>0</v>
      </c>
      <c r="AH54" s="307">
        <f>AG54-AF54</f>
        <v>0</v>
      </c>
      <c r="AI54" s="612">
        <f>_xlfn.SUMIFS(Налоги!AH$26:AH$69,Налоги!$F$26:$F$69,$F54,Налоги!$H$26:$H$69,$G54)</f>
        <v>0</v>
      </c>
      <c r="AJ54" s="612">
        <f>_xlfn.SUMIFS(Налоги!AI$26:AI$69,Налоги!$F$26:$F$69,$F54,Налоги!$H$26:$H$69,$G54)</f>
        <v>0</v>
      </c>
      <c r="AK54" s="612">
        <f>_xlfn.SUMIFS(Налоги!AS$26:AS$69,Налоги!$F$26:$F$69,$F54,Налоги!$H$26:$H$69,$G54)</f>
        <v>0</v>
      </c>
      <c r="AL54" s="307">
        <f>IF(AI54=0,0,(AK54-AI54)/AI54*100)</f>
        <v>0</v>
      </c>
      <c r="AM54" s="73"/>
      <c r="AN54" s="73"/>
      <c r="AO54" s="73"/>
      <c r="AR54" s="1230" t="s">
        <v>1874</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1798</v>
      </c>
      <c r="D55" s="1257" t="s">
        <v>1799</v>
      </c>
      <c r="E55" s="794">
        <v>17.1</v>
      </c>
      <c r="F55" s="919" cm="1" t="str">
        <f t="array" ref="F55:F55">OFFSET(G55,-1,-1)</f>
        <v>0</v>
      </c>
      <c r="L55" s="1286" t="s">
        <v>1875</v>
      </c>
      <c r="M55" s="1284" cm="1" t="str">
        <f t="array" ref="M55:M55">OFFSET(L55,-1,1)</f>
        <v>0</v>
      </c>
      <c r="N55" s="1286"/>
      <c r="O55" s="1286"/>
      <c r="P55" s="1286"/>
      <c r="Q55" s="1286"/>
      <c r="R55" s="1286"/>
      <c r="S55" s="1286"/>
      <c r="T55" s="805" cm="1" t="str">
        <f t="array" ref="T55:T55">T54</f>
        <v>false</v>
      </c>
      <c r="AB55" s="883">
        <v>2</v>
      </c>
      <c r="AC55" s="1000" t="s">
        <v>1876</v>
      </c>
      <c r="AD55" s="883" t="s">
        <v>1019</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3"/>
      <c r="AN55" s="73"/>
      <c r="AO55" s="73"/>
      <c r="AR55" s="1230" t="s">
        <v>1877</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1798</v>
      </c>
      <c r="D56" s="1257" t="s">
        <v>1799</v>
      </c>
      <c r="E56" s="794">
        <v>45</v>
      </c>
      <c r="F56" s="919" cm="1" t="str">
        <f t="array" ref="F56:F56">OFFSET(G56,-1,-1)</f>
        <v>0</v>
      </c>
      <c r="L56" s="1286"/>
      <c r="M56" s="1284" cm="1" t="str">
        <f t="array" ref="M56:M56">OFFSET(L56,-1,1)</f>
        <v>0</v>
      </c>
      <c r="N56" s="1286"/>
      <c r="O56" s="1286"/>
      <c r="P56" s="1286" t="s">
        <v>1878</v>
      </c>
      <c r="Q56" s="1286"/>
      <c r="R56" s="1286"/>
      <c r="S56" s="1286"/>
      <c r="T56" s="805" cm="1" t="str">
        <f t="array" ref="T56:T56">T55</f>
        <v>false</v>
      </c>
      <c r="AB56" s="856" t="s">
        <v>448</v>
      </c>
      <c r="AC56" s="1001" t="s">
        <v>1879</v>
      </c>
      <c r="AD56" s="856" t="s">
        <v>1019</v>
      </c>
      <c r="AE56" s="121"/>
      <c r="AF56" s="121"/>
      <c r="AG56" s="121"/>
      <c r="AH56" s="307">
        <f>AG56-AF56</f>
        <v>0</v>
      </c>
      <c r="AI56" s="121"/>
      <c r="AJ56" s="614"/>
      <c r="AK56" s="614"/>
      <c r="AL56" s="307">
        <f>IF(AI56=0,0,(AK56-AI56)/AI56*100)</f>
        <v>0</v>
      </c>
      <c r="AM56" s="73"/>
      <c r="AN56" s="73"/>
      <c r="AO56" s="73"/>
      <c r="AR56" s="1230" t="s">
        <v>1880</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1798</v>
      </c>
      <c r="D57" s="1257" t="s">
        <v>1799</v>
      </c>
      <c r="E57" s="794">
        <v>17.1</v>
      </c>
      <c r="F57" s="919" cm="1" t="str">
        <f t="array" ref="F57:F57">OFFSET(G57,-1,-1)</f>
        <v>0</v>
      </c>
      <c r="L57" s="1286"/>
      <c r="M57" s="1284" cm="1" t="str">
        <f t="array" ref="M57:M57">OFFSET(L57,-1,1)</f>
        <v>0</v>
      </c>
      <c r="N57" s="1286" t="s">
        <v>1881</v>
      </c>
      <c r="O57" s="1286"/>
      <c r="P57" s="1286"/>
      <c r="Q57" s="1286"/>
      <c r="R57" s="1286"/>
      <c r="S57" s="1286"/>
      <c r="T57" s="805" cm="1" t="str">
        <f t="array" ref="T57:T57">T56</f>
        <v>false</v>
      </c>
      <c r="AB57" s="555" t="s">
        <v>475</v>
      </c>
      <c r="AC57" s="1002" t="s">
        <v>1367</v>
      </c>
      <c r="AD57" s="571" t="s">
        <v>1019</v>
      </c>
      <c r="AE57" s="121"/>
      <c r="AF57" s="121"/>
      <c r="AG57" s="121"/>
      <c r="AH57" s="307">
        <f>AG57-AF57</f>
        <v>0</v>
      </c>
      <c r="AI57" s="121"/>
      <c r="AJ57" s="614"/>
      <c r="AK57" s="614"/>
      <c r="AL57" s="307">
        <f>IF(AI57=0,0,(AK57-AI57)/AI57*100)</f>
        <v>0</v>
      </c>
      <c r="AM57" s="73"/>
      <c r="AN57" s="73"/>
      <c r="AO57" s="73"/>
      <c r="AR57" s="1230" t="s">
        <v>1882</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1798</v>
      </c>
      <c r="D58" s="1257" t="s">
        <v>1799</v>
      </c>
      <c r="E58" s="794">
        <v>35</v>
      </c>
      <c r="F58" s="919" cm="1" t="str">
        <f t="array" ref="F58:F58">OFFSET(G58,-1,-1)</f>
        <v>0</v>
      </c>
      <c r="L58" s="1286" t="s">
        <v>1883</v>
      </c>
      <c r="M58" s="1284" cm="1" t="str">
        <f t="array" ref="M58:M58">OFFSET(L58,-1,1)</f>
        <v>0</v>
      </c>
      <c r="N58" s="1286"/>
      <c r="O58" s="1286"/>
      <c r="P58" s="1286"/>
      <c r="Q58" s="1286"/>
      <c r="R58" s="1286"/>
      <c r="S58" s="1286"/>
      <c r="T58" s="805" cm="1" t="str">
        <f t="array" ref="T58:T58">T57</f>
        <v>false</v>
      </c>
      <c r="AB58" s="485" t="s">
        <v>479</v>
      </c>
      <c r="AC58" s="1003" t="s">
        <v>1379</v>
      </c>
      <c r="AD58" s="572" t="s">
        <v>1019</v>
      </c>
      <c r="AE58" s="121"/>
      <c r="AF58" s="121"/>
      <c r="AG58" s="121"/>
      <c r="AH58" s="307">
        <f>AG58-AF58</f>
        <v>0</v>
      </c>
      <c r="AI58" s="121"/>
      <c r="AJ58" s="614"/>
      <c r="AK58" s="614"/>
      <c r="AL58" s="307">
        <f>IF(AI58=0,0,(AK58-AI58)/AI58*100)</f>
        <v>0</v>
      </c>
      <c r="AM58" s="73"/>
      <c r="AN58" s="73"/>
      <c r="AO58" s="73"/>
      <c r="AR58" s="1230" t="s">
        <v>1884</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1798</v>
      </c>
      <c r="D59" s="1257" t="s">
        <v>1799</v>
      </c>
      <c r="E59" s="794">
        <v>17.1</v>
      </c>
      <c r="F59" s="919" cm="1" t="str">
        <f t="array" ref="F59:F59">OFFSET(G59,-1,-1)</f>
        <v>0</v>
      </c>
      <c r="L59" s="1286"/>
      <c r="M59" s="1284" cm="1" t="str">
        <f t="array" ref="M59:M59">OFFSET(L59,-1,1)</f>
        <v>0</v>
      </c>
      <c r="N59" s="1276" t="s">
        <v>1885</v>
      </c>
      <c r="O59" s="1286"/>
      <c r="P59" s="1286"/>
      <c r="Q59" s="1286"/>
      <c r="R59" s="1286"/>
      <c r="S59" s="1286"/>
      <c r="T59" s="805" cm="1" t="str">
        <f t="array" ref="T59:T59">T58</f>
        <v>false</v>
      </c>
      <c r="AB59" s="485" t="s">
        <v>483</v>
      </c>
      <c r="AC59" s="1003" t="s">
        <v>1886</v>
      </c>
      <c r="AD59" s="572" t="s">
        <v>1019</v>
      </c>
      <c r="AE59" s="612">
        <f>AE60+AE61</f>
        <v>0</v>
      </c>
      <c r="AF59" s="612">
        <f>AF60+AF61</f>
        <v>0</v>
      </c>
      <c r="AG59" s="612">
        <f>AG60+AG61</f>
        <v>0</v>
      </c>
      <c r="AH59" s="307">
        <f>AG59-AF59</f>
        <v>0</v>
      </c>
      <c r="AI59" s="612">
        <f>AI60+AI61</f>
        <v>0</v>
      </c>
      <c r="AJ59" s="612">
        <f>AJ60+AJ61</f>
        <v>0</v>
      </c>
      <c r="AK59" s="612">
        <f>AK60+AK61</f>
        <v>0</v>
      </c>
      <c r="AL59" s="307">
        <f>IF(AI59=0,0,(AK59-AI59)/AI59*100)</f>
        <v>0</v>
      </c>
      <c r="AM59" s="73"/>
      <c r="AN59" s="73"/>
      <c r="AO59" s="73"/>
      <c r="AR59" s="1230" t="s">
        <v>1887</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1798</v>
      </c>
      <c r="D60" s="1257" t="s">
        <v>1799</v>
      </c>
      <c r="E60" s="794">
        <v>17.1</v>
      </c>
      <c r="F60" s="919" cm="1" t="str">
        <f t="array" ref="F60:F60">OFFSET(G60,-1,-1)</f>
        <v>0</v>
      </c>
      <c r="L60" s="1286" t="s">
        <v>1888</v>
      </c>
      <c r="M60" s="1284" cm="1" t="str">
        <f t="array" ref="M60:M60">OFFSET(L60,-1,1)</f>
        <v>0</v>
      </c>
      <c r="N60" s="1286"/>
      <c r="O60" s="1286"/>
      <c r="P60" s="1286"/>
      <c r="Q60" s="1286"/>
      <c r="R60" s="1286"/>
      <c r="S60" s="1286"/>
      <c r="T60" s="805" cm="1" t="str">
        <f t="array" ref="T60:T60">T59</f>
        <v>false</v>
      </c>
      <c r="AB60" s="496" t="s">
        <v>1889</v>
      </c>
      <c r="AC60" s="1005" t="s">
        <v>1890</v>
      </c>
      <c r="AD60" s="651" t="s">
        <v>1019</v>
      </c>
      <c r="AE60" s="121"/>
      <c r="AF60" s="121"/>
      <c r="AG60" s="121"/>
      <c r="AH60" s="307">
        <f>AG60-AF60</f>
        <v>0</v>
      </c>
      <c r="AI60" s="121"/>
      <c r="AJ60" s="614"/>
      <c r="AK60" s="614"/>
      <c r="AL60" s="307">
        <f>IF(AI60=0,0,(AK60-AI60)/AI60*100)</f>
        <v>0</v>
      </c>
      <c r="AM60" s="73"/>
      <c r="AN60" s="73"/>
      <c r="AO60" s="73"/>
      <c r="AR60" s="1230" t="s">
        <v>1891</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1798</v>
      </c>
      <c r="D61" s="1257" t="s">
        <v>1799</v>
      </c>
      <c r="E61" s="794">
        <v>17.1</v>
      </c>
      <c r="F61" s="919" cm="1" t="str">
        <f t="array" ref="F61:F61">OFFSET(G61,-1,-1)</f>
        <v>0</v>
      </c>
      <c r="L61" s="1286"/>
      <c r="M61" s="1284" cm="1" t="str">
        <f t="array" ref="M61:M61">OFFSET(L61,-1,1)</f>
        <v>0</v>
      </c>
      <c r="N61" s="1286" t="s">
        <v>1892</v>
      </c>
      <c r="O61" s="1286"/>
      <c r="P61" s="1286"/>
      <c r="Q61" s="1286"/>
      <c r="R61" s="1286"/>
      <c r="S61" s="1286"/>
      <c r="T61" s="805" cm="1" t="str">
        <f t="array" ref="T61:T61">T60</f>
        <v>false</v>
      </c>
      <c r="AB61" s="856" t="s">
        <v>1893</v>
      </c>
      <c r="AC61" s="1001" t="s">
        <v>1894</v>
      </c>
      <c r="AD61" s="856" t="s">
        <v>1019</v>
      </c>
      <c r="AE61" s="121"/>
      <c r="AF61" s="121"/>
      <c r="AG61" s="121"/>
      <c r="AH61" s="307">
        <f>AG61-AF61</f>
        <v>0</v>
      </c>
      <c r="AI61" s="121"/>
      <c r="AJ61" s="614"/>
      <c r="AK61" s="614"/>
      <c r="AL61" s="307">
        <f>IF(AI61=0,0,(AK61-AI61)/AI61*100)</f>
        <v>0</v>
      </c>
      <c r="AM61" s="73"/>
      <c r="AN61" s="73"/>
      <c r="AO61" s="73"/>
      <c r="AR61" s="1230" t="s">
        <v>1895</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1798</v>
      </c>
      <c r="D62" s="1257" t="s">
        <v>1799</v>
      </c>
      <c r="E62" s="794">
        <v>35</v>
      </c>
      <c r="F62" s="919" cm="1" t="str">
        <f t="array" ref="F62:F62">OFFSET(G62,-1,-1)</f>
        <v>0</v>
      </c>
      <c r="L62" s="1286"/>
      <c r="M62" s="1284" cm="1" t="str">
        <f t="array" ref="M62:M62">OFFSET(L62,-1,1)</f>
        <v>0</v>
      </c>
      <c r="N62" s="1286" t="s">
        <v>1896</v>
      </c>
      <c r="O62" s="1286"/>
      <c r="P62" s="1286"/>
      <c r="Q62" s="1286"/>
      <c r="R62" s="1286"/>
      <c r="S62" s="1286"/>
      <c r="T62" s="805" cm="1" t="str">
        <f t="array" ref="T62:T62">T61</f>
        <v>false</v>
      </c>
      <c r="AB62" s="883">
        <v>3</v>
      </c>
      <c r="AC62" s="1007" t="s">
        <v>1897</v>
      </c>
      <c r="AD62" s="883" t="s">
        <v>1019</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3"/>
      <c r="AN62" s="73"/>
      <c r="AO62" s="73"/>
      <c r="AR62" s="1230" t="s">
        <v>1898</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1798</v>
      </c>
      <c r="D63" s="1257" t="s">
        <v>1799</v>
      </c>
      <c r="E63" s="794">
        <v>17.1</v>
      </c>
      <c r="F63" s="919" cm="1" t="str">
        <f t="array" ref="F63:F63">OFFSET(G63,-1,-1)</f>
        <v>0</v>
      </c>
      <c r="L63" s="1286"/>
      <c r="M63" s="1284" cm="1" t="str">
        <f t="array" ref="M63:M63">OFFSET(L63,-1,1)</f>
        <v>0</v>
      </c>
      <c r="N63" s="1286" t="s">
        <v>1899</v>
      </c>
      <c r="O63" s="1286"/>
      <c r="P63" s="1286"/>
      <c r="Q63" s="1286"/>
      <c r="R63" s="1286"/>
      <c r="S63" s="1286"/>
      <c r="T63" s="805" cm="1" t="str">
        <f t="array" ref="T63:T63">T62</f>
        <v>false</v>
      </c>
      <c r="AB63" s="856" t="s">
        <v>710</v>
      </c>
      <c r="AC63" s="998" t="s">
        <v>1900</v>
      </c>
      <c r="AD63" s="856" t="s">
        <v>1019</v>
      </c>
      <c r="AE63" s="121"/>
      <c r="AF63" s="121"/>
      <c r="AG63" s="121"/>
      <c r="AH63" s="307">
        <f>AG63-AF63</f>
        <v>0</v>
      </c>
      <c r="AI63" s="121"/>
      <c r="AJ63" s="614"/>
      <c r="AK63" s="614"/>
      <c r="AL63" s="307">
        <f>IF(AI63=0,0,(AK63-AI63)/AI63*100)</f>
        <v>0</v>
      </c>
      <c r="AM63" s="73"/>
      <c r="AN63" s="73"/>
      <c r="AO63" s="73"/>
      <c r="AR63" s="1230" t="s">
        <v>1901</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1798</v>
      </c>
      <c r="D64" s="1257" t="s">
        <v>1799</v>
      </c>
      <c r="E64" s="794">
        <v>17.1</v>
      </c>
      <c r="F64" s="919" cm="1" t="str">
        <f t="array" ref="F64:F64">OFFSET(G64,-1,-1)</f>
        <v>0</v>
      </c>
      <c r="L64" s="1286"/>
      <c r="M64" s="1284" cm="1" t="str">
        <f t="array" ref="M64:M64">OFFSET(L64,-1,1)</f>
        <v>0</v>
      </c>
      <c r="N64" s="1286" t="s">
        <v>1902</v>
      </c>
      <c r="O64" s="1286"/>
      <c r="P64" s="1286"/>
      <c r="Q64" s="1286"/>
      <c r="R64" s="1286"/>
      <c r="S64" s="1286"/>
      <c r="T64" s="805" cm="1" t="str">
        <f t="array" ref="T64:T64">T63</f>
        <v>false</v>
      </c>
      <c r="AB64" s="856" t="s">
        <v>713</v>
      </c>
      <c r="AC64" s="998" t="s">
        <v>1903</v>
      </c>
      <c r="AD64" s="856" t="s">
        <v>1019</v>
      </c>
      <c r="AE64" s="121"/>
      <c r="AF64" s="121"/>
      <c r="AG64" s="121"/>
      <c r="AH64" s="307">
        <f>AG64-AF64</f>
        <v>0</v>
      </c>
      <c r="AI64" s="121"/>
      <c r="AJ64" s="614"/>
      <c r="AK64" s="614"/>
      <c r="AL64" s="307">
        <f>IF(AI64=0,0,(AK64-AI64)/AI64*100)</f>
        <v>0</v>
      </c>
      <c r="AM64" s="73"/>
      <c r="AN64" s="73"/>
      <c r="AO64" s="73"/>
      <c r="AR64" s="1230" t="s">
        <v>1904</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1798</v>
      </c>
      <c r="D65" s="1257" t="s">
        <v>1799</v>
      </c>
      <c r="E65" s="794">
        <v>17.1</v>
      </c>
      <c r="F65" s="919" cm="1" t="str">
        <f t="array" ref="F65:F65">OFFSET(G65,-1,-1)</f>
        <v>0</v>
      </c>
      <c r="L65" s="1286"/>
      <c r="M65" s="1284" cm="1" t="str">
        <f t="array" ref="M65:M65">OFFSET(L65,-1,1)</f>
        <v>0</v>
      </c>
      <c r="N65" s="1286"/>
      <c r="O65" s="1286"/>
      <c r="P65" s="1286"/>
      <c r="Q65" s="1286" t="s">
        <v>1905</v>
      </c>
      <c r="R65" s="1286"/>
      <c r="S65" s="1286"/>
      <c r="T65" s="805" cm="1" t="str">
        <f t="array" ref="T65:T65">T64</f>
        <v>false</v>
      </c>
      <c r="AB65" s="856" t="s">
        <v>1906</v>
      </c>
      <c r="AC65" s="998" t="s">
        <v>1907</v>
      </c>
      <c r="AD65" s="856" t="s">
        <v>1019</v>
      </c>
      <c r="AE65" s="121"/>
      <c r="AF65" s="121"/>
      <c r="AG65" s="121"/>
      <c r="AH65" s="307">
        <f>AG65-AF65</f>
        <v>0</v>
      </c>
      <c r="AI65" s="121"/>
      <c r="AJ65" s="614"/>
      <c r="AK65" s="614"/>
      <c r="AL65" s="307">
        <f>IF(AI65=0,0,(AK65-AI65)/AI65*100)</f>
        <v>0</v>
      </c>
      <c r="AM65" s="73"/>
      <c r="AN65" s="73"/>
      <c r="AO65" s="73"/>
      <c r="AR65" s="1230" t="s">
        <v>1908</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1798</v>
      </c>
      <c r="D66" s="1257" t="s">
        <v>1799</v>
      </c>
      <c r="E66" s="794">
        <v>17.1</v>
      </c>
      <c r="F66" s="919" cm="1" t="str">
        <f t="array" ref="F66:F66">OFFSET(G66,-1,-1)</f>
        <v>0</v>
      </c>
      <c r="L66" s="1286" t="s">
        <v>1858</v>
      </c>
      <c r="M66" s="1284" cm="1" t="str">
        <f t="array" ref="M66:M66">OFFSET(L66,-1,1)</f>
        <v>0</v>
      </c>
      <c r="N66" s="1286" t="s">
        <v>1885</v>
      </c>
      <c r="O66" s="1286"/>
      <c r="P66" s="1286"/>
      <c r="Q66" s="1286"/>
      <c r="R66" s="1286"/>
      <c r="S66" s="1286"/>
      <c r="T66" s="805" cm="1" t="str">
        <f t="array" ref="T66:T66">T65</f>
        <v>false</v>
      </c>
      <c r="AB66" s="856" t="s">
        <v>1909</v>
      </c>
      <c r="AC66" s="998" t="s">
        <v>1267</v>
      </c>
      <c r="AD66" s="856" t="s">
        <v>1019</v>
      </c>
      <c r="AE66" s="121"/>
      <c r="AF66" s="121"/>
      <c r="AG66" s="121"/>
      <c r="AH66" s="307">
        <f>AG66-AF66</f>
        <v>0</v>
      </c>
      <c r="AI66" s="121"/>
      <c r="AJ66" s="614"/>
      <c r="AK66" s="614"/>
      <c r="AL66" s="307">
        <f>IF(AI66=0,0,(AK66-AI66)/AI66*100)</f>
        <v>0</v>
      </c>
      <c r="AM66" s="73"/>
      <c r="AN66" s="73"/>
      <c r="AO66" s="73"/>
      <c r="AR66" s="1230" t="s">
        <v>1910</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1798</v>
      </c>
      <c r="D67" s="1257" t="s">
        <v>1799</v>
      </c>
      <c r="E67" s="794">
        <v>17.1</v>
      </c>
      <c r="F67" s="919" cm="1" t="str">
        <f t="array" ref="F67:F67">OFFSET(G67,-1,-1)</f>
        <v>0</v>
      </c>
      <c r="G67" s="736" t="s">
        <v>1261</v>
      </c>
      <c r="L67" s="1286" t="s">
        <v>1911</v>
      </c>
      <c r="M67" s="1284" cm="1" t="str">
        <f t="array" ref="M67:M67">OFFSET(L67,-1,1)</f>
        <v>0</v>
      </c>
      <c r="N67" s="1286"/>
      <c r="O67" s="1286"/>
      <c r="P67" s="1286"/>
      <c r="Q67" s="1286"/>
      <c r="R67" s="1286"/>
      <c r="S67" s="1286"/>
      <c r="T67" s="805" cm="1" t="str">
        <f t="array" ref="T67:T67">T66</f>
        <v>false</v>
      </c>
      <c r="AB67" s="883">
        <v>4</v>
      </c>
      <c r="AC67" s="1007" t="s">
        <v>1376</v>
      </c>
      <c r="AD67" s="883" t="s">
        <v>1019</v>
      </c>
      <c r="AE67" s="612">
        <f>_xlfn.SUMIFS(Налоги!AE$26:AE$69,Налоги!$F$26:$F$69,$F67,Налоги!$G$26:$G$69,$G67)</f>
        <v>0</v>
      </c>
      <c r="AF67" s="612">
        <f>_xlfn.SUMIFS(Налоги!AF$26:AF$69,Налоги!$F$26:$F$69,$F67,Налоги!$G$26:$G$69,$G67)</f>
        <v>0</v>
      </c>
      <c r="AG67" s="612">
        <f>_xlfn.SUMIFS(Налоги!AG$26:AG$69,Налоги!$F$26:$F$69,$F67,Налоги!$G$26:$G$69,$G67)</f>
        <v>0</v>
      </c>
      <c r="AH67" s="307">
        <f>AG67-AF67</f>
        <v>0</v>
      </c>
      <c r="AI67" s="612">
        <f>_xlfn.SUMIFS(Налоги!AH$26:AH$69,Налоги!$F$26:$F$69,$F67,Налоги!$G$26:$G$69,$G67)</f>
        <v>0</v>
      </c>
      <c r="AJ67" s="612">
        <f>_xlfn.SUMIFS(Налоги!AI$26:AI$69,Налоги!$F$26:$F$69,$F67,Налоги!$G$26:$G$69,$G67)</f>
        <v>0</v>
      </c>
      <c r="AK67" s="612">
        <f>_xlfn.SUMIFS(Налоги!AS$26:AS$69,Налоги!$F$26:$F$69,$F67,Налоги!$G$26:$G$69,$G67)</f>
        <v>0</v>
      </c>
      <c r="AL67" s="307">
        <f>IF(AI67=0,0,(AK67-AI67)/AI67*100)</f>
        <v>0</v>
      </c>
      <c r="AM67" s="73"/>
      <c r="AN67" s="73"/>
      <c r="AO67" s="73"/>
      <c r="AR67" s="1230" t="s">
        <v>571</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1665</v>
      </c>
      <c r="D68" s="1257" t="s">
        <v>1666</v>
      </c>
      <c r="E68" s="794">
        <v>35</v>
      </c>
      <c r="F68" s="919" cm="1" t="str">
        <f t="array" ref="F68:F68">OFFSET(G68,-1,-1)</f>
        <v>0</v>
      </c>
      <c r="L68" s="1286"/>
      <c r="M68" s="1284" cm="1" t="str">
        <f t="array" ref="M68:M68">OFFSET(L68,-1,1)</f>
        <v>0</v>
      </c>
      <c r="N68" s="1286" t="s">
        <v>1912</v>
      </c>
      <c r="O68" s="1286"/>
      <c r="P68" s="1286"/>
      <c r="Q68" s="1286"/>
      <c r="R68" s="1286"/>
      <c r="S68" s="1286"/>
      <c r="T68" s="805" cm="1" t="str">
        <f t="array" ref="T68:T68">T67</f>
        <v>false</v>
      </c>
      <c r="AB68" s="883">
        <v>5</v>
      </c>
      <c r="AC68" s="1007" t="s">
        <v>1913</v>
      </c>
      <c r="AD68" s="883" t="s">
        <v>1019</v>
      </c>
      <c r="AE68" s="121"/>
      <c r="AF68" s="121"/>
      <c r="AG68" s="121"/>
      <c r="AH68" s="307">
        <f>AG68-AF68</f>
        <v>0</v>
      </c>
      <c r="AI68" s="121"/>
      <c r="AJ68" s="614"/>
      <c r="AK68" s="614"/>
      <c r="AL68" s="307">
        <f>IF(AI68=0,0,(AK68-AI68)/AI68*100)</f>
        <v>0</v>
      </c>
      <c r="AM68" s="73"/>
      <c r="AN68" s="73"/>
      <c r="AO68" s="73"/>
      <c r="AR68" s="1230" t="s">
        <v>1507</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1798</v>
      </c>
      <c r="D69" s="1257" t="s">
        <v>1799</v>
      </c>
      <c r="E69" s="794">
        <v>17.1</v>
      </c>
      <c r="F69" s="919" cm="1" t="str">
        <f t="array" ref="F69:F69">OFFSET(G69,-1,-1)</f>
        <v>0</v>
      </c>
      <c r="L69" s="1286"/>
      <c r="M69" s="1284" cm="1" t="str">
        <f t="array" ref="M69:M69">OFFSET(L69,-1,1)</f>
        <v>0</v>
      </c>
      <c r="N69" s="1286" t="s">
        <v>1914</v>
      </c>
      <c r="O69" s="1286"/>
      <c r="P69" s="1286"/>
      <c r="Q69" s="1286"/>
      <c r="R69" s="1286"/>
      <c r="S69" s="1286"/>
      <c r="T69" s="805" cm="1" t="str">
        <f t="array" ref="T69:T69">T68</f>
        <v>false</v>
      </c>
      <c r="AB69" s="883">
        <v>6</v>
      </c>
      <c r="AC69" s="1007" t="s">
        <v>1915</v>
      </c>
      <c r="AD69" s="883" t="s">
        <v>1019</v>
      </c>
      <c r="AE69" s="121"/>
      <c r="AF69" s="121"/>
      <c r="AG69" s="121"/>
      <c r="AH69" s="307">
        <f>AG69-AF69</f>
        <v>0</v>
      </c>
      <c r="AI69" s="121"/>
      <c r="AJ69" s="614"/>
      <c r="AK69" s="614"/>
      <c r="AL69" s="307">
        <f>IF(AI69=0,0,(AK69-AI69)/AI69*100)</f>
        <v>0</v>
      </c>
      <c r="AM69" s="73"/>
      <c r="AN69" s="73"/>
      <c r="AO69" s="73"/>
      <c r="AR69" s="1230" t="s">
        <v>1378</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1693</v>
      </c>
      <c r="D70" s="1257" t="s">
        <v>1694</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651</v>
      </c>
      <c r="AC70" s="1009" t="s">
        <v>1696</v>
      </c>
      <c r="AD70" s="1010" t="s">
        <v>1019</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3"/>
      <c r="AN70" s="73"/>
      <c r="AO70" s="73"/>
      <c r="AR70" s="1230" t="s">
        <v>1916</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1698</v>
      </c>
      <c r="D71" s="1257" t="s">
        <v>1699</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656</v>
      </c>
      <c r="AC71" s="1083" t="s">
        <v>1698</v>
      </c>
      <c r="AD71" s="856" t="s">
        <v>1019</v>
      </c>
      <c r="AE71" s="121"/>
      <c r="AF71" s="121"/>
      <c r="AG71" s="121"/>
      <c r="AH71" s="307">
        <f>AG71-AF71</f>
        <v>0</v>
      </c>
      <c r="AI71" s="121"/>
      <c r="AJ71" s="614"/>
      <c r="AK71" s="614"/>
      <c r="AL71" s="307">
        <f>IF(AI71=0,0,(AK71-AI71)/AI71*100)</f>
        <v>0</v>
      </c>
      <c r="AM71" s="73"/>
      <c r="AN71" s="73"/>
      <c r="AO71" s="73"/>
      <c r="AR71" s="1230" t="s">
        <v>1917</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1702</v>
      </c>
      <c r="D72" s="1257" t="s">
        <v>1703</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664</v>
      </c>
      <c r="AC72" s="1070" t="s">
        <v>1706</v>
      </c>
      <c r="AD72" s="1012" t="s">
        <v>1019</v>
      </c>
      <c r="AE72" s="612">
        <f>AE70+AE71</f>
        <v>0</v>
      </c>
      <c r="AF72" s="612">
        <f>AF70+AF71</f>
        <v>0</v>
      </c>
      <c r="AG72" s="612">
        <f>AG70+AG71</f>
        <v>0</v>
      </c>
      <c r="AH72" s="307">
        <f>AG72-AF72</f>
        <v>0</v>
      </c>
      <c r="AI72" s="612">
        <f>AI70+AI71</f>
        <v>0</v>
      </c>
      <c r="AJ72" s="612">
        <f>AJ70+AJ71</f>
        <v>0</v>
      </c>
      <c r="AK72" s="612">
        <f>AK70+AK71</f>
        <v>0</v>
      </c>
      <c r="AL72" s="307">
        <f>IF(AI72=0,0,(AK72-AI72)/AI72*100)</f>
        <v>0</v>
      </c>
      <c r="AM72" s="73"/>
      <c r="AN72" s="73"/>
      <c r="AO72" s="73"/>
      <c r="AR72" s="1230" t="s">
        <v>1918</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1708</v>
      </c>
      <c r="D73" s="1257" t="s">
        <v>1709</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1711</v>
      </c>
      <c r="AD73" s="309" t="s">
        <v>805</v>
      </c>
      <c r="AE73" s="121"/>
      <c r="AF73" s="121"/>
      <c r="AG73" s="121"/>
      <c r="AH73" s="307">
        <f>AG73-AF73</f>
        <v>0</v>
      </c>
      <c r="AI73" s="121"/>
      <c r="AJ73" s="614"/>
      <c r="AK73" s="614"/>
      <c r="AL73" s="307">
        <f>IF(AI73=0,0,(AK73-AI73)/AI73*100)</f>
        <v>0</v>
      </c>
      <c r="AM73" s="73"/>
      <c r="AN73" s="73"/>
      <c r="AO73" s="73"/>
      <c r="AR73" s="1230" t="s">
        <v>1919</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1713</v>
      </c>
      <c r="D74" s="1257" t="s">
        <v>1714</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1713</v>
      </c>
      <c r="AD74" s="309" t="s">
        <v>805</v>
      </c>
      <c r="AE74" s="612">
        <f>AE72-AE73</f>
        <v>0</v>
      </c>
      <c r="AF74" s="612">
        <f>AF72-AF73</f>
        <v>0</v>
      </c>
      <c r="AG74" s="612">
        <f>AG72-AG73</f>
        <v>0</v>
      </c>
      <c r="AH74" s="307">
        <f>AG74-AF74</f>
        <v>0</v>
      </c>
      <c r="AI74" s="612">
        <f>AI72-AI73</f>
        <v>0</v>
      </c>
      <c r="AJ74" s="612">
        <f>AJ72-AJ73</f>
        <v>0</v>
      </c>
      <c r="AK74" s="612">
        <f>AK72-AK73</f>
        <v>0</v>
      </c>
      <c r="AL74" s="307">
        <f>IF(AI74=0,0,(AK74-AI74)/AI74*100)</f>
        <v>0</v>
      </c>
      <c r="AM74" s="73"/>
      <c r="AN74" s="73"/>
      <c r="AO74" s="73"/>
      <c r="AR74" s="1230" t="s">
        <v>1920</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1716</v>
      </c>
      <c r="D75" s="1257" t="s">
        <v>1717</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688</v>
      </c>
      <c r="AC75" s="310" t="s">
        <v>1719</v>
      </c>
      <c r="AD75" s="315" t="s">
        <v>591</v>
      </c>
      <c r="AE75" s="307">
        <f>IF($K27="передача тепловой энергии",_xlfn.SUMIFS('Баланс Тр'!AE$27:AE$50,'Баланс Тр'!$F$27:$F$50,$F75,'Баланс Тр'!$AB$27:$AB$50,"3"),_xlfn.SUMIFS('Баланс Пр'!AE$27:AE$233,'Баланс Пр'!$F$27:$F$233,$F75,'Баланс Пр'!$AB$27:$AB$233,"9.1"))</f>
        <v>0</v>
      </c>
      <c r="AF75" s="613"/>
      <c r="AG75" s="613"/>
      <c r="AH75" s="374"/>
      <c r="AI75" s="307">
        <f>IF($K27="передача тепловой энергии",_xlfn.SUMIFS('Баланс Тр'!AH$27:AH$50,'Баланс Тр'!$F$27:$F$50,$F75,'Баланс Тр'!$AB$27:$AB$50,"3"),_xlfn.SUMIFS('Баланс Пр'!AH$27:AH$233,'Баланс Пр'!$F$27:$F$233,$F75,'Баланс Пр'!$AB$27:$AB$233,"9.1"))</f>
        <v>0</v>
      </c>
      <c r="AJ75" s="307">
        <f>IF($K27="передача тепловой энергии",_xlfn.SUMIFS('Баланс Тр'!AI$27:AI$50,'Баланс Тр'!$F$27:$F$50,$F75,'Баланс Тр'!$AB$27:$AB$50,"3"),_xlfn.SUMIFS('Баланс Пр'!AI$27:AI$233,'Баланс Пр'!$F$27:$F$233,$F75,'Баланс Пр'!$AB$27:$AB$233,"9.1"))</f>
        <v>0</v>
      </c>
      <c r="AK75" s="307">
        <f>IF($K27="передача тепловой энергии",_xlfn.SUMIFS('Баланс Тр'!AS$27:AS$50,'Баланс Тр'!$F$27:$F$50,$F75,'Баланс Тр'!$AB$27:$AB$50,"3"),_xlfn.SUMIFS('Баланс Пр'!AS$27:AS$233,'Баланс Пр'!$F$27:$F$233,$F75,'Баланс Пр'!$AB$27:$AB$233,"9.1"))</f>
        <v>0</v>
      </c>
      <c r="AL75" s="307">
        <f>IF(AI75=0,0,(AK75-AI75)/AI75*100)</f>
        <v>0</v>
      </c>
      <c r="AM75" s="73"/>
      <c r="AN75" s="73"/>
      <c r="AO75" s="73"/>
      <c r="AR75" s="1230" t="s">
        <v>1720</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1721</v>
      </c>
      <c r="D76" s="1257" t="s">
        <v>1722</v>
      </c>
      <c r="E76" s="794">
        <v>17.1</v>
      </c>
      <c r="F76" s="919" cm="1" t="str">
        <f t="array" ref="F76:F76">OFFSET(G76,-1,-1)</f>
        <v>0</v>
      </c>
      <c r="G76" s="190" t="s">
        <v>1723</v>
      </c>
      <c r="L76" s="1294"/>
      <c r="M76" s="1284" cm="1" t="str">
        <f t="array" ref="M76:M76">OFFSET(L76,-1,1)</f>
        <v>0</v>
      </c>
      <c r="N76" s="1294"/>
      <c r="O76" s="1294"/>
      <c r="P76" s="1294"/>
      <c r="Q76" s="1286"/>
      <c r="R76" s="1286"/>
      <c r="S76" s="1286" t="s">
        <v>1724</v>
      </c>
      <c r="T76" s="805" cm="1" t="str">
        <f t="array" ref="T76:T76">T75</f>
        <v>false</v>
      </c>
      <c r="AB76" s="660" t="str">
        <f>AB75&amp;".1"</f>
        <v>10.1</v>
      </c>
      <c r="AC76" s="286" t="s">
        <v>1725</v>
      </c>
      <c r="AD76" s="309" t="s">
        <v>591</v>
      </c>
      <c r="AE76" s="121"/>
      <c r="AF76" s="613"/>
      <c r="AG76" s="613"/>
      <c r="AH76" s="374"/>
      <c r="AI76" s="121"/>
      <c r="AJ76" s="614"/>
      <c r="AK76" s="614"/>
      <c r="AL76" s="307">
        <f>IF(AI76=0,0,(AK76-AI76)/AI76*100)</f>
        <v>0</v>
      </c>
      <c r="AM76" s="73"/>
      <c r="AN76" s="73"/>
      <c r="AO76" s="73"/>
      <c r="AR76" s="1230" t="s">
        <v>1726</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1727</v>
      </c>
      <c r="D77" s="1257" t="s">
        <v>1728</v>
      </c>
      <c r="E77" s="794">
        <v>17.1</v>
      </c>
      <c r="F77" s="919" cm="1" t="str">
        <f t="array" ref="F77:F77">OFFSET(G77,-1,-1)</f>
        <v>0</v>
      </c>
      <c r="G77" s="736" t="s">
        <v>1729</v>
      </c>
      <c r="L77" s="1294"/>
      <c r="M77" s="1284" cm="1" t="str">
        <f t="array" ref="M77:M77">OFFSET(L77,-1,1)</f>
        <v>0</v>
      </c>
      <c r="N77" s="1294"/>
      <c r="O77" s="1294"/>
      <c r="P77" s="1294"/>
      <c r="Q77" s="1286"/>
      <c r="R77" s="1286"/>
      <c r="S77" s="1286" t="s">
        <v>1724</v>
      </c>
      <c r="T77" s="805" cm="1" t="str">
        <f t="array" ref="T77:T77">T76</f>
        <v>false</v>
      </c>
      <c r="AB77" s="660" t="str">
        <f>AB75&amp;".2"</f>
        <v>10.2</v>
      </c>
      <c r="AC77" s="286" t="s">
        <v>1730</v>
      </c>
      <c r="AD77" s="309" t="s">
        <v>895</v>
      </c>
      <c r="AE77" s="121"/>
      <c r="AF77" s="613"/>
      <c r="AG77" s="613"/>
      <c r="AH77" s="374"/>
      <c r="AI77" s="121"/>
      <c r="AJ77" s="614"/>
      <c r="AK77" s="614"/>
      <c r="AL77" s="307">
        <f>IF(AI77=0,0,(AK77-AI77)/AI77*100)</f>
        <v>0</v>
      </c>
      <c r="AM77" s="73"/>
      <c r="AN77" s="73"/>
      <c r="AO77" s="73"/>
      <c r="AR77" s="1230" t="s">
        <v>1731</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1721</v>
      </c>
      <c r="D78" s="1257" t="s">
        <v>1722</v>
      </c>
      <c r="E78" s="794">
        <v>17.1</v>
      </c>
      <c r="F78" s="919" cm="1" t="str">
        <f t="array" ref="F78:F78">OFFSET(G78,-1,-1)</f>
        <v>0</v>
      </c>
      <c r="G78" s="190" t="s">
        <v>1732</v>
      </c>
      <c r="L78" s="1286"/>
      <c r="M78" s="1284" cm="1" t="str">
        <f t="array" ref="M78:M78">OFFSET(L78,-1,1)</f>
        <v>0</v>
      </c>
      <c r="N78" s="1286"/>
      <c r="O78" s="1286"/>
      <c r="P78" s="1286"/>
      <c r="Q78" s="1286"/>
      <c r="R78" s="1286"/>
      <c r="S78" s="1286" t="s">
        <v>1733</v>
      </c>
      <c r="T78" s="805" cm="1" t="str">
        <f t="array" ref="T78:T78">T77</f>
        <v>false</v>
      </c>
      <c r="AB78" s="660" t="str">
        <f>AB75&amp;".3"</f>
        <v>10.3</v>
      </c>
      <c r="AC78" s="286" t="s">
        <v>1734</v>
      </c>
      <c r="AD78" s="309" t="s">
        <v>591</v>
      </c>
      <c r="AE78" s="1018">
        <f>AE75-AE76</f>
        <v>0</v>
      </c>
      <c r="AF78" s="613"/>
      <c r="AG78" s="613"/>
      <c r="AH78" s="374"/>
      <c r="AI78" s="1018">
        <f>AI75-AI76</f>
        <v>0</v>
      </c>
      <c r="AJ78" s="1018">
        <f>AJ75-AJ76</f>
        <v>0</v>
      </c>
      <c r="AK78" s="1018">
        <f>AK75-AK76</f>
        <v>0</v>
      </c>
      <c r="AL78" s="307">
        <f>IF(AI78=0,0,(AK78-AI78)/AI78*100)</f>
        <v>0</v>
      </c>
      <c r="AM78" s="68"/>
      <c r="AN78" s="68"/>
      <c r="AO78" s="68"/>
      <c r="AR78" s="1230" t="s">
        <v>1735</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1727</v>
      </c>
      <c r="D79" s="1257" t="s">
        <v>1728</v>
      </c>
      <c r="E79" s="794">
        <v>17.1</v>
      </c>
      <c r="F79" s="919" cm="1" t="str">
        <f t="array" ref="F79:F79">OFFSET(G79,-1,-1)</f>
        <v>0</v>
      </c>
      <c r="G79" s="736" t="s">
        <v>1736</v>
      </c>
      <c r="L79" s="1286"/>
      <c r="M79" s="1284" cm="1" t="str">
        <f t="array" ref="M79:M79">OFFSET(L79,-1,1)</f>
        <v>0</v>
      </c>
      <c r="N79" s="1286"/>
      <c r="O79" s="1286"/>
      <c r="P79" s="1286"/>
      <c r="Q79" s="1286"/>
      <c r="R79" s="1286"/>
      <c r="S79" s="1286" t="s">
        <v>1733</v>
      </c>
      <c r="T79" s="805" cm="1" t="str">
        <f t="array" ref="T79:T79">T78</f>
        <v>false</v>
      </c>
      <c r="AB79" s="660" t="str">
        <f>AB75&amp;".4"</f>
        <v>10.4</v>
      </c>
      <c r="AC79" s="286" t="s">
        <v>1737</v>
      </c>
      <c r="AD79" s="309" t="s">
        <v>895</v>
      </c>
      <c r="AE79" s="121">
        <f>_xlfn.IFERROR((AE72*1000-AE76*AE77)/AE78,0)</f>
        <v>0</v>
      </c>
      <c r="AF79" s="613"/>
      <c r="AG79" s="613"/>
      <c r="AH79" s="374"/>
      <c r="AI79" s="121">
        <f>_xlfn.IFERROR((AI72*1000-AI76*AI77)/AI78,0)</f>
        <v>0</v>
      </c>
      <c r="AJ79" s="614">
        <f>_xlfn.IFERROR((AJ72*1000-AJ76*AJ77)/AJ78,0)</f>
        <v>0</v>
      </c>
      <c r="AK79" s="614">
        <f>_xlfn.IFERROR((AK72*1000-AK76*AK77)/AK78,0)</f>
        <v>0</v>
      </c>
      <c r="AL79" s="307">
        <f>IF(AI79=0,0,(AK79-AI79)/AI79*100)</f>
        <v>0</v>
      </c>
      <c r="AM79" s="79"/>
      <c r="AN79" s="79"/>
      <c r="AO79" s="79"/>
      <c r="AR79" s="1230" t="s">
        <v>1738</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1739</v>
      </c>
      <c r="D80" s="1257" t="s">
        <v>1740</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1741</v>
      </c>
      <c r="AD80" s="309" t="s">
        <v>490</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1742</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1743</v>
      </c>
      <c r="D81" s="1257" t="s">
        <v>1744</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1745</v>
      </c>
      <c r="AD81" s="309" t="s">
        <v>895</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9"/>
      <c r="AN81" s="79"/>
      <c r="AO81" s="79"/>
      <c r="AR81" s="1230" t="s">
        <v>1746</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1747</v>
      </c>
      <c r="D82" s="1257" t="s">
        <v>1748</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696</v>
      </c>
      <c r="AC82" s="886" t="s">
        <v>1750</v>
      </c>
      <c r="AD82" s="664" t="s">
        <v>690</v>
      </c>
      <c r="AE82" s="98">
        <f>_xlfn.SUMIFS('Баланс Пр'!AE$27:AE$233,'Баланс Пр'!$F$27:$F$233,$F82,'Баланс Пр'!$AB$27:$AB$233,"10")</f>
        <v>0</v>
      </c>
      <c r="AF82" s="613"/>
      <c r="AG82" s="613"/>
      <c r="AH82" s="374"/>
      <c r="AI82" s="98">
        <f>_xlfn.SUMIFS('Баланс Пр'!AH$27:AH$233,'Баланс Пр'!$F$27:$F$233,$F82,'Баланс Пр'!$AB$27:$AB$233,"10")</f>
        <v>0</v>
      </c>
      <c r="AJ82" s="308">
        <f>_xlfn.SUMIFS('Баланс Пр'!AI$27:AI$233,'Баланс Пр'!$F$27:$F$233,$F82,'Баланс Пр'!$AB$27:$AB$233,"10")</f>
        <v>0</v>
      </c>
      <c r="AK82" s="308">
        <f>_xlfn.SUMIFS('Баланс Пр'!AS$27:AS$233,'Баланс Пр'!$F$27:$F$233,$F82,'Баланс Пр'!$AB$27:$AB$233,"10")</f>
        <v>0</v>
      </c>
      <c r="AL82" s="307">
        <f>IF(AI82=0,0,(AK82-AI82)/AI82*100)</f>
        <v>0</v>
      </c>
      <c r="AM82" s="1103"/>
      <c r="AN82" s="1103"/>
      <c r="AO82" s="1098"/>
      <c r="AR82" s="1230" t="s">
        <v>691</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1747</v>
      </c>
      <c r="D83" s="1257" t="s">
        <v>1748</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1724</v>
      </c>
      <c r="T83" s="805">
        <f>AND(F83&gt;0,H83="двухставочный")</f>
        <v>0</v>
      </c>
      <c r="AB83" s="660" t="str">
        <f>AB82&amp;".1"</f>
        <v>11.1</v>
      </c>
      <c r="AC83" s="720" t="s">
        <v>1752</v>
      </c>
      <c r="AD83" s="620" t="s">
        <v>690</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80"/>
      <c r="AN83" s="80"/>
      <c r="AO83" s="80"/>
      <c r="AR83" s="1230" t="s">
        <v>1753</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1747</v>
      </c>
      <c r="D84" s="1257" t="s">
        <v>1748</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1733</v>
      </c>
      <c r="T84" s="805">
        <f>AND(F84&gt;0,H84="двухставочный")</f>
        <v>0</v>
      </c>
      <c r="AB84" s="660" t="str">
        <f>AB82&amp;".2"</f>
        <v>11.2</v>
      </c>
      <c r="AC84" s="720" t="s">
        <v>1755</v>
      </c>
      <c r="AD84" s="620" t="s">
        <v>690</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80"/>
      <c r="AN84" s="80"/>
      <c r="AO84" s="80"/>
      <c r="AR84" s="1230" t="s">
        <v>1756</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1695</v>
      </c>
      <c r="AC85" s="160" t="s">
        <v>1758</v>
      </c>
      <c r="AD85" s="710"/>
      <c r="AE85" s="735"/>
      <c r="AF85" s="613"/>
      <c r="AG85" s="613"/>
      <c r="AH85" s="374"/>
      <c r="AI85" s="735"/>
      <c r="AJ85" s="735"/>
      <c r="AK85" s="735"/>
      <c r="AL85" s="374"/>
      <c r="AM85" s="73"/>
      <c r="AN85" s="73"/>
      <c r="AO85" s="73"/>
      <c r="AR85" s="1230" t="s">
        <v>1759</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1760</v>
      </c>
      <c r="D86" s="1257" t="s">
        <v>1761</v>
      </c>
      <c r="E86" s="794">
        <v>17.1</v>
      </c>
      <c r="F86" s="919" cm="1" t="str">
        <f t="array" ref="F86:F86">OFFSET(G86,-1,-1)</f>
        <v>0</v>
      </c>
      <c r="G86" s="736" t="s">
        <v>1762</v>
      </c>
      <c r="H86" s="190" cm="1" t="str">
        <f t="array" ref="H86:H86">G27</f>
        <v>0</v>
      </c>
      <c r="L86" s="1286"/>
      <c r="M86" s="1284" cm="1" t="str">
        <f t="array" ref="M86:M86">OFFSET(L86,-1,1)</f>
        <v>0</v>
      </c>
      <c r="N86" s="1286"/>
      <c r="O86" s="1286"/>
      <c r="P86" s="1286"/>
      <c r="Q86" s="1286"/>
      <c r="R86" s="1286"/>
      <c r="S86" s="1286" t="s">
        <v>1724</v>
      </c>
      <c r="T86" s="805">
        <f>AND(F86&gt;0,H86="двухставочный")</f>
        <v>0</v>
      </c>
      <c r="AB86" s="660" t="str">
        <f>AB85&amp;".1"</f>
        <v>12.1</v>
      </c>
      <c r="AC86" s="1346" t="s">
        <v>1763</v>
      </c>
      <c r="AD86" s="517" t="s">
        <v>895</v>
      </c>
      <c r="AE86" s="129"/>
      <c r="AF86" s="613"/>
      <c r="AG86" s="613"/>
      <c r="AH86" s="374"/>
      <c r="AI86" s="129"/>
      <c r="AJ86" s="638"/>
      <c r="AK86" s="638"/>
      <c r="AL86" s="307">
        <f>IF(AI86=0,0,(AK86-AI86)/AI86*100)</f>
        <v>0</v>
      </c>
      <c r="AM86" s="73"/>
      <c r="AN86" s="73"/>
      <c r="AO86" s="73"/>
      <c r="AR86" s="1230" t="s">
        <v>1764</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1760</v>
      </c>
      <c r="D87" s="1257" t="s">
        <v>1761</v>
      </c>
      <c r="E87" s="794">
        <v>17.1</v>
      </c>
      <c r="F87" s="919" cm="1" t="str">
        <f t="array" ref="F87:F87">OFFSET(G87,-1,-1)</f>
        <v>0</v>
      </c>
      <c r="G87" s="736" t="s">
        <v>1765</v>
      </c>
      <c r="H87" s="190" cm="1" t="str">
        <f t="array" ref="H87:H87">G27</f>
        <v>0</v>
      </c>
      <c r="L87" s="1286"/>
      <c r="M87" s="1284" cm="1" t="str">
        <f t="array" ref="M87:M87">OFFSET(L87,-1,1)</f>
        <v>0</v>
      </c>
      <c r="N87" s="1286"/>
      <c r="O87" s="1286"/>
      <c r="P87" s="1286"/>
      <c r="Q87" s="1286"/>
      <c r="R87" s="1286"/>
      <c r="S87" s="1286" t="s">
        <v>1733</v>
      </c>
      <c r="T87" s="805">
        <f>AND(F87&gt;0,H87="двухставочный")</f>
        <v>0</v>
      </c>
      <c r="AB87" s="660" t="str">
        <f>AB85&amp;".2"</f>
        <v>12.2</v>
      </c>
      <c r="AC87" s="1346" t="s">
        <v>1766</v>
      </c>
      <c r="AD87" s="517" t="s">
        <v>895</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3"/>
      <c r="AN87" s="73"/>
      <c r="AO87" s="73"/>
      <c r="AR87" s="1230" t="s">
        <v>1767</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1768</v>
      </c>
      <c r="D88" s="1257" t="s">
        <v>1769</v>
      </c>
      <c r="E88" s="794">
        <v>17.1</v>
      </c>
      <c r="F88" s="919" cm="1" t="str">
        <f t="array" ref="F88:F88">OFFSET(G88,-1,-1)</f>
        <v>0</v>
      </c>
      <c r="H88" s="190" cm="1" t="str">
        <f t="array" ref="H88:H88">G27</f>
        <v>0</v>
      </c>
      <c r="L88" s="1286" t="s">
        <v>1921</v>
      </c>
      <c r="M88" s="1284" cm="1" t="str">
        <f t="array" ref="M88:M88">OFFSET(L88,-1,1)</f>
        <v>0</v>
      </c>
      <c r="N88" s="1286"/>
      <c r="O88" s="1286"/>
      <c r="P88" s="1286"/>
      <c r="Q88" s="1286"/>
      <c r="R88" s="1286"/>
      <c r="S88" s="1286"/>
      <c r="T88" s="805">
        <f>AND(F88&gt;0,H88="двухставочный")</f>
        <v>0</v>
      </c>
      <c r="AB88" s="660" t="str">
        <f>AB85&amp;".3"</f>
        <v>12.3</v>
      </c>
      <c r="AC88" s="312" t="s">
        <v>1771</v>
      </c>
      <c r="AD88" s="517" t="s">
        <v>490</v>
      </c>
      <c r="AE88" s="662">
        <f>_xlfn.IFERROR(AE87/AE86,0)</f>
        <v>0</v>
      </c>
      <c r="AF88" s="613"/>
      <c r="AG88" s="613"/>
      <c r="AH88" s="613"/>
      <c r="AI88" s="662">
        <f>_xlfn.IFERROR(AI87/AI86,0)</f>
        <v>0</v>
      </c>
      <c r="AJ88" s="662">
        <f>_xlfn.IFERROR(AJ87/AJ86,0)</f>
        <v>0</v>
      </c>
      <c r="AK88" s="662">
        <f>_xlfn.IFERROR(AK87/AK86,0)</f>
        <v>0</v>
      </c>
      <c r="AL88" s="374"/>
      <c r="AM88" s="73"/>
      <c r="AN88" s="73"/>
      <c r="AO88" s="73"/>
      <c r="AR88" s="1230" t="s">
        <v>1772</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1700</v>
      </c>
      <c r="AC89" s="160" t="s">
        <v>1773</v>
      </c>
      <c r="AD89" s="619"/>
      <c r="AE89" s="735"/>
      <c r="AF89" s="613"/>
      <c r="AG89" s="613"/>
      <c r="AH89" s="613"/>
      <c r="AI89" s="735"/>
      <c r="AJ89" s="735"/>
      <c r="AK89" s="735"/>
      <c r="AL89" s="374"/>
      <c r="AM89" s="73"/>
      <c r="AN89" s="73"/>
      <c r="AO89" s="73"/>
      <c r="AR89" s="1230" t="s">
        <v>1774</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1775</v>
      </c>
      <c r="D90" s="1257" t="s">
        <v>1776</v>
      </c>
      <c r="E90" s="794">
        <v>17.1</v>
      </c>
      <c r="F90" s="919" cm="1" t="str">
        <f t="array" ref="F90:F90">OFFSET(G90,-1,-1)</f>
        <v>0</v>
      </c>
      <c r="G90" s="736" t="s">
        <v>1777</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1778</v>
      </c>
      <c r="AD90" s="517" t="s">
        <v>1779</v>
      </c>
      <c r="AE90" s="98"/>
      <c r="AF90" s="613"/>
      <c r="AG90" s="613"/>
      <c r="AH90" s="374"/>
      <c r="AI90" s="98"/>
      <c r="AJ90" s="308"/>
      <c r="AK90" s="308"/>
      <c r="AL90" s="307">
        <f>IF(AI90=0,0,(AK90-AI90)/AI90*100)</f>
        <v>0</v>
      </c>
      <c r="AM90" s="73"/>
      <c r="AN90" s="73"/>
      <c r="AO90" s="73"/>
      <c r="AR90" s="1230" t="s">
        <v>1780</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1775</v>
      </c>
      <c r="D91" s="1257" t="s">
        <v>1776</v>
      </c>
      <c r="E91" s="794">
        <v>17.1</v>
      </c>
      <c r="F91" s="919" cm="1" t="str">
        <f t="array" ref="F91:F91">OFFSET(G91,-1,-1)</f>
        <v>0</v>
      </c>
      <c r="G91" s="736" t="s">
        <v>1781</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1782</v>
      </c>
      <c r="AD91" s="517" t="s">
        <v>1779</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3"/>
      <c r="AN91" s="73"/>
      <c r="AO91" s="73"/>
      <c r="AR91" s="1230" t="s">
        <v>1783</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1768</v>
      </c>
      <c r="D92" s="1257" t="s">
        <v>1769</v>
      </c>
      <c r="E92" s="794">
        <v>17.1</v>
      </c>
      <c r="F92" s="919" cm="1" t="str">
        <f t="array" ref="F92:F92">OFFSET(G92,-1,-1)</f>
        <v>0</v>
      </c>
      <c r="H92" s="190" cm="1" t="str">
        <f t="array" ref="H92:H92">G27</f>
        <v>0</v>
      </c>
      <c r="L92" s="1286"/>
      <c r="M92" s="1284" cm="1" t="str">
        <f t="array" ref="M92:M92">OFFSET(L92,-1,1)</f>
        <v>0</v>
      </c>
      <c r="N92" s="1286"/>
      <c r="O92" s="1286"/>
      <c r="P92" s="1286"/>
      <c r="Q92" s="1286"/>
      <c r="R92" s="1286" t="s">
        <v>1784</v>
      </c>
      <c r="S92" s="1286"/>
      <c r="T92" s="805">
        <f>AND(F92&gt;0,H92="двухставочный")</f>
        <v>0</v>
      </c>
      <c r="AB92" s="660" t="str">
        <f>AB89&amp;".3"</f>
        <v>13.3</v>
      </c>
      <c r="AC92" s="312" t="s">
        <v>1785</v>
      </c>
      <c r="AD92" s="517" t="s">
        <v>490</v>
      </c>
      <c r="AE92" s="662">
        <f>_xlfn.IFERROR(AE91/AE90,0)</f>
        <v>0</v>
      </c>
      <c r="AF92" s="1019"/>
      <c r="AG92" s="613"/>
      <c r="AH92" s="613"/>
      <c r="AI92" s="662">
        <f>_xlfn.IFERROR(AI91/AI90,0)</f>
        <v>0</v>
      </c>
      <c r="AJ92" s="662">
        <f>_xlfn.IFERROR(AJ91/AJ90,0)</f>
        <v>0</v>
      </c>
      <c r="AK92" s="662">
        <f>_xlfn.IFERROR(AK91/AK90,0)</f>
        <v>0</v>
      </c>
      <c r="AL92" s="374"/>
      <c r="AM92" s="73"/>
      <c r="AN92" s="73"/>
      <c r="AO92" s="73"/>
      <c r="AR92" s="1230" t="s">
        <v>1786</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1787</v>
      </c>
      <c r="D93" s="1257" t="s">
        <v>1788</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1705</v>
      </c>
      <c r="AC93" s="1059" t="s">
        <v>1790</v>
      </c>
      <c r="AD93" s="577" t="s">
        <v>1019</v>
      </c>
      <c r="AE93" s="98"/>
      <c r="AF93" s="121"/>
      <c r="AG93" s="121"/>
      <c r="AH93" s="307">
        <f>AG93-AF93</f>
        <v>0</v>
      </c>
      <c r="AI93" s="98"/>
      <c r="AJ93" s="308"/>
      <c r="AK93" s="308"/>
      <c r="AL93" s="307">
        <f>IF(AI93=0,0,(AK93-AI93)/AI93*100)</f>
        <v>0</v>
      </c>
      <c r="AM93" s="73"/>
      <c r="AN93" s="73"/>
      <c r="AO93" s="73"/>
      <c r="AR93" s="1230" t="s">
        <v>1791</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46" customFormat="1" customHeight="1" ht="16.5">
      <c r="A94" s="217"/>
      <c r="B94" s="217"/>
      <c r="C94" s="1302"/>
      <c r="D94" s="1252"/>
      <c r="E94" s="794">
        <v>17.1</v>
      </c>
      <c r="F94" s="919" cm="1" t="str">
        <f t="array" ref="F94:F94">X94</f>
        <v>1</v>
      </c>
      <c r="G94" s="736" cm="1" t="str">
        <f t="array" ref="G94:G94">INDEX('Общие сведения'!$AK$169:$AK$218,MATCH($F94,'Общие сведения'!$Z$169:$Z$218,0))</f>
        <v>одноставочный</v>
      </c>
      <c r="H94" s="217"/>
      <c r="I94" s="210" cm="1" t="str">
        <f t="array" ref="I94:I94">INDEX('Общие сведения'!$AE$169:$AE$218,MATCH($F94,'Общие сведения'!$Z$169:$Z$218,0))</f>
        <v>Теплоснабжение</v>
      </c>
      <c r="J94" s="217"/>
      <c r="K94" s="210" cm="1" t="str">
        <f t="array" ref="K94:K94">INDEX('Общие сведения'!$AL$169:$AL$218,MATCH($F94,'Общие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W94" s="217"/>
      <c r="X94" s="1554" t="s">
        <v>335</v>
      </c>
      <c r="Y94" s="217"/>
      <c r="Z94" s="217"/>
      <c r="AA94" s="217"/>
      <c r="AB94" s="327" cm="1" t="str">
        <f t="array" ref="AB94:AB94">IF(ISBLANK('Калькуляция (5.9)'!$AB$82),"",'Калькуляция (5.9)'!$AB$82)</f>
        <v>Тариф 1 (Теплоснабжение) - Тариф на тепловую энергию (мощность), поставляемую потребителям (Тариф: Носитель - горячая вода (Т); Носитель - горячая вода (Т))</v>
      </c>
      <c r="AC94" s="328"/>
      <c r="AD94" s="328"/>
      <c r="AE94" s="328"/>
      <c r="AF94" s="328"/>
      <c r="AG94" s="328"/>
      <c r="AH94" s="328"/>
      <c r="AI94" s="328"/>
      <c r="AJ94" s="328"/>
      <c r="AK94" s="328"/>
      <c r="AL94" s="328"/>
      <c r="AM94" s="328"/>
      <c r="AN94" s="328"/>
      <c r="AO94" s="328"/>
      <c r="AP94" s="217"/>
      <c r="AQ94" s="217"/>
      <c r="AR94" s="1203"/>
      <c r="AS94" s="1280"/>
    </row>
    <row s="1619" customFormat="1" customHeight="1" ht="33.75">
      <c r="A95" s="1183"/>
      <c r="B95" s="924"/>
      <c r="C95" s="1298" t="s">
        <v>1798</v>
      </c>
      <c r="D95" s="1257" t="s">
        <v>1799</v>
      </c>
      <c r="E95" s="794">
        <v>35</v>
      </c>
      <c r="F95" s="919" cm="1" t="str">
        <f t="array" ref="F95:F95">OFFSET(G95,-1,-1)</f>
        <v>1</v>
      </c>
      <c r="G95" s="227"/>
      <c r="H95" s="227"/>
      <c r="I95" s="227"/>
      <c r="J95" s="227"/>
      <c r="K95" s="227"/>
      <c r="L95" s="1286"/>
      <c r="M95" s="1286" cm="1" t="str">
        <f t="array" ref="M95:M95">INDEX('Общие сведения'!$N$169:$N$218,MATCH($F94,'Общие сведения'!$Z$169:$Z$218,0)+1)</f>
        <v>ТЭ.42.26824396.0004</v>
      </c>
      <c r="N95" s="1286"/>
      <c r="O95" s="1286"/>
      <c r="P95" s="1286"/>
      <c r="Q95" s="1286"/>
      <c r="R95" s="1286"/>
      <c r="S95" s="1286"/>
      <c r="T95" s="805" cm="1" t="str">
        <f t="array" ref="T95:T95">T94</f>
        <v>true</v>
      </c>
      <c r="U95" s="1461"/>
      <c r="V95" s="1461"/>
      <c r="W95" s="1461"/>
      <c r="X95" s="1461"/>
      <c r="Y95" s="1461"/>
      <c r="Z95" s="1461"/>
      <c r="AA95" s="227"/>
      <c r="AB95" s="986">
        <v>1</v>
      </c>
      <c r="AC95" s="987" t="s">
        <v>1800</v>
      </c>
      <c r="AD95" s="988" t="s">
        <v>1019</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10891.9999135</v>
      </c>
      <c r="AK95" s="612">
        <f>AK96+AK97+AK98+AK101+AK102+AK103+AK104+AK105+AK107+AK108+AK109+AK110+AK111+AK112+AK113+AK114+AK115+AK116</f>
        <v>9520.0451614893</v>
      </c>
      <c r="AL95" s="307">
        <f>IF(AI95=0,0,(AK95-AI95)/AI95*100)</f>
        <v>0</v>
      </c>
      <c r="AM95" s="1730"/>
      <c r="AN95" s="1730"/>
      <c r="AO95" s="1730"/>
      <c r="AP95" s="227"/>
      <c r="AQ95" s="227"/>
      <c r="AR95" s="1230" t="s">
        <v>1801</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M10558::ТЭ.42.26824396.0004::Неопределено::Неопределено::Неопределено::Неопределено::Неопределено::Неопределено::Неопределено</v>
      </c>
    </row>
    <row s="1619" customFormat="1" customHeight="1" ht="16.5">
      <c r="A96" s="1183"/>
      <c r="B96" s="924"/>
      <c r="C96" s="1298" t="s">
        <v>1798</v>
      </c>
      <c r="D96" s="1257" t="s">
        <v>1799</v>
      </c>
      <c r="E96" s="794">
        <v>17.1</v>
      </c>
      <c r="F96" s="919" cm="1" t="str">
        <f t="array" ref="F96:F96">OFFSET(G96,-1,-1)</f>
        <v>1</v>
      </c>
      <c r="G96" s="227"/>
      <c r="H96" s="227"/>
      <c r="I96" s="227"/>
      <c r="J96" s="227"/>
      <c r="K96" s="227"/>
      <c r="L96" s="1286" t="s">
        <v>1802</v>
      </c>
      <c r="M96" s="1284" cm="1" t="str">
        <f t="array" ref="M96:M96">OFFSET(L96,-1,1)</f>
        <v>ТЭ.42.26824396.0004</v>
      </c>
      <c r="N96" s="1286"/>
      <c r="O96" s="1286"/>
      <c r="P96" s="1286"/>
      <c r="Q96" s="1286"/>
      <c r="R96" s="1286"/>
      <c r="S96" s="1286"/>
      <c r="T96" s="805" cm="1" t="str">
        <f t="array" ref="T96:T96">T95</f>
        <v>true</v>
      </c>
      <c r="U96" s="1461"/>
      <c r="V96" s="1461"/>
      <c r="W96" s="1461"/>
      <c r="X96" s="1461"/>
      <c r="Y96" s="1461"/>
      <c r="Z96" s="1461"/>
      <c r="AA96" s="227"/>
      <c r="AB96" s="989" t="s">
        <v>442</v>
      </c>
      <c r="AC96" s="990" t="s">
        <v>1803</v>
      </c>
      <c r="AD96" s="991" t="s">
        <v>1019</v>
      </c>
      <c r="AE96" s="1903"/>
      <c r="AF96" s="1903"/>
      <c r="AG96" s="1903"/>
      <c r="AH96" s="307">
        <f>AG96-AF96</f>
        <v>0</v>
      </c>
      <c r="AI96" s="1903"/>
      <c r="AJ96" s="614"/>
      <c r="AK96" s="614"/>
      <c r="AL96" s="307">
        <f>IF(AI96=0,0,(AK96-AI96)/AI96*100)</f>
        <v>0</v>
      </c>
      <c r="AM96" s="1730"/>
      <c r="AN96" s="1730"/>
      <c r="AO96" s="1730"/>
      <c r="AP96" s="227"/>
      <c r="AQ96" s="227"/>
      <c r="AR96" s="1230" t="s">
        <v>1296</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M10558::ТЭ.42.26824396.0004::1.0.64.::Неопределено::Неопределено::Неопределено::Неопределено::Неопределено::Неопределено</v>
      </c>
    </row>
    <row s="1619" customFormat="1" customHeight="1" ht="25.5">
      <c r="A97" s="1183"/>
      <c r="B97" s="924"/>
      <c r="C97" s="1298" t="s">
        <v>1798</v>
      </c>
      <c r="D97" s="1257" t="s">
        <v>1799</v>
      </c>
      <c r="E97" s="794">
        <v>26.3</v>
      </c>
      <c r="F97" s="919" cm="1" t="str">
        <f t="array" ref="F97:F97">OFFSET(G97,-1,-1)</f>
        <v>1</v>
      </c>
      <c r="G97" s="190" t="s">
        <v>1385</v>
      </c>
      <c r="H97" s="227"/>
      <c r="I97" s="227"/>
      <c r="J97" s="227"/>
      <c r="K97" s="227"/>
      <c r="L97" s="1286" t="s">
        <v>1804</v>
      </c>
      <c r="M97" s="1284" cm="1" t="str">
        <f t="array" ref="M97:M97">OFFSET(L97,-1,1)</f>
        <v>ТЭ.42.26824396.0004</v>
      </c>
      <c r="N97" s="1286"/>
      <c r="O97" s="1286"/>
      <c r="P97" s="1286"/>
      <c r="Q97" s="1286"/>
      <c r="R97" s="1286"/>
      <c r="S97" s="1286"/>
      <c r="T97" s="805" cm="1" t="str">
        <f t="array" ref="T97:T97">T96</f>
        <v>true</v>
      </c>
      <c r="U97" s="1461"/>
      <c r="V97" s="1461"/>
      <c r="W97" s="1461"/>
      <c r="X97" s="1461"/>
      <c r="Y97" s="1461"/>
      <c r="Z97" s="1461"/>
      <c r="AA97" s="227"/>
      <c r="AB97" s="989" t="s">
        <v>931</v>
      </c>
      <c r="AC97" s="990" t="s">
        <v>1386</v>
      </c>
      <c r="AD97" s="991" t="s">
        <v>1019</v>
      </c>
      <c r="AE97" s="307">
        <f>_xlfn.SUMIFS('Топливо 4.4'!AH$27:AH$411,'Топливо 4.4'!$F$27:$F$411,$F97,'Топливо 4.4'!$G$27:$G$411,$G97)</f>
        <v>0</v>
      </c>
      <c r="AF97" s="307">
        <f>_xlfn.SUMIFS('Топливо 4.4'!AI$27:AI$411,'Топливо 4.4'!$F$27:$F$411,$F97,'Топливо 4.4'!$G$27:$G$411,$G97)</f>
        <v>0</v>
      </c>
      <c r="AG97" s="307">
        <f>_xlfn.SUMIFS('Топливо 4.4'!AJ$27:AJ$411,'Топливо 4.4'!$F$27:$F$411,$F97,'Топливо 4.4'!$G$27:$G$411,$G97)</f>
        <v>0</v>
      </c>
      <c r="AH97" s="307">
        <f>AG97-AF97</f>
        <v>0</v>
      </c>
      <c r="AI97" s="307">
        <f>_xlfn.SUMIFS('Топливо 4.4'!AK$27:AK$411,'Топливо 4.4'!$F$27:$F$411,$F97,'Топливо 4.4'!$G$27:$G$411,$G97)</f>
        <v>0</v>
      </c>
      <c r="AJ97" s="307">
        <f>_xlfn.SUMIFS('Топливо 4.4'!AL$27:AL$411,'Топливо 4.4'!$F$27:$F$411,$F97,'Топливо 4.4'!$G$27:$G$411,$G97)</f>
        <v>4485.9999935</v>
      </c>
      <c r="AK97" s="307">
        <f>_xlfn.SUMIFS('Топливо 4.4'!BP$27:BP$411,'Топливо 4.4'!$F$27:$F$411,$F97,'Топливо 4.4'!$G$27:$G$411,$G97)</f>
        <v>3879.0440814893</v>
      </c>
      <c r="AL97" s="307">
        <f>IF(AI97=0,0,(AK97-AI97)/AI97*100)</f>
        <v>0</v>
      </c>
      <c r="AM97" s="1730"/>
      <c r="AN97" s="1730"/>
      <c r="AO97" s="1730"/>
      <c r="AP97" s="227"/>
      <c r="AQ97" s="227"/>
      <c r="AR97" s="1230" t="s">
        <v>1380</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M10558::ТЭ.42.26824396.0004::1.0.66.::Неопределено::Неопределено::Неопределено::Неопределено::Неопределено::Неопределено</v>
      </c>
    </row>
    <row s="1619" customFormat="1" customHeight="1" ht="16.5">
      <c r="A98" s="1183"/>
      <c r="B98" s="924"/>
      <c r="C98" s="1298" t="s">
        <v>1798</v>
      </c>
      <c r="D98" s="1257" t="s">
        <v>1799</v>
      </c>
      <c r="E98" s="794">
        <v>17.1</v>
      </c>
      <c r="F98" s="919" cm="1" t="str">
        <f t="array" ref="F98:F98">OFFSET(G98,-1,-1)</f>
        <v>1</v>
      </c>
      <c r="G98" s="227"/>
      <c r="H98" s="227"/>
      <c r="I98" s="227"/>
      <c r="J98" s="227"/>
      <c r="K98" s="227"/>
      <c r="L98" s="1286" t="s">
        <v>1805</v>
      </c>
      <c r="M98" s="1284" cm="1" t="str">
        <f t="array" ref="M98:M98">OFFSET(L98,-1,1)</f>
        <v>ТЭ.42.26824396.0004</v>
      </c>
      <c r="N98" s="1286"/>
      <c r="O98" s="1286"/>
      <c r="P98" s="1286"/>
      <c r="Q98" s="1286"/>
      <c r="R98" s="1286"/>
      <c r="S98" s="1286"/>
      <c r="T98" s="805" cm="1" t="str">
        <f t="array" ref="T98:T98">T97</f>
        <v>true</v>
      </c>
      <c r="U98" s="1461"/>
      <c r="V98" s="1461"/>
      <c r="W98" s="1461"/>
      <c r="X98" s="1461"/>
      <c r="Y98" s="1461"/>
      <c r="Z98" s="1461"/>
      <c r="AA98" s="227"/>
      <c r="AB98" s="989" t="s">
        <v>933</v>
      </c>
      <c r="AC98" s="990" t="s">
        <v>39</v>
      </c>
      <c r="AD98" s="991" t="s">
        <v>1019</v>
      </c>
      <c r="AE98" s="612">
        <f>SUM(AE99:AE100)</f>
        <v>0</v>
      </c>
      <c r="AF98" s="612">
        <f>SUM(AF99:AF100)</f>
        <v>0</v>
      </c>
      <c r="AG98" s="612">
        <f>SUM(AG99:AG100)</f>
        <v>0</v>
      </c>
      <c r="AH98" s="307">
        <f>AG98-AF98</f>
        <v>0</v>
      </c>
      <c r="AI98" s="612">
        <f>SUM(AI99:AI100)</f>
        <v>0</v>
      </c>
      <c r="AJ98" s="612">
        <f>SUM(AJ99:AJ100)</f>
        <v>297</v>
      </c>
      <c r="AK98" s="612">
        <f>SUM(AK99:AK100)</f>
        <v>267</v>
      </c>
      <c r="AL98" s="307">
        <f>IF(AI98=0,0,(AK98-AI98)/AI98*100)</f>
        <v>0</v>
      </c>
      <c r="AM98" s="1730"/>
      <c r="AN98" s="1730"/>
      <c r="AO98" s="1730"/>
      <c r="AP98" s="227"/>
      <c r="AQ98" s="227"/>
      <c r="AR98" s="1230" t="s">
        <v>1806</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M10558::ТЭ.42.26824396.0004::1.0.69.::Неопределено::Неопределено::Неопределено::Неопределено::Неопределено::Неопределено</v>
      </c>
    </row>
    <row s="1619" customFormat="1" customHeight="1" ht="16.5">
      <c r="A99" s="1183"/>
      <c r="B99" s="924"/>
      <c r="C99" s="1298" t="s">
        <v>1798</v>
      </c>
      <c r="D99" s="1257" t="s">
        <v>1799</v>
      </c>
      <c r="E99" s="794">
        <v>17.1</v>
      </c>
      <c r="F99" s="919" cm="1" t="str">
        <f t="array" ref="F99:F99">OFFSET(G99,-1,-1)</f>
        <v>1</v>
      </c>
      <c r="G99" s="190" t="s">
        <v>925</v>
      </c>
      <c r="H99" s="227"/>
      <c r="I99" s="227"/>
      <c r="J99" s="227"/>
      <c r="K99" s="227"/>
      <c r="L99" s="1286" t="s">
        <v>1807</v>
      </c>
      <c r="M99" s="1284" cm="1" t="str">
        <f t="array" ref="M99:M99">OFFSET(L99,-1,1)</f>
        <v>ТЭ.42.26824396.0004</v>
      </c>
      <c r="N99" s="1286"/>
      <c r="O99" s="1286"/>
      <c r="P99" s="1286"/>
      <c r="Q99" s="1286"/>
      <c r="R99" s="1286"/>
      <c r="S99" s="1286"/>
      <c r="T99" s="805" cm="1" t="str">
        <f t="array" ref="T99:T99">T98</f>
        <v>true</v>
      </c>
      <c r="U99" s="1461"/>
      <c r="V99" s="1461"/>
      <c r="W99" s="1461"/>
      <c r="X99" s="1461"/>
      <c r="Y99" s="1461"/>
      <c r="Z99" s="1461"/>
      <c r="AA99" s="227"/>
      <c r="AB99" s="989" t="s">
        <v>1165</v>
      </c>
      <c r="AC99" s="682" t="s">
        <v>1808</v>
      </c>
      <c r="AD99" s="991" t="s">
        <v>1019</v>
      </c>
      <c r="AE99" s="307">
        <f>_xlfn.SUMIFS(ЭнергоРесурсы!AE$26:AE$156,ЭнергоРесурсы!$F$26:$F$156,$F99,ЭнергоРесурсы!$G$26:$G$156,$G99)</f>
        <v>0</v>
      </c>
      <c r="AF99" s="307">
        <f>_xlfn.SUMIFS(ЭнергоРесурсы!AF$26:AF$156,ЭнергоРесурсы!$F$26:$F$156,$F99,ЭнергоРесурсы!$G$26:$G$156,$G99)</f>
        <v>0</v>
      </c>
      <c r="AG99" s="307">
        <f>_xlfn.SUMIFS(ЭнергоРесурсы!AG$26:AG$156,ЭнергоРесурсы!$F$26:$F$156,$F99,ЭнергоРесурсы!$G$26:$G$156,$G99)</f>
        <v>0</v>
      </c>
      <c r="AH99" s="307">
        <f>AG99-AF99</f>
        <v>0</v>
      </c>
      <c r="AI99" s="307">
        <f>_xlfn.SUMIFS(ЭнергоРесурсы!AH$26:AH$156,ЭнергоРесурсы!$F$26:$F$156,$F99,ЭнергоРесурсы!$G$26:$G$156,$G99)</f>
        <v>0</v>
      </c>
      <c r="AJ99" s="307">
        <f>_xlfn.SUMIFS(ЭнергоРесурсы!AI$26:AI$156,ЭнергоРесурсы!$F$26:$F$156,$F99,ЭнергоРесурсы!$G$26:$G$156,$G99)</f>
        <v>297</v>
      </c>
      <c r="AK99" s="307">
        <f>_xlfn.SUMIFS(ЭнергоРесурсы!AS$26:AS$156,ЭнергоРесурсы!$F$26:$F$156,$F99,ЭнергоРесурсы!$G$26:$G$156,$G99)</f>
        <v>267</v>
      </c>
      <c r="AL99" s="307">
        <f>IF(AI99=0,0,(AK99-AI99)/AI99*100)</f>
        <v>0</v>
      </c>
      <c r="AM99" s="1730"/>
      <c r="AN99" s="1730"/>
      <c r="AO99" s="1730"/>
      <c r="AP99" s="227"/>
      <c r="AQ99" s="227"/>
      <c r="AR99" s="1230" t="s">
        <v>1809</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M10558::ТЭ.42.26824396.0004::1.0.82.::Неопределено::Неопределено::Неопределено::Неопределено::Неопределено::Неопределено</v>
      </c>
    </row>
    <row s="1619" customFormat="1" customHeight="1" ht="16.5">
      <c r="A100" s="1183"/>
      <c r="B100" s="924"/>
      <c r="C100" s="1298" t="s">
        <v>1798</v>
      </c>
      <c r="D100" s="1257" t="s">
        <v>1799</v>
      </c>
      <c r="E100" s="794">
        <v>17.1</v>
      </c>
      <c r="F100" s="919" cm="1" t="str">
        <f t="array" ref="F100:F100">OFFSET(G100,-1,-1)</f>
        <v>1</v>
      </c>
      <c r="G100" s="190" t="s">
        <v>960</v>
      </c>
      <c r="H100" s="227"/>
      <c r="I100" s="227"/>
      <c r="J100" s="227"/>
      <c r="K100" s="227"/>
      <c r="L100" s="1286" t="s">
        <v>1810</v>
      </c>
      <c r="M100" s="1284" cm="1" t="str">
        <f t="array" ref="M100:M100">OFFSET(L100,-1,1)</f>
        <v>ТЭ.42.26824396.0004</v>
      </c>
      <c r="N100" s="1286"/>
      <c r="O100" s="1286"/>
      <c r="P100" s="1286"/>
      <c r="Q100" s="1286"/>
      <c r="R100" s="1286"/>
      <c r="S100" s="1286"/>
      <c r="T100" s="805" cm="1" t="str">
        <f t="array" ref="T100:T100">T99</f>
        <v>true</v>
      </c>
      <c r="U100" s="1461"/>
      <c r="V100" s="1461"/>
      <c r="W100" s="1461"/>
      <c r="X100" s="1461"/>
      <c r="Y100" s="1461"/>
      <c r="Z100" s="1461"/>
      <c r="AA100" s="227"/>
      <c r="AB100" s="989" t="s">
        <v>1169</v>
      </c>
      <c r="AC100" s="682" t="s">
        <v>1811</v>
      </c>
      <c r="AD100" s="991" t="s">
        <v>1019</v>
      </c>
      <c r="AE100" s="307">
        <f>_xlfn.SUMIFS(ЭнергоРесурсы!AE$26:AE$156,ЭнергоРесурсы!$F$26:$F$156,$F100,ЭнергоРесурсы!$G$26:$G$156,$G100)</f>
        <v>0</v>
      </c>
      <c r="AF100" s="307">
        <f>_xlfn.SUMIFS(ЭнергоРесурсы!AF$26:AF$156,ЭнергоРесурсы!$F$26:$F$156,$F100,ЭнергоРесурсы!$G$26:$G$156,$G100)</f>
        <v>0</v>
      </c>
      <c r="AG100" s="307">
        <f>_xlfn.SUMIFS(ЭнергоРесурсы!AG$26:AG$156,ЭнергоРесурсы!$F$26:$F$156,$F100,ЭнергоРесурсы!$G$26:$G$156,$G100)</f>
        <v>0</v>
      </c>
      <c r="AH100" s="307">
        <f>AG100-AF100</f>
        <v>0</v>
      </c>
      <c r="AI100" s="307">
        <f>_xlfn.SUMIFS(ЭнергоРесурсы!AH$26:AH$156,ЭнергоРесурсы!$F$26:$F$156,$F100,ЭнергоРесурсы!$G$26:$G$156,$G100)</f>
        <v>0</v>
      </c>
      <c r="AJ100" s="307">
        <f>_xlfn.SUMIFS(ЭнергоРесурсы!AI$26:AI$156,ЭнергоРесурсы!$F$26:$F$156,$F100,ЭнергоРесурсы!$G$26:$G$156,$G100)</f>
        <v>0</v>
      </c>
      <c r="AK100" s="307">
        <f>_xlfn.SUMIFS(ЭнергоРесурсы!AS$26:AS$156,ЭнергоРесурсы!$F$26:$F$156,$F100,ЭнергоРесурсы!$G$26:$G$156,$G100)</f>
        <v>0</v>
      </c>
      <c r="AL100" s="307">
        <f>IF(AI100=0,0,(AK100-AI100)/AI100*100)</f>
        <v>0</v>
      </c>
      <c r="AM100" s="1730"/>
      <c r="AN100" s="1730"/>
      <c r="AO100" s="1730"/>
      <c r="AP100" s="227"/>
      <c r="AQ100" s="227"/>
      <c r="AR100" s="1230" t="s">
        <v>1812</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M10558::ТЭ.42.26824396.0004::1.0.80.::Неопределено::Неопределено::Неопределено::Неопределено::Неопределено::Неопределено</v>
      </c>
    </row>
    <row s="1619" customFormat="1" customHeight="1" ht="16.5">
      <c r="A101" s="1183"/>
      <c r="B101" s="924"/>
      <c r="C101" s="1298" t="s">
        <v>1798</v>
      </c>
      <c r="D101" s="1257" t="s">
        <v>1799</v>
      </c>
      <c r="E101" s="794">
        <v>17.1</v>
      </c>
      <c r="F101" s="919" cm="1" t="str">
        <f t="array" ref="F101:F101">OFFSET(G101,-1,-1)</f>
        <v>1</v>
      </c>
      <c r="G101" s="190" t="s">
        <v>992</v>
      </c>
      <c r="H101" s="227"/>
      <c r="I101" s="227"/>
      <c r="J101" s="227"/>
      <c r="K101" s="227"/>
      <c r="L101" s="1286" t="s">
        <v>1813</v>
      </c>
      <c r="M101" s="1284" cm="1" t="str">
        <f t="array" ref="M101:M101">OFFSET(L101,-1,1)</f>
        <v>ТЭ.42.26824396.0004</v>
      </c>
      <c r="N101" s="1286"/>
      <c r="O101" s="1286"/>
      <c r="P101" s="1286"/>
      <c r="Q101" s="1286"/>
      <c r="R101" s="1286"/>
      <c r="S101" s="1286"/>
      <c r="T101" s="805" cm="1" t="str">
        <f t="array" ref="T101:T101">T100</f>
        <v>true</v>
      </c>
      <c r="U101" s="1461"/>
      <c r="V101" s="1461"/>
      <c r="W101" s="1461"/>
      <c r="X101" s="1461"/>
      <c r="Y101" s="1461"/>
      <c r="Z101" s="1461"/>
      <c r="AA101" s="227"/>
      <c r="AB101" s="989" t="s">
        <v>937</v>
      </c>
      <c r="AC101" s="990" t="s">
        <v>993</v>
      </c>
      <c r="AD101" s="991" t="s">
        <v>1019</v>
      </c>
      <c r="AE101" s="547">
        <f>_xlfn.SUMIFS('ХВС, ТН'!AE$26:AE$72,'ХВС, ТН'!$F$26:$F$72,$F101,'ХВС, ТН'!$G$26:$G$72,$G101)</f>
        <v>0</v>
      </c>
      <c r="AF101" s="547">
        <f>_xlfn.SUMIFS('ХВС, ТН'!AF$26:AF$72,'ХВС, ТН'!$F$26:$F$72,$F101,'ХВС, ТН'!$G$26:$G$72,$G101)</f>
        <v>0</v>
      </c>
      <c r="AG101" s="547">
        <f>_xlfn.SUMIFS('ХВС, ТН'!AG$26:AG$72,'ХВС, ТН'!$F$26:$F$72,$F101,'ХВС, ТН'!$G$26:$G$72,$G101)</f>
        <v>0</v>
      </c>
      <c r="AH101" s="307">
        <f>AG101-AF101</f>
        <v>0</v>
      </c>
      <c r="AI101" s="547">
        <f>_xlfn.SUMIFS('ХВС, ТН'!AH$26:AH$72,'ХВС, ТН'!$F$26:$F$72,$F101,'ХВС, ТН'!$G$26:$G$72,$G101)</f>
        <v>0</v>
      </c>
      <c r="AJ101" s="547">
        <f>_xlfn.SUMIFS('ХВС, ТН'!AI$26:AI$72,'ХВС, ТН'!$F$26:$F$72,$F101,'ХВС, ТН'!$G$26:$G$72,$G101)</f>
        <v>159</v>
      </c>
      <c r="AK101" s="547">
        <f>_xlfn.SUMIFS('ХВС, ТН'!AS$26:AS$72,'ХВС, ТН'!$F$26:$F$72,$F101,'ХВС, ТН'!$G$26:$G$72,$G101)</f>
        <v>127</v>
      </c>
      <c r="AL101" s="307">
        <f>IF(AI101=0,0,(AK101-AI101)/AI101*100)</f>
        <v>0</v>
      </c>
      <c r="AM101" s="1730"/>
      <c r="AN101" s="1730"/>
      <c r="AO101" s="1730"/>
      <c r="AP101" s="227"/>
      <c r="AQ101" s="227"/>
      <c r="AR101" s="1230" t="s">
        <v>1390</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M10558::ТЭ.42.26824396.0004::1.0.86.::Неопределено::Неопределено::Неопределено::Неопределено::Неопределено::Неопределено</v>
      </c>
    </row>
    <row s="1619" customFormat="1" customHeight="1" ht="16.5">
      <c r="A102" s="1183"/>
      <c r="B102" s="924"/>
      <c r="C102" s="1298" t="s">
        <v>1798</v>
      </c>
      <c r="D102" s="1257" t="s">
        <v>1799</v>
      </c>
      <c r="E102" s="794">
        <v>17.1</v>
      </c>
      <c r="F102" s="919" cm="1" t="str">
        <f t="array" ref="F102:F102">OFFSET(G102,-1,-1)</f>
        <v>1</v>
      </c>
      <c r="G102" s="190" t="s">
        <v>1003</v>
      </c>
      <c r="H102" s="227"/>
      <c r="I102" s="227"/>
      <c r="J102" s="227"/>
      <c r="K102" s="227"/>
      <c r="L102" s="1286" t="s">
        <v>1814</v>
      </c>
      <c r="M102" s="1284" cm="1" t="str">
        <f t="array" ref="M102:M102">OFFSET(L102,-1,1)</f>
        <v>ТЭ.42.26824396.0004</v>
      </c>
      <c r="N102" s="1286"/>
      <c r="O102" s="1286"/>
      <c r="P102" s="1286"/>
      <c r="Q102" s="1286"/>
      <c r="R102" s="1286"/>
      <c r="S102" s="1286"/>
      <c r="T102" s="805" cm="1" t="str">
        <f t="array" ref="T102:T102">T101</f>
        <v>true</v>
      </c>
      <c r="U102" s="1461"/>
      <c r="V102" s="1461"/>
      <c r="W102" s="1461"/>
      <c r="X102" s="1461"/>
      <c r="Y102" s="1461"/>
      <c r="Z102" s="1461"/>
      <c r="AA102" s="227"/>
      <c r="AB102" s="989" t="s">
        <v>1042</v>
      </c>
      <c r="AC102" s="990" t="s">
        <v>1004</v>
      </c>
      <c r="AD102" s="991" t="s">
        <v>1019</v>
      </c>
      <c r="AE102" s="547">
        <f>_xlfn.SUMIFS('ХВС, ТН'!AE$26:AE$72,'ХВС, ТН'!$F$26:$F$72,$F102,'ХВС, ТН'!$G$26:$G$72,$G102)</f>
        <v>0</v>
      </c>
      <c r="AF102" s="547">
        <f>_xlfn.SUMIFS('ХВС, ТН'!AF$26:AF$72,'ХВС, ТН'!$F$26:$F$72,$F102,'ХВС, ТН'!$G$26:$G$72,$G102)</f>
        <v>0</v>
      </c>
      <c r="AG102" s="547">
        <f>_xlfn.SUMIFS('ХВС, ТН'!AG$26:AG$72,'ХВС, ТН'!$F$26:$F$72,$F102,'ХВС, ТН'!$G$26:$G$72,$G102)</f>
        <v>0</v>
      </c>
      <c r="AH102" s="307">
        <f>AG102-AF102</f>
        <v>0</v>
      </c>
      <c r="AI102" s="547">
        <f>_xlfn.SUMIFS('ХВС, ТН'!AH$26:AH$72,'ХВС, ТН'!$F$26:$F$72,$F102,'ХВС, ТН'!$G$26:$G$72,$G102)</f>
        <v>0</v>
      </c>
      <c r="AJ102" s="547">
        <f>_xlfn.SUMIFS('ХВС, ТН'!AI$26:AI$72,'ХВС, ТН'!$F$26:$F$72,$F102,'ХВС, ТН'!$G$26:$G$72,$G102)</f>
        <v>0</v>
      </c>
      <c r="AK102" s="547">
        <f>_xlfn.SUMIFS('ХВС, ТН'!AS$26:AS$72,'ХВС, ТН'!$F$26:$F$72,$F102,'ХВС, ТН'!$G$26:$G$72,$G102)</f>
        <v>0</v>
      </c>
      <c r="AL102" s="307">
        <f>IF(AI102=0,0,(AK102-AI102)/AI102*100)</f>
        <v>0</v>
      </c>
      <c r="AM102" s="1730"/>
      <c r="AN102" s="1730"/>
      <c r="AO102" s="1730"/>
      <c r="AP102" s="227"/>
      <c r="AQ102" s="227"/>
      <c r="AR102" s="1230" t="s">
        <v>1391</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M10558::ТЭ.42.26824396.0004::1.0.88.::Неопределено::Неопределено::Неопределено::Неопределено::Неопределено::Неопределено</v>
      </c>
    </row>
    <row s="1619" customFormat="1" customHeight="1" ht="16.5">
      <c r="A103" s="1183"/>
      <c r="B103" s="924"/>
      <c r="C103" s="1298" t="s">
        <v>1798</v>
      </c>
      <c r="D103" s="1257" t="s">
        <v>1799</v>
      </c>
      <c r="E103" s="794">
        <v>17.1</v>
      </c>
      <c r="F103" s="919" cm="1" t="str">
        <f t="array" ref="F103:F103">OFFSET(G103,-1,-1)</f>
        <v>1</v>
      </c>
      <c r="G103" s="190" t="s">
        <v>1129</v>
      </c>
      <c r="H103" s="227"/>
      <c r="I103" s="227"/>
      <c r="J103" s="227"/>
      <c r="K103" s="227"/>
      <c r="L103" s="1286" t="s">
        <v>1815</v>
      </c>
      <c r="M103" s="1284" cm="1" t="str">
        <f t="array" ref="M103:M103">OFFSET(L103,-1,1)</f>
        <v>ТЭ.42.26824396.0004</v>
      </c>
      <c r="N103" s="1286"/>
      <c r="O103" s="1286"/>
      <c r="P103" s="1286"/>
      <c r="Q103" s="1286"/>
      <c r="R103" s="1286"/>
      <c r="S103" s="1286"/>
      <c r="T103" s="805" cm="1" t="str">
        <f t="array" ref="T103:T103">T102</f>
        <v>true</v>
      </c>
      <c r="U103" s="1461"/>
      <c r="V103" s="1461"/>
      <c r="W103" s="1461"/>
      <c r="X103" s="1461"/>
      <c r="Y103" s="1461"/>
      <c r="Z103" s="1461"/>
      <c r="AA103" s="227"/>
      <c r="AB103" s="989" t="s">
        <v>1045</v>
      </c>
      <c r="AC103" s="990" t="s">
        <v>1369</v>
      </c>
      <c r="AD103" s="991" t="s">
        <v>1019</v>
      </c>
      <c r="AE103" s="612">
        <f>_xlfn.SUMIFS(Амортизация!AE$26:AE$324,Амортизация!$F$26:$F$324,$F103,Амортизация!$G$26:$G$324,$G103)</f>
        <v>0</v>
      </c>
      <c r="AF103" s="612">
        <f>_xlfn.SUMIFS(Амортизация!AF$26:AF$324,Амортизация!$F$26:$F$324,$F103,Амортизация!$G$26:$G$324,$G103)</f>
        <v>0</v>
      </c>
      <c r="AG103" s="612">
        <f>_xlfn.SUMIFS(Амортизация!AG$26:AG$324,Амортизация!$F$26:$F$324,$F103,Амортизация!$G$26:$G$324,$G103)</f>
        <v>0</v>
      </c>
      <c r="AH103" s="307">
        <f>AG103-AF103</f>
        <v>0</v>
      </c>
      <c r="AI103" s="612">
        <f>_xlfn.SUMIFS(Амортизация!AH$26:AH$324,Амортизация!$F$26:$F$324,$F103,Амортизация!$G$26:$G$324,$G103)</f>
        <v>0</v>
      </c>
      <c r="AJ103" s="612">
        <f>_xlfn.SUMIFS(Амортизация!AI$26:AI$324,Амортизация!$F$26:$F$324,$F103,Амортизация!$G$26:$G$324,$G103)</f>
        <v>507</v>
      </c>
      <c r="AK103" s="612">
        <f>_xlfn.SUMIFS(Амортизация!AS$26:AS$324,Амортизация!$F$26:$F$324,$F103,Амортизация!$G$26:$G$324,$G103)</f>
        <v>322</v>
      </c>
      <c r="AL103" s="307">
        <f>IF(AI103=0,0,(AK103-AI103)/AI103*100)</f>
        <v>0</v>
      </c>
      <c r="AM103" s="1730"/>
      <c r="AN103" s="1730"/>
      <c r="AO103" s="1730"/>
      <c r="AP103" s="227"/>
      <c r="AQ103" s="227"/>
      <c r="AR103" s="1230" t="s">
        <v>1370</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M10558::ТЭ.42.26824396.0004::1.0.2.::Неопределено::Неопределено::Неопределено::Неопределено::Неопределено::Неопределено</v>
      </c>
    </row>
    <row s="1619" customFormat="1" customHeight="1" ht="16.5">
      <c r="A104" s="1183"/>
      <c r="B104" s="924"/>
      <c r="C104" s="1298" t="s">
        <v>1798</v>
      </c>
      <c r="D104" s="1257" t="s">
        <v>1799</v>
      </c>
      <c r="E104" s="794">
        <v>17.1</v>
      </c>
      <c r="F104" s="919" cm="1" t="str">
        <f t="array" ref="F104:F104">OFFSET(G104,-1,-1)</f>
        <v>1</v>
      </c>
      <c r="G104" s="190" t="s">
        <v>48</v>
      </c>
      <c r="H104" s="227"/>
      <c r="I104" s="227"/>
      <c r="J104" s="227"/>
      <c r="K104" s="227"/>
      <c r="L104" s="1286" t="s">
        <v>1816</v>
      </c>
      <c r="M104" s="1284" cm="1" t="str">
        <f t="array" ref="M104:M104">OFFSET(L104,-1,1)</f>
        <v>ТЭ.42.26824396.0004</v>
      </c>
      <c r="N104" s="1286"/>
      <c r="O104" s="1286"/>
      <c r="P104" s="1286"/>
      <c r="Q104" s="1286"/>
      <c r="R104" s="1286"/>
      <c r="S104" s="1286"/>
      <c r="T104" s="805" cm="1" t="str">
        <f t="array" ref="T104:T104">T103</f>
        <v>true</v>
      </c>
      <c r="U104" s="1461"/>
      <c r="V104" s="1461"/>
      <c r="W104" s="1461"/>
      <c r="X104" s="1461"/>
      <c r="Y104" s="1461"/>
      <c r="Z104" s="1461"/>
      <c r="AA104" s="227"/>
      <c r="AB104" s="989" t="s">
        <v>1048</v>
      </c>
      <c r="AC104" s="990" t="s">
        <v>1817</v>
      </c>
      <c r="AD104" s="991" t="s">
        <v>1019</v>
      </c>
      <c r="AE104" s="307">
        <f>_xlfn.SUMIFS(ФОТ!AE$26:AE$108,ФОТ!$F$26:$F$108,$F104,ФОТ!$G$26:$G$108,$G104)</f>
        <v>0</v>
      </c>
      <c r="AF104" s="307">
        <f>_xlfn.SUMIFS(ФОТ!AF$26:AF$108,ФОТ!$F$26:$F$108,$F104,ФОТ!$G$26:$G$108,$G104)</f>
        <v>0</v>
      </c>
      <c r="AG104" s="307">
        <f>_xlfn.SUMIFS(ФОТ!AG$26:AG$108,ФОТ!$F$26:$F$108,$F104,ФОТ!$G$26:$G$108,$G104)</f>
        <v>0</v>
      </c>
      <c r="AH104" s="307">
        <f>AG104-AF104</f>
        <v>0</v>
      </c>
      <c r="AI104" s="307">
        <f>_xlfn.SUMIFS(ФОТ!AH$26:AH$108,ФОТ!$F$26:$F$108,$F104,ФОТ!$G$26:$G$108,$G104)</f>
        <v>0</v>
      </c>
      <c r="AJ104" s="307">
        <f>_xlfn.SUMIFS(ФОТ!AI$26:AI$108,ФОТ!$F$26:$F$108,$F104,ФОТ!$G$26:$G$108,$G104)</f>
        <v>1081.99992</v>
      </c>
      <c r="AK104" s="307">
        <f>_xlfn.SUMIFS(ФОТ!AJ$26:AJ$108,ФОТ!$F$26:$F$108,$F104,ФОТ!$G$26:$G$108,$G104)</f>
        <v>601.99992</v>
      </c>
      <c r="AL104" s="307">
        <f>IF(AI104=0,0,(AK104-AI104)/AI104*100)</f>
        <v>0</v>
      </c>
      <c r="AM104" s="1730"/>
      <c r="AN104" s="1730"/>
      <c r="AO104" s="1730"/>
      <c r="AP104" s="227"/>
      <c r="AQ104" s="227"/>
      <c r="AR104" s="1230" t="s">
        <v>1299</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M10558::ТЭ.42.26824396.0004::1.0.15.::Неопределено::Неопределено::Неопределено::Неопределено::Неопределено::Неопределено</v>
      </c>
    </row>
    <row s="1619" customFormat="1" customHeight="1" ht="16.5">
      <c r="A105" s="1183"/>
      <c r="B105" s="924"/>
      <c r="C105" s="1298" t="s">
        <v>1798</v>
      </c>
      <c r="D105" s="1257" t="s">
        <v>1799</v>
      </c>
      <c r="E105" s="794">
        <v>17.1</v>
      </c>
      <c r="F105" s="919" cm="1" t="str">
        <f t="array" ref="F105:F105">OFFSET(G105,-1,-1)</f>
        <v>1</v>
      </c>
      <c r="G105" s="227"/>
      <c r="H105" s="227"/>
      <c r="I105" s="227"/>
      <c r="J105" s="227"/>
      <c r="K105" s="227"/>
      <c r="L105" s="1286" t="s">
        <v>1818</v>
      </c>
      <c r="M105" s="1284" cm="1" t="str">
        <f t="array" ref="M105:M105">OFFSET(L105,-1,1)</f>
        <v>ТЭ.42.26824396.0004</v>
      </c>
      <c r="N105" s="1286"/>
      <c r="O105" s="1286"/>
      <c r="P105" s="1286"/>
      <c r="Q105" s="1286"/>
      <c r="R105" s="1286"/>
      <c r="S105" s="1286"/>
      <c r="T105" s="805" cm="1" t="str">
        <f t="array" ref="T105:T105">T104</f>
        <v>true</v>
      </c>
      <c r="U105" s="1461"/>
      <c r="V105" s="1461"/>
      <c r="W105" s="1461"/>
      <c r="X105" s="1461"/>
      <c r="Y105" s="1461"/>
      <c r="Z105" s="1461"/>
      <c r="AA105" s="227"/>
      <c r="AB105" s="989" t="s">
        <v>1051</v>
      </c>
      <c r="AC105" s="990" t="s">
        <v>1362</v>
      </c>
      <c r="AD105" s="991" t="s">
        <v>1019</v>
      </c>
      <c r="AE105" s="1903"/>
      <c r="AF105" s="1903"/>
      <c r="AG105" s="1903"/>
      <c r="AH105" s="307">
        <f>AG105-AF105</f>
        <v>0</v>
      </c>
      <c r="AI105" s="1903"/>
      <c r="AJ105" s="614"/>
      <c r="AK105" s="614"/>
      <c r="AL105" s="307">
        <f>IF(AI105=0,0,(AK105-AI105)/AI105*100)</f>
        <v>0</v>
      </c>
      <c r="AM105" s="1730"/>
      <c r="AN105" s="1730"/>
      <c r="AO105" s="1730"/>
      <c r="AP105" s="227"/>
      <c r="AQ105" s="227"/>
      <c r="AR105" s="1230" t="s">
        <v>1363</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M10558::ТЭ.42.26824396.0004::1.0.85.::Неопределено::Неопределено::Неопределено::Неопределено::Неопределено::Неопределено</v>
      </c>
    </row>
    <row s="1619" customFormat="1" customHeight="1" ht="16.5">
      <c r="A106" s="1183"/>
      <c r="B106" s="924"/>
      <c r="C106" s="1298" t="s">
        <v>1819</v>
      </c>
      <c r="D106" s="1257" t="s">
        <v>1820</v>
      </c>
      <c r="E106" s="794">
        <v>17.1</v>
      </c>
      <c r="F106" s="919" cm="1" t="str">
        <f t="array" ref="F106:F106">OFFSET(G106,-1,-1)</f>
        <v>1</v>
      </c>
      <c r="G106" s="227"/>
      <c r="H106" s="227"/>
      <c r="I106" s="227"/>
      <c r="J106" s="227"/>
      <c r="K106" s="227"/>
      <c r="L106" s="1286" t="s">
        <v>1821</v>
      </c>
      <c r="M106" s="1284" cm="1" t="str">
        <f t="array" ref="M106:M106">OFFSET(L106,-1,1)</f>
        <v>ТЭ.42.26824396.0004</v>
      </c>
      <c r="N106" s="1286"/>
      <c r="O106" s="1286"/>
      <c r="P106" s="1286"/>
      <c r="Q106" s="1286"/>
      <c r="R106" s="1286"/>
      <c r="S106" s="1286"/>
      <c r="T106" s="805" cm="1" t="str">
        <f t="array" ref="T106:T106">T105</f>
        <v>true</v>
      </c>
      <c r="U106" s="1461"/>
      <c r="V106" s="1461"/>
      <c r="W106" s="1461"/>
      <c r="X106" s="1461"/>
      <c r="Y106" s="1461"/>
      <c r="Z106" s="1461"/>
      <c r="AA106" s="227"/>
      <c r="AB106" s="989" t="s">
        <v>1822</v>
      </c>
      <c r="AC106" s="682" t="s">
        <v>1823</v>
      </c>
      <c r="AD106" s="991" t="s">
        <v>490</v>
      </c>
      <c r="AE106" s="1903"/>
      <c r="AF106" s="1903"/>
      <c r="AG106" s="1903"/>
      <c r="AH106" s="307">
        <f>AG106-AF106</f>
        <v>0</v>
      </c>
      <c r="AI106" s="1903"/>
      <c r="AJ106" s="614"/>
      <c r="AK106" s="614"/>
      <c r="AL106" s="307">
        <f>IF(AI106=0,0,(AK106-AI106)/AI106*100)</f>
        <v>0</v>
      </c>
      <c r="AM106" s="1730"/>
      <c r="AN106" s="1730"/>
      <c r="AO106" s="1730"/>
      <c r="AP106" s="227"/>
      <c r="AQ106" s="227"/>
      <c r="AR106" s="1230" t="s">
        <v>1360</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M10532::ТЭ.42.26824396.0004::1.0.76.::Неопределено::Неопределено::Неопределено::Неопределено::Неопределено::Неопределено</v>
      </c>
    </row>
    <row s="1619" customFormat="1" customHeight="1" ht="16.5">
      <c r="A107" s="1183"/>
      <c r="B107" s="924"/>
      <c r="C107" s="1298" t="s">
        <v>1824</v>
      </c>
      <c r="D107" s="1257" t="s">
        <v>1825</v>
      </c>
      <c r="E107" s="794">
        <v>17.1</v>
      </c>
      <c r="F107" s="919" cm="1" t="str">
        <f t="array" ref="F107:F107">OFFSET(G107,-1,-1)</f>
        <v>1</v>
      </c>
      <c r="G107" s="227"/>
      <c r="H107" s="227"/>
      <c r="I107" s="227"/>
      <c r="J107" s="227"/>
      <c r="K107" s="227"/>
      <c r="L107" s="1286"/>
      <c r="M107" s="1284" cm="1" t="str">
        <f t="array" ref="M107:M107">OFFSET(L107,-1,1)</f>
        <v>ТЭ.42.26824396.0004</v>
      </c>
      <c r="N107" s="1286" t="s">
        <v>1826</v>
      </c>
      <c r="O107" s="1286"/>
      <c r="P107" s="1286"/>
      <c r="Q107" s="1286"/>
      <c r="R107" s="1286"/>
      <c r="S107" s="1286"/>
      <c r="T107" s="805" cm="1" t="str">
        <f t="array" ref="T107:T107">T106</f>
        <v>true</v>
      </c>
      <c r="U107" s="1461"/>
      <c r="V107" s="1461"/>
      <c r="W107" s="1461"/>
      <c r="X107" s="1461"/>
      <c r="Y107" s="1461"/>
      <c r="Z107" s="1461"/>
      <c r="AA107" s="227"/>
      <c r="AB107" s="989" t="s">
        <v>1266</v>
      </c>
      <c r="AC107" s="990" t="s">
        <v>1827</v>
      </c>
      <c r="AD107" s="991" t="s">
        <v>1019</v>
      </c>
      <c r="AE107" s="1903"/>
      <c r="AF107" s="1903"/>
      <c r="AG107" s="1903"/>
      <c r="AH107" s="307">
        <f>AG107-AF107</f>
        <v>0</v>
      </c>
      <c r="AI107" s="1903"/>
      <c r="AJ107" s="614"/>
      <c r="AK107" s="614"/>
      <c r="AL107" s="307">
        <f>IF(AI107=0,0,(AK107-AI107)/AI107*100)</f>
        <v>0</v>
      </c>
      <c r="AM107" s="1730"/>
      <c r="AN107" s="1730"/>
      <c r="AO107" s="1730"/>
      <c r="AP107" s="227"/>
      <c r="AQ107" s="227"/>
      <c r="AR107" s="1230" t="s">
        <v>1828</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M10699::ТЭ.42.26824396.0004::Неопределено::110.0.7.::Неопределено::Неопределено::Неопределено::Неопределено::Неопределено</v>
      </c>
    </row>
    <row s="1619" customFormat="1" customHeight="1" ht="33.75">
      <c r="A108" s="1183"/>
      <c r="B108" s="924"/>
      <c r="C108" s="1298" t="s">
        <v>47</v>
      </c>
      <c r="D108" s="1257" t="s">
        <v>1829</v>
      </c>
      <c r="E108" s="794">
        <v>35</v>
      </c>
      <c r="F108" s="919" cm="1" t="str">
        <f t="array" ref="F108:F108">OFFSET(G108,-1,-1)</f>
        <v>1</v>
      </c>
      <c r="G108" s="190" t="s">
        <v>1179</v>
      </c>
      <c r="H108" s="227"/>
      <c r="I108" s="227"/>
      <c r="J108" s="227"/>
      <c r="K108" s="227"/>
      <c r="L108" s="1286"/>
      <c r="M108" s="1284" cm="1" t="str">
        <f t="array" ref="M108:M108">OFFSET(L108,-1,1)</f>
        <v>ТЭ.42.26824396.0004</v>
      </c>
      <c r="N108" s="1286" t="s">
        <v>1830</v>
      </c>
      <c r="O108" s="1286"/>
      <c r="P108" s="1286"/>
      <c r="Q108" s="1286"/>
      <c r="R108" s="1286"/>
      <c r="S108" s="1286"/>
      <c r="T108" s="805" cm="1" t="str">
        <f t="array" ref="T108:T108">T107</f>
        <v>true</v>
      </c>
      <c r="U108" s="1461"/>
      <c r="V108" s="1461"/>
      <c r="W108" s="1461"/>
      <c r="X108" s="1461"/>
      <c r="Y108" s="1461"/>
      <c r="Z108" s="1461"/>
      <c r="AA108" s="227"/>
      <c r="AB108" s="989" t="s">
        <v>1831</v>
      </c>
      <c r="AC108" s="990" t="s">
        <v>1832</v>
      </c>
      <c r="AD108" s="991" t="s">
        <v>1019</v>
      </c>
      <c r="AE108" s="612">
        <f>_xlfn.SUMIFS('Покупка услуг'!AE$26:AE$87,'Покупка услуг'!$F$26:$F$87,$F108,'Покупка услуг'!$G$26:$G$87,$G108)</f>
        <v>0</v>
      </c>
      <c r="AF108" s="612">
        <f>_xlfn.SUMIFS('Покупка услуг'!AF$26:AF$87,'Покупка услуг'!$F$26:$F$87,$F108,'Покупка услуг'!$G$26:$G$87,$G108)</f>
        <v>0</v>
      </c>
      <c r="AG108" s="612">
        <f>_xlfn.SUMIFS('Покупка услуг'!AG$26:AG$87,'Покупка услуг'!$F$26:$F$87,$F108,'Покупка услуг'!$G$26:$G$87,$G108)</f>
        <v>0</v>
      </c>
      <c r="AH108" s="307">
        <f>AG108-AF108</f>
        <v>0</v>
      </c>
      <c r="AI108" s="612">
        <f>_xlfn.SUMIFS('Покупка услуг'!AH$26:AH$87,'Покупка услуг'!$F$26:$F$87,$F108,'Покупка услуг'!$G$26:$G$87,$G108)</f>
        <v>0</v>
      </c>
      <c r="AJ108" s="612">
        <f>_xlfn.SUMIFS('Покупка услуг'!AI$26:AI$87,'Покупка услуг'!$F$26:$F$87,$F108,'Покупка услуг'!$G$26:$G$87,$G108)</f>
        <v>4322</v>
      </c>
      <c r="AK108" s="612">
        <f>_xlfn.SUMIFS('Покупка услуг'!AS$26:AS$87,'Покупка услуг'!$F$26:$F$87,$F108,'Покупка услуг'!$G$26:$G$87,$G108)</f>
        <v>4322.00116</v>
      </c>
      <c r="AL108" s="307">
        <f>IF(AI108=0,0,(AK108-AI108)/AI108*100)</f>
        <v>0</v>
      </c>
      <c r="AM108" s="1730"/>
      <c r="AN108" s="1730"/>
      <c r="AO108" s="1730"/>
      <c r="AP108" s="227"/>
      <c r="AQ108" s="227"/>
      <c r="AR108" s="1230" t="s">
        <v>1833</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M10712::ТЭ.42.26824396.0004::Неопределено::110.0.13.::Неопределено::Неопределено::Неопределено::Неопределено::Неопределено</v>
      </c>
    </row>
    <row s="1619" customFormat="1" customHeight="1" ht="33.75">
      <c r="A109" s="1183"/>
      <c r="B109" s="924"/>
      <c r="C109" s="1298" t="s">
        <v>1798</v>
      </c>
      <c r="D109" s="1257" t="s">
        <v>1799</v>
      </c>
      <c r="E109" s="794">
        <v>35</v>
      </c>
      <c r="F109" s="919" cm="1" t="str">
        <f t="array" ref="F109:F109">OFFSET(G109,-1,-1)</f>
        <v>1</v>
      </c>
      <c r="G109" s="227"/>
      <c r="H109" s="227"/>
      <c r="I109" s="227"/>
      <c r="J109" s="227"/>
      <c r="K109" s="227"/>
      <c r="L109" s="1286" t="s">
        <v>1834</v>
      </c>
      <c r="M109" s="1284" cm="1" t="str">
        <f t="array" ref="M109:M109">OFFSET(L109,-1,1)</f>
        <v>ТЭ.42.26824396.0004</v>
      </c>
      <c r="N109" s="1286"/>
      <c r="O109" s="1286"/>
      <c r="P109" s="1286"/>
      <c r="Q109" s="1286"/>
      <c r="R109" s="1286"/>
      <c r="S109" s="1286"/>
      <c r="T109" s="805" cm="1" t="str">
        <f t="array" ref="T109:T109">T108</f>
        <v>true</v>
      </c>
      <c r="U109" s="1461"/>
      <c r="V109" s="1461"/>
      <c r="W109" s="1461"/>
      <c r="X109" s="1461"/>
      <c r="Y109" s="1461"/>
      <c r="Z109" s="1461"/>
      <c r="AA109" s="227"/>
      <c r="AB109" s="989" t="s">
        <v>1835</v>
      </c>
      <c r="AC109" s="990" t="s">
        <v>1836</v>
      </c>
      <c r="AD109" s="991" t="s">
        <v>1019</v>
      </c>
      <c r="AE109" s="1903"/>
      <c r="AF109" s="1903"/>
      <c r="AG109" s="1903"/>
      <c r="AH109" s="307">
        <f>AG109-AF109</f>
        <v>0</v>
      </c>
      <c r="AI109" s="1903"/>
      <c r="AJ109" s="614"/>
      <c r="AK109" s="614"/>
      <c r="AL109" s="307">
        <f>IF(AI109=0,0,(AK109-AI109)/AI109*100)</f>
        <v>0</v>
      </c>
      <c r="AM109" s="1730"/>
      <c r="AN109" s="1730"/>
      <c r="AO109" s="1730"/>
      <c r="AP109" s="227"/>
      <c r="AQ109" s="227"/>
      <c r="AR109" s="1230" t="s">
        <v>1837</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M10558::ТЭ.42.26824396.0004::1.0.70.::Неопределено::Неопределено::Неопределено::Неопределено::Неопределено::Неопределено</v>
      </c>
    </row>
    <row s="1619" customFormat="1" customHeight="1" ht="53.25">
      <c r="A110" s="1183"/>
      <c r="B110" s="924"/>
      <c r="C110" s="1298" t="s">
        <v>1798</v>
      </c>
      <c r="D110" s="1257" t="s">
        <v>1799</v>
      </c>
      <c r="E110" s="794">
        <v>55</v>
      </c>
      <c r="F110" s="919" cm="1" t="str">
        <f t="array" ref="F110:F110">OFFSET(G110,-1,-1)</f>
        <v>1</v>
      </c>
      <c r="G110" s="227"/>
      <c r="H110" s="227"/>
      <c r="I110" s="227"/>
      <c r="J110" s="227"/>
      <c r="K110" s="227"/>
      <c r="L110" s="1286" t="s">
        <v>1838</v>
      </c>
      <c r="M110" s="1284" cm="1" t="str">
        <f t="array" ref="M110:M110">OFFSET(L110,-1,1)</f>
        <v>ТЭ.42.26824396.0004</v>
      </c>
      <c r="N110" s="1286"/>
      <c r="O110" s="1286"/>
      <c r="P110" s="1286"/>
      <c r="Q110" s="1286"/>
      <c r="R110" s="1286"/>
      <c r="S110" s="1286"/>
      <c r="T110" s="805" cm="1" t="str">
        <f t="array" ref="T110:T110">T109</f>
        <v>true</v>
      </c>
      <c r="U110" s="1461"/>
      <c r="V110" s="1461"/>
      <c r="W110" s="1461"/>
      <c r="X110" s="1461"/>
      <c r="Y110" s="1461"/>
      <c r="Z110" s="1461"/>
      <c r="AA110" s="227"/>
      <c r="AB110" s="989" t="s">
        <v>1839</v>
      </c>
      <c r="AC110" s="990" t="s">
        <v>1840</v>
      </c>
      <c r="AD110" s="991" t="s">
        <v>1019</v>
      </c>
      <c r="AE110" s="1903"/>
      <c r="AF110" s="1903"/>
      <c r="AG110" s="1903"/>
      <c r="AH110" s="307">
        <f>AG110-AF110</f>
        <v>0</v>
      </c>
      <c r="AI110" s="1903"/>
      <c r="AJ110" s="614"/>
      <c r="AK110" s="614"/>
      <c r="AL110" s="307">
        <f>IF(AI110=0,0,(AK110-AI110)/AI110*100)</f>
        <v>0</v>
      </c>
      <c r="AM110" s="1730"/>
      <c r="AN110" s="1730"/>
      <c r="AO110" s="1730"/>
      <c r="AP110" s="227"/>
      <c r="AQ110" s="227"/>
      <c r="AR110" s="1230" t="s">
        <v>1841</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M10558::ТЭ.42.26824396.0004::1.0.102.::Неопределено::Неопределено::Неопределено::Неопределено::Неопределено::Неопределено</v>
      </c>
    </row>
    <row s="1619" customFormat="1" customHeight="1" ht="39">
      <c r="A111" s="1183"/>
      <c r="B111" s="924"/>
      <c r="C111" s="1298" t="s">
        <v>1798</v>
      </c>
      <c r="D111" s="1257" t="s">
        <v>1799</v>
      </c>
      <c r="E111" s="794">
        <v>40</v>
      </c>
      <c r="F111" s="919" cm="1" t="str">
        <f t="array" ref="F111:F111">OFFSET(G111,-1,-1)</f>
        <v>1</v>
      </c>
      <c r="G111" s="190" t="s">
        <v>1245</v>
      </c>
      <c r="H111" s="227"/>
      <c r="I111" s="227"/>
      <c r="J111" s="227"/>
      <c r="K111" s="227"/>
      <c r="L111" s="1286" t="s">
        <v>1842</v>
      </c>
      <c r="M111" s="1284" cm="1" t="str">
        <f t="array" ref="M111:M111">OFFSET(L111,-1,1)</f>
        <v>ТЭ.42.26824396.0004</v>
      </c>
      <c r="N111" s="1286"/>
      <c r="O111" s="1286"/>
      <c r="P111" s="1286"/>
      <c r="Q111" s="1286"/>
      <c r="R111" s="1286"/>
      <c r="S111" s="1286"/>
      <c r="T111" s="805" cm="1" t="str">
        <f t="array" ref="T111:T111">T110</f>
        <v>true</v>
      </c>
      <c r="U111" s="1461"/>
      <c r="V111" s="1461"/>
      <c r="W111" s="1461"/>
      <c r="X111" s="1461"/>
      <c r="Y111" s="1461"/>
      <c r="Z111" s="1461"/>
      <c r="AA111" s="227"/>
      <c r="AB111" s="989" t="s">
        <v>1843</v>
      </c>
      <c r="AC111" s="990" t="s">
        <v>1844</v>
      </c>
      <c r="AD111" s="991" t="s">
        <v>1019</v>
      </c>
      <c r="AE111" s="612">
        <f>_xlfn.SUMIFS(Налоги!AE$26:AE$69,Налоги!$F$26:$F$69,$F111,Налоги!$G$26:$G$69,$G111)</f>
        <v>0</v>
      </c>
      <c r="AF111" s="612">
        <f>_xlfn.SUMIFS(Налоги!AF$26:AF$69,Налоги!$F$26:$F$69,$F111,Налоги!$G$26:$G$69,$G111)</f>
        <v>0</v>
      </c>
      <c r="AG111" s="612">
        <f>_xlfn.SUMIFS(Налоги!AG$26:AG$69,Налоги!$F$26:$F$69,$F111,Налоги!$G$26:$G$69,$G111)</f>
        <v>0</v>
      </c>
      <c r="AH111" s="307">
        <f>AG111-AF111</f>
        <v>0</v>
      </c>
      <c r="AI111" s="612">
        <f>_xlfn.SUMIFS(Налоги!AH$26:AH$69,Налоги!$F$26:$F$69,$F111,Налоги!$G$26:$G$69,$G111)</f>
        <v>0</v>
      </c>
      <c r="AJ111" s="612">
        <f>_xlfn.SUMIFS(Налоги!AI$26:AI$69,Налоги!$F$26:$F$69,$F111,Налоги!$G$26:$G$69,$G111)</f>
        <v>1</v>
      </c>
      <c r="AK111" s="612">
        <f>_xlfn.SUMIFS(Налоги!AS$26:AS$69,Налоги!$F$26:$F$69,$F111,Налоги!$G$26:$G$69,$G111)</f>
        <v>0</v>
      </c>
      <c r="AL111" s="307">
        <f>IF(AI111=0,0,(AK111-AI111)/AI111*100)</f>
        <v>0</v>
      </c>
      <c r="AM111" s="1730"/>
      <c r="AN111" s="1730"/>
      <c r="AO111" s="1730"/>
      <c r="AP111" s="227"/>
      <c r="AQ111" s="227"/>
      <c r="AR111" s="1230" t="s">
        <v>1358</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M10558::ТЭ.42.26824396.0004::1.0.99.::Неопределено::Неопределено::Неопределено::Неопределено::Неопределено::Неопределено</v>
      </c>
    </row>
    <row s="1619" customFormat="1" customHeight="1" ht="16.5">
      <c r="A112" s="1183"/>
      <c r="B112" s="924"/>
      <c r="C112" s="1298" t="s">
        <v>1798</v>
      </c>
      <c r="D112" s="1257" t="s">
        <v>1799</v>
      </c>
      <c r="E112" s="794">
        <v>17.1</v>
      </c>
      <c r="F112" s="919" cm="1" t="str">
        <f t="array" ref="F112:F112">OFFSET(G112,-1,-1)</f>
        <v>1</v>
      </c>
      <c r="G112" s="190" t="s">
        <v>1147</v>
      </c>
      <c r="H112" s="227"/>
      <c r="I112" s="227"/>
      <c r="J112" s="227"/>
      <c r="K112" s="227"/>
      <c r="L112" s="1286"/>
      <c r="M112" s="1284" cm="1" t="str">
        <f t="array" ref="M112:M112">OFFSET(L112,-1,1)</f>
        <v>ТЭ.42.26824396.0004</v>
      </c>
      <c r="N112" s="1286" t="s">
        <v>1845</v>
      </c>
      <c r="O112" s="1286"/>
      <c r="P112" s="1286"/>
      <c r="Q112" s="1286"/>
      <c r="R112" s="1286"/>
      <c r="S112" s="1286"/>
      <c r="T112" s="805" cm="1" t="str">
        <f t="array" ref="T112:T112">T111</f>
        <v>true</v>
      </c>
      <c r="U112" s="1461"/>
      <c r="V112" s="1461"/>
      <c r="W112" s="1461"/>
      <c r="X112" s="1461"/>
      <c r="Y112" s="1461"/>
      <c r="Z112" s="1461"/>
      <c r="AA112" s="227"/>
      <c r="AB112" s="989" t="s">
        <v>1846</v>
      </c>
      <c r="AC112" s="990" t="s">
        <v>1847</v>
      </c>
      <c r="AD112" s="991" t="s">
        <v>1019</v>
      </c>
      <c r="AE112" s="307">
        <f>_xlfn.SUMIFS(Аренда!AE$26:AE$63,Аренда!$F$26:$F$63,$F112,Аренда!$G$26:$G$63,$G112)</f>
        <v>0</v>
      </c>
      <c r="AF112" s="307">
        <f>_xlfn.SUMIFS(Аренда!AF$26:AF$63,Аренда!$F$26:$F$63,$F112,Аренда!$G$26:$G$63,$G112)</f>
        <v>0</v>
      </c>
      <c r="AG112" s="307">
        <f>_xlfn.SUMIFS(Аренда!AG$26:AG$63,Аренда!$F$26:$F$63,$F112,Аренда!$G$26:$G$63,$G112)</f>
        <v>0</v>
      </c>
      <c r="AH112" s="307">
        <f>AG112-AF112</f>
        <v>0</v>
      </c>
      <c r="AI112" s="307">
        <f>_xlfn.SUMIFS(Аренда!AH$26:AH$63,Аренда!$F$26:$F$63,$F112,Аренда!$G$26:$G$63,$G112)</f>
        <v>0</v>
      </c>
      <c r="AJ112" s="307">
        <f>_xlfn.SUMIFS(Аренда!AI$26:AI$63,Аренда!$F$26:$F$63,$F112,Аренда!$G$26:$G$63,$G112)</f>
        <v>0</v>
      </c>
      <c r="AK112" s="307">
        <f>_xlfn.SUMIFS(Аренда!AS$26:AS$63,Аренда!$F$26:$F$63,$F112,Аренда!$G$26:$G$63,$G112)</f>
        <v>0</v>
      </c>
      <c r="AL112" s="307">
        <f>IF(AI112=0,0,(AK112-AI112)/AI112*100)</f>
        <v>0</v>
      </c>
      <c r="AM112" s="1730"/>
      <c r="AN112" s="1730"/>
      <c r="AO112" s="1730"/>
      <c r="AP112" s="227"/>
      <c r="AQ112" s="227"/>
      <c r="AR112" s="1230" t="s">
        <v>1848</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M10558::ТЭ.42.26824396.0004::Неопределено::110.0.26.::Неопределено::Неопределено::Неопределено::Неопределено::Неопределено</v>
      </c>
    </row>
    <row s="1619" customFormat="1" customHeight="1" ht="16.5">
      <c r="A113" s="1183"/>
      <c r="B113" s="924"/>
      <c r="C113" s="1298" t="s">
        <v>1798</v>
      </c>
      <c r="D113" s="1257" t="s">
        <v>1799</v>
      </c>
      <c r="E113" s="794">
        <v>17.1</v>
      </c>
      <c r="F113" s="919" cm="1" t="str">
        <f t="array" ref="F113:F113">OFFSET(G113,-1,-1)</f>
        <v>1</v>
      </c>
      <c r="G113" s="227"/>
      <c r="H113" s="227"/>
      <c r="I113" s="227"/>
      <c r="J113" s="227"/>
      <c r="K113" s="227"/>
      <c r="L113" s="1286"/>
      <c r="M113" s="1284" cm="1" t="str">
        <f t="array" ref="M113:M113">OFFSET(L113,-1,1)</f>
        <v>ТЭ.42.26824396.0004</v>
      </c>
      <c r="N113" s="1286"/>
      <c r="O113" s="1286" t="s">
        <v>1849</v>
      </c>
      <c r="P113" s="1286"/>
      <c r="Q113" s="1286"/>
      <c r="R113" s="1286"/>
      <c r="S113" s="1286"/>
      <c r="T113" s="805" cm="1" t="str">
        <f t="array" ref="T113:T113">T112</f>
        <v>true</v>
      </c>
      <c r="U113" s="1461"/>
      <c r="V113" s="1461"/>
      <c r="W113" s="1461"/>
      <c r="X113" s="1461"/>
      <c r="Y113" s="1461"/>
      <c r="Z113" s="1461"/>
      <c r="AA113" s="227"/>
      <c r="AB113" s="989" t="s">
        <v>1850</v>
      </c>
      <c r="AC113" s="990" t="s">
        <v>1318</v>
      </c>
      <c r="AD113" s="991" t="s">
        <v>1019</v>
      </c>
      <c r="AE113" s="1903"/>
      <c r="AF113" s="1903"/>
      <c r="AG113" s="1903"/>
      <c r="AH113" s="307">
        <f>AG113-AF113</f>
        <v>0</v>
      </c>
      <c r="AI113" s="1903"/>
      <c r="AJ113" s="614"/>
      <c r="AK113" s="614"/>
      <c r="AL113" s="307">
        <f>IF(AI113=0,0,(AK113-AI113)/AI113*100)</f>
        <v>0</v>
      </c>
      <c r="AM113" s="1730"/>
      <c r="AN113" s="1730"/>
      <c r="AO113" s="1730"/>
      <c r="AP113" s="227"/>
      <c r="AQ113" s="227"/>
      <c r="AR113" s="1230" t="s">
        <v>1851</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M10558::ТЭ.42.26824396.0004::Неопределено::Неопределено::122.0.4.::Неопределено::Неопределено::Неопределено::Неопределено</v>
      </c>
    </row>
    <row s="1619" customFormat="1" customHeight="1" ht="16.5">
      <c r="A114" s="1183"/>
      <c r="B114" s="924"/>
      <c r="C114" s="1298" t="s">
        <v>1798</v>
      </c>
      <c r="D114" s="1257" t="s">
        <v>1799</v>
      </c>
      <c r="E114" s="794">
        <v>17.1</v>
      </c>
      <c r="F114" s="919" cm="1" t="str">
        <f t="array" ref="F114:F114">OFFSET(G114,-1,-1)</f>
        <v>1</v>
      </c>
      <c r="G114" s="227"/>
      <c r="H114" s="227"/>
      <c r="I114" s="227"/>
      <c r="J114" s="227"/>
      <c r="K114" s="227"/>
      <c r="L114" s="1286"/>
      <c r="M114" s="1284" cm="1" t="str">
        <f t="array" ref="M114:M114">OFFSET(L114,-1,1)</f>
        <v>ТЭ.42.26824396.0004</v>
      </c>
      <c r="N114" s="1286"/>
      <c r="O114" s="1286" t="s">
        <v>1852</v>
      </c>
      <c r="P114" s="1286"/>
      <c r="Q114" s="1286"/>
      <c r="R114" s="1286"/>
      <c r="S114" s="1286"/>
      <c r="T114" s="805" cm="1" t="str">
        <f t="array" ref="T114:T114">T113</f>
        <v>true</v>
      </c>
      <c r="U114" s="1461"/>
      <c r="V114" s="1461"/>
      <c r="W114" s="1461"/>
      <c r="X114" s="1461"/>
      <c r="Y114" s="1461"/>
      <c r="Z114" s="1461"/>
      <c r="AA114" s="227"/>
      <c r="AB114" s="989" t="s">
        <v>1853</v>
      </c>
      <c r="AC114" s="990" t="s">
        <v>1320</v>
      </c>
      <c r="AD114" s="991" t="s">
        <v>1019</v>
      </c>
      <c r="AE114" s="1903"/>
      <c r="AF114" s="1903"/>
      <c r="AG114" s="1903"/>
      <c r="AH114" s="307">
        <f>AG114-AF114</f>
        <v>0</v>
      </c>
      <c r="AI114" s="1903"/>
      <c r="AJ114" s="614"/>
      <c r="AK114" s="614"/>
      <c r="AL114" s="307">
        <f>IF(AI114=0,0,(AK114-AI114)/AI114*100)</f>
        <v>0</v>
      </c>
      <c r="AM114" s="1730"/>
      <c r="AN114" s="1730"/>
      <c r="AO114" s="1730"/>
      <c r="AP114" s="227"/>
      <c r="AQ114" s="227"/>
      <c r="AR114" s="1230" t="s">
        <v>1321</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M10558::ТЭ.42.26824396.0004::Неопределено::Неопределено::122.0.5.::Неопределено::Неопределено::Неопределено::Неопределено</v>
      </c>
    </row>
    <row s="1619" customFormat="1" customHeight="1" ht="33.75">
      <c r="A115" s="1183"/>
      <c r="B115" s="924"/>
      <c r="C115" s="1298" t="s">
        <v>1798</v>
      </c>
      <c r="D115" s="1257" t="s">
        <v>1799</v>
      </c>
      <c r="E115" s="794">
        <v>35</v>
      </c>
      <c r="F115" s="919" cm="1" t="str">
        <f t="array" ref="F115:F115">OFFSET(G115,-1,-1)</f>
        <v>1</v>
      </c>
      <c r="G115" s="190" t="s">
        <v>1252</v>
      </c>
      <c r="H115" s="227"/>
      <c r="I115" s="227"/>
      <c r="J115" s="227"/>
      <c r="K115" s="227"/>
      <c r="L115" s="1286"/>
      <c r="M115" s="1284" cm="1" t="str">
        <f t="array" ref="M115:M115">OFFSET(L115,-1,1)</f>
        <v>ТЭ.42.26824396.0004</v>
      </c>
      <c r="N115" s="1286"/>
      <c r="O115" s="1286" t="s">
        <v>1854</v>
      </c>
      <c r="P115" s="1286"/>
      <c r="Q115" s="1286"/>
      <c r="R115" s="1286"/>
      <c r="S115" s="1286"/>
      <c r="T115" s="805" cm="1" t="str">
        <f t="array" ref="T115:T115">T114</f>
        <v>true</v>
      </c>
      <c r="U115" s="1461"/>
      <c r="V115" s="1461"/>
      <c r="W115" s="1461"/>
      <c r="X115" s="1461"/>
      <c r="Y115" s="1461"/>
      <c r="Z115" s="1461"/>
      <c r="AA115" s="227"/>
      <c r="AB115" s="989" t="s">
        <v>1855</v>
      </c>
      <c r="AC115" s="990" t="s">
        <v>1856</v>
      </c>
      <c r="AD115" s="991" t="s">
        <v>1019</v>
      </c>
      <c r="AE115" s="612">
        <f>_xlfn.SUMIFS(Налоги!AE$26:AE$69,Налоги!$F$26:$F$69,$F115,Налоги!$G$26:$G$69,$G115)</f>
        <v>0</v>
      </c>
      <c r="AF115" s="612">
        <f>_xlfn.SUMIFS(Налоги!AF$26:AF$69,Налоги!$F$26:$F$69,$F115,Налоги!$G$26:$G$69,$G115)</f>
        <v>0</v>
      </c>
      <c r="AG115" s="612">
        <f>_xlfn.SUMIFS(Налоги!AG$26:AG$69,Налоги!$F$26:$F$69,$F115,Налоги!$G$26:$G$69,$G115)</f>
        <v>0</v>
      </c>
      <c r="AH115" s="307">
        <f>AG115-AF115</f>
        <v>0</v>
      </c>
      <c r="AI115" s="612">
        <f>_xlfn.SUMIFS(Налоги!AH$26:AH$69,Налоги!$F$26:$F$69,$F115,Налоги!$G$26:$G$69,$G115)</f>
        <v>0</v>
      </c>
      <c r="AJ115" s="612">
        <f>_xlfn.SUMIFS(Налоги!AI$26:AI$69,Налоги!$F$26:$F$69,$F115,Налоги!$G$26:$G$69,$G115)</f>
        <v>0</v>
      </c>
      <c r="AK115" s="612">
        <f>_xlfn.SUMIFS(Налоги!AS$26:AS$69,Налоги!$F$26:$F$69,$F115,Налоги!$G$26:$G$69,$G115)</f>
        <v>0</v>
      </c>
      <c r="AL115" s="307">
        <f>IF(AI115=0,0,(AK115-AI115)/AI115*100)</f>
        <v>0</v>
      </c>
      <c r="AM115" s="1730"/>
      <c r="AN115" s="1730"/>
      <c r="AO115" s="1730"/>
      <c r="AP115" s="227"/>
      <c r="AQ115" s="227"/>
      <c r="AR115" s="1230" t="s">
        <v>1857</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M10558::ТЭ.42.26824396.0004::Неопределено::Неопределено::122.0.6.::Неопределено::Неопределено::Неопределено::Неопределено</v>
      </c>
    </row>
    <row s="1619" customFormat="1" customHeight="1" ht="33.75">
      <c r="A116" s="1183"/>
      <c r="B116" s="924"/>
      <c r="C116" s="1298" t="s">
        <v>1798</v>
      </c>
      <c r="D116" s="1257" t="s">
        <v>1799</v>
      </c>
      <c r="E116" s="794">
        <v>35</v>
      </c>
      <c r="F116" s="919" cm="1" t="str">
        <f t="array" ref="F116:F116">OFFSET(G116,-1,-1)</f>
        <v>1</v>
      </c>
      <c r="G116" s="227"/>
      <c r="H116" s="227"/>
      <c r="I116" s="227"/>
      <c r="J116" s="227"/>
      <c r="K116" s="227"/>
      <c r="L116" s="1286" t="s">
        <v>1858</v>
      </c>
      <c r="M116" s="1284" cm="1" t="str">
        <f t="array" ref="M116:M116">OFFSET(L116,-1,1)</f>
        <v>ТЭ.42.26824396.0004</v>
      </c>
      <c r="N116" s="1286"/>
      <c r="O116" s="1286"/>
      <c r="P116" s="1286"/>
      <c r="Q116" s="1286"/>
      <c r="R116" s="1286"/>
      <c r="S116" s="1286"/>
      <c r="T116" s="805" cm="1" t="str">
        <f t="array" ref="T116:T116">T115</f>
        <v>true</v>
      </c>
      <c r="U116" s="1461"/>
      <c r="V116" s="1461"/>
      <c r="W116" s="1461"/>
      <c r="X116" s="1461"/>
      <c r="Y116" s="1461"/>
      <c r="Z116" s="1461"/>
      <c r="AA116" s="227"/>
      <c r="AB116" s="989" t="s">
        <v>1859</v>
      </c>
      <c r="AC116" s="990" t="s">
        <v>1860</v>
      </c>
      <c r="AD116" s="991" t="s">
        <v>1019</v>
      </c>
      <c r="AE116" s="612">
        <f>SUM(AE117:AE121)</f>
        <v>0</v>
      </c>
      <c r="AF116" s="612">
        <f>SUM(AF117:AF121)</f>
        <v>0</v>
      </c>
      <c r="AG116" s="612">
        <f>SUM(AG117:AG121)</f>
        <v>0</v>
      </c>
      <c r="AH116" s="307">
        <f>AG116-AF116</f>
        <v>0</v>
      </c>
      <c r="AI116" s="612">
        <f>SUM(AI117:AI121)</f>
        <v>0</v>
      </c>
      <c r="AJ116" s="612">
        <f>SUM(AJ117:AJ121)</f>
        <v>38</v>
      </c>
      <c r="AK116" s="612">
        <f>SUM(AK117:AK121)</f>
        <v>1</v>
      </c>
      <c r="AL116" s="307">
        <f>IF(AI116=0,0,(AK116-AI116)/AI116*100)</f>
        <v>0</v>
      </c>
      <c r="AM116" s="1730"/>
      <c r="AN116" s="1730"/>
      <c r="AO116" s="1730"/>
      <c r="AP116" s="227"/>
      <c r="AQ116" s="227"/>
      <c r="AR116" s="1230" t="s">
        <v>1268</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M10558::ТЭ.42.26824396.0004::1.0.49.::Неопределено::Неопределено::Неопределено::Неопределено::Неопределено::Неопределено</v>
      </c>
    </row>
    <row s="1619" customFormat="1" customHeight="1" ht="16.5">
      <c r="A117" s="1183"/>
      <c r="B117" s="924"/>
      <c r="C117" s="1298" t="s">
        <v>1798</v>
      </c>
      <c r="D117" s="1257" t="s">
        <v>1799</v>
      </c>
      <c r="E117" s="794">
        <v>17.1</v>
      </c>
      <c r="F117" s="919" cm="1" t="str">
        <f t="array" ref="F117:F117">OFFSET(G117,-1,-1)</f>
        <v>1</v>
      </c>
      <c r="G117" s="190" t="s">
        <v>1256</v>
      </c>
      <c r="H117" s="227"/>
      <c r="I117" s="227"/>
      <c r="J117" s="227"/>
      <c r="K117" s="227"/>
      <c r="L117" s="1286" t="s">
        <v>1861</v>
      </c>
      <c r="M117" s="1284" cm="1" t="str">
        <f t="array" ref="M117:M117">OFFSET(L117,-1,1)</f>
        <v>ТЭ.42.26824396.0004</v>
      </c>
      <c r="N117" s="1286"/>
      <c r="O117" s="1286"/>
      <c r="P117" s="1286"/>
      <c r="Q117" s="1286"/>
      <c r="R117" s="1286"/>
      <c r="S117" s="1286"/>
      <c r="T117" s="805" cm="1" t="str">
        <f t="array" ref="T117:T117">T116</f>
        <v>true</v>
      </c>
      <c r="U117" s="1461"/>
      <c r="V117" s="1461"/>
      <c r="W117" s="1461"/>
      <c r="X117" s="1461"/>
      <c r="Y117" s="1461"/>
      <c r="Z117" s="1461"/>
      <c r="AA117" s="227"/>
      <c r="AB117" s="989" t="s">
        <v>1862</v>
      </c>
      <c r="AC117" s="990" t="s">
        <v>1863</v>
      </c>
      <c r="AD117" s="991" t="s">
        <v>1019</v>
      </c>
      <c r="AE117" s="612">
        <f>_xlfn.SUMIFS(Налоги!AE$26:AE$69,Налоги!$F$26:$F$69,$F117,Налоги!$H$26:$H$69,$G117)</f>
        <v>0</v>
      </c>
      <c r="AF117" s="612">
        <f>_xlfn.SUMIFS(Налоги!AF$26:AF$69,Налоги!$F$26:$F$69,$F117,Налоги!$H$26:$H$69,$G117)</f>
        <v>0</v>
      </c>
      <c r="AG117" s="612">
        <f>_xlfn.SUMIFS(Налоги!AG$26:AG$69,Налоги!$F$26:$F$69,$F117,Налоги!$H$26:$H$69,$G117)</f>
        <v>0</v>
      </c>
      <c r="AH117" s="307">
        <f>AG117-AF117</f>
        <v>0</v>
      </c>
      <c r="AI117" s="612">
        <f>_xlfn.SUMIFS(Налоги!AH$26:AH$69,Налоги!$F$26:$F$69,$F117,Налоги!$H$26:$H$69,$G117)</f>
        <v>0</v>
      </c>
      <c r="AJ117" s="612">
        <f>_xlfn.SUMIFS(Налоги!AI$26:AI$69,Налоги!$F$26:$F$69,$F117,Налоги!$H$26:$H$69,$G117)</f>
        <v>38</v>
      </c>
      <c r="AK117" s="612">
        <f>_xlfn.SUMIFS(Налоги!AS$26:AS$69,Налоги!$F$26:$F$69,$F117,Налоги!$H$26:$H$69,$G117)</f>
        <v>1</v>
      </c>
      <c r="AL117" s="307">
        <f>IF(AI117=0,0,(AK117-AI117)/AI117*100)</f>
        <v>0</v>
      </c>
      <c r="AM117" s="1730"/>
      <c r="AN117" s="1730"/>
      <c r="AO117" s="1730"/>
      <c r="AP117" s="227"/>
      <c r="AQ117" s="227"/>
      <c r="AR117" s="1230" t="s">
        <v>563</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M10558::ТЭ.42.26824396.0004::1.0.25.::Неопределено::Неопределено::Неопределено::Неопределено::Неопределено::Неопределено</v>
      </c>
    </row>
    <row s="1619" customFormat="1" customHeight="1" ht="16.5">
      <c r="A118" s="1183"/>
      <c r="B118" s="924"/>
      <c r="C118" s="1298" t="s">
        <v>1798</v>
      </c>
      <c r="D118" s="1257" t="s">
        <v>1799</v>
      </c>
      <c r="E118" s="794">
        <v>17.1</v>
      </c>
      <c r="F118" s="919" cm="1" t="str">
        <f t="array" ref="F118:F118">OFFSET(G118,-1,-1)</f>
        <v>1</v>
      </c>
      <c r="G118" s="190" t="s">
        <v>1258</v>
      </c>
      <c r="H118" s="227"/>
      <c r="I118" s="227"/>
      <c r="J118" s="227"/>
      <c r="K118" s="227"/>
      <c r="L118" s="1286" t="s">
        <v>1864</v>
      </c>
      <c r="M118" s="1284" cm="1" t="str">
        <f t="array" ref="M118:M118">OFFSET(L118,-1,1)</f>
        <v>ТЭ.42.26824396.0004</v>
      </c>
      <c r="N118" s="1286"/>
      <c r="O118" s="1286"/>
      <c r="P118" s="1286"/>
      <c r="Q118" s="1286"/>
      <c r="R118" s="1286"/>
      <c r="S118" s="1286"/>
      <c r="T118" s="805" cm="1" t="str">
        <f t="array" ref="T118:T118">T117</f>
        <v>true</v>
      </c>
      <c r="U118" s="1461"/>
      <c r="V118" s="1461"/>
      <c r="W118" s="1461"/>
      <c r="X118" s="1461"/>
      <c r="Y118" s="1461"/>
      <c r="Z118" s="1461"/>
      <c r="AA118" s="227"/>
      <c r="AB118" s="989" t="s">
        <v>1865</v>
      </c>
      <c r="AC118" s="990" t="s">
        <v>1259</v>
      </c>
      <c r="AD118" s="991" t="s">
        <v>1019</v>
      </c>
      <c r="AE118" s="612">
        <f>_xlfn.SUMIFS(Налоги!AE$26:AE$69,Налоги!$F$26:$F$69,$F118,Налоги!$H$26:$H$69,$G118)</f>
        <v>0</v>
      </c>
      <c r="AF118" s="612">
        <f>_xlfn.SUMIFS(Налоги!AF$26:AF$69,Налоги!$F$26:$F$69,$F118,Налоги!$H$26:$H$69,$G118)</f>
        <v>0</v>
      </c>
      <c r="AG118" s="612">
        <f>_xlfn.SUMIFS(Налоги!AG$26:AG$69,Налоги!$F$26:$F$69,$F118,Налоги!$H$26:$H$69,$G118)</f>
        <v>0</v>
      </c>
      <c r="AH118" s="307">
        <f>AG118-AF118</f>
        <v>0</v>
      </c>
      <c r="AI118" s="612">
        <f>_xlfn.SUMIFS(Налоги!AH$26:AH$69,Налоги!$F$26:$F$69,$F118,Налоги!$H$26:$H$69,$G118)</f>
        <v>0</v>
      </c>
      <c r="AJ118" s="612">
        <f>_xlfn.SUMIFS(Налоги!AI$26:AI$69,Налоги!$F$26:$F$69,$F118,Налоги!$H$26:$H$69,$G118)</f>
        <v>0</v>
      </c>
      <c r="AK118" s="612">
        <f>_xlfn.SUMIFS(Налоги!AS$26:AS$69,Налоги!$F$26:$F$69,$F118,Налоги!$H$26:$H$69,$G118)</f>
        <v>0</v>
      </c>
      <c r="AL118" s="307">
        <f>IF(AI118=0,0,(AK118-AI118)/AI118*100)</f>
        <v>0</v>
      </c>
      <c r="AM118" s="1730"/>
      <c r="AN118" s="1730"/>
      <c r="AO118" s="1730"/>
      <c r="AP118" s="227"/>
      <c r="AQ118" s="227"/>
      <c r="AR118" s="1230" t="s">
        <v>1260</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M10558::ТЭ.42.26824396.0004::1.0.17.::Неопределено::Неопределено::Неопределено::Неопределено::Неопределено::Неопределено</v>
      </c>
    </row>
    <row s="1619" customFormat="1" customHeight="1" ht="16.5">
      <c r="A119" s="1183"/>
      <c r="B119" s="924"/>
      <c r="C119" s="1298" t="s">
        <v>1798</v>
      </c>
      <c r="D119" s="1257" t="s">
        <v>1799</v>
      </c>
      <c r="E119" s="794">
        <v>17.1</v>
      </c>
      <c r="F119" s="919" cm="1" t="str">
        <f t="array" ref="F119:F119">OFFSET(G119,-1,-1)</f>
        <v>1</v>
      </c>
      <c r="G119" s="190" t="s">
        <v>1249</v>
      </c>
      <c r="H119" s="227"/>
      <c r="I119" s="227"/>
      <c r="J119" s="227"/>
      <c r="K119" s="227"/>
      <c r="L119" s="1286" t="s">
        <v>1866</v>
      </c>
      <c r="M119" s="1284" cm="1" t="str">
        <f t="array" ref="M119:M119">OFFSET(L119,-1,1)</f>
        <v>ТЭ.42.26824396.0004</v>
      </c>
      <c r="N119" s="1286"/>
      <c r="O119" s="1286"/>
      <c r="P119" s="1286"/>
      <c r="Q119" s="1286"/>
      <c r="R119" s="1286"/>
      <c r="S119" s="1286"/>
      <c r="T119" s="805" cm="1" t="str">
        <f t="array" ref="T119:T119">T118</f>
        <v>true</v>
      </c>
      <c r="U119" s="1461"/>
      <c r="V119" s="1461"/>
      <c r="W119" s="1461"/>
      <c r="X119" s="1461"/>
      <c r="Y119" s="1461"/>
      <c r="Z119" s="1461"/>
      <c r="AA119" s="227"/>
      <c r="AB119" s="994" t="s">
        <v>1867</v>
      </c>
      <c r="AC119" s="995" t="s">
        <v>1250</v>
      </c>
      <c r="AD119" s="996" t="s">
        <v>1019</v>
      </c>
      <c r="AE119" s="612">
        <f>_xlfn.SUMIFS(Налоги!AE$26:AE$69,Налоги!$F$26:$F$69,$F119,Налоги!$H$26:$H$69,$G119)</f>
        <v>0</v>
      </c>
      <c r="AF119" s="612">
        <f>_xlfn.SUMIFS(Налоги!AF$26:AF$69,Налоги!$F$26:$F$69,$F119,Налоги!$H$26:$H$69,$G119)</f>
        <v>0</v>
      </c>
      <c r="AG119" s="612">
        <f>_xlfn.SUMIFS(Налоги!AG$26:AG$69,Налоги!$F$26:$F$69,$F119,Налоги!$H$26:$H$69,$G119)</f>
        <v>0</v>
      </c>
      <c r="AH119" s="307">
        <f>AG119-AF119</f>
        <v>0</v>
      </c>
      <c r="AI119" s="612">
        <f>_xlfn.SUMIFS(Налоги!AH$26:AH$69,Налоги!$F$26:$F$69,$F119,Налоги!$H$26:$H$69,$G119)</f>
        <v>0</v>
      </c>
      <c r="AJ119" s="612">
        <f>_xlfn.SUMIFS(Налоги!AI$26:AI$69,Налоги!$F$26:$F$69,$F119,Налоги!$H$26:$H$69,$G119)</f>
        <v>0</v>
      </c>
      <c r="AK119" s="612">
        <f>_xlfn.SUMIFS(Налоги!AS$26:AS$69,Налоги!$F$26:$F$69,$F119,Налоги!$H$26:$H$69,$G119)</f>
        <v>0</v>
      </c>
      <c r="AL119" s="307">
        <f>IF(AI119=0,0,(AK119-AI119)/AI119*100)</f>
        <v>0</v>
      </c>
      <c r="AM119" s="1730"/>
      <c r="AN119" s="1730"/>
      <c r="AO119" s="1730"/>
      <c r="AP119" s="227"/>
      <c r="AQ119" s="227"/>
      <c r="AR119" s="1230" t="s">
        <v>1868</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M10558::ТЭ.42.26824396.0004::1.0.93.::Неопределено::Неопределено::Неопределено::Неопределено::Неопределено::Неопределено</v>
      </c>
    </row>
    <row s="1619" customFormat="1" customHeight="1" ht="16.5">
      <c r="A120" s="1183"/>
      <c r="B120" s="924"/>
      <c r="C120" s="1298" t="s">
        <v>1798</v>
      </c>
      <c r="D120" s="1257" t="s">
        <v>1799</v>
      </c>
      <c r="E120" s="794">
        <v>17.1</v>
      </c>
      <c r="F120" s="919" cm="1" t="str">
        <f t="array" ref="F120:F120">OFFSET(G120,-1,-1)</f>
        <v>1</v>
      </c>
      <c r="G120" s="190" t="s">
        <v>1263</v>
      </c>
      <c r="H120" s="227"/>
      <c r="I120" s="227"/>
      <c r="J120" s="227"/>
      <c r="K120" s="227"/>
      <c r="L120" s="1286" t="s">
        <v>1869</v>
      </c>
      <c r="M120" s="1284" cm="1" t="str">
        <f t="array" ref="M120:M120">OFFSET(L120,-1,1)</f>
        <v>ТЭ.42.26824396.0004</v>
      </c>
      <c r="N120" s="1286"/>
      <c r="O120" s="1286"/>
      <c r="P120" s="1286"/>
      <c r="Q120" s="1286"/>
      <c r="R120" s="1286"/>
      <c r="S120" s="1286"/>
      <c r="T120" s="805" cm="1" t="str">
        <f t="array" ref="T120:T120">T119</f>
        <v>true</v>
      </c>
      <c r="U120" s="1461"/>
      <c r="V120" s="1461"/>
      <c r="W120" s="1461"/>
      <c r="X120" s="1461"/>
      <c r="Y120" s="1461"/>
      <c r="Z120" s="1461"/>
      <c r="AA120" s="227"/>
      <c r="AB120" s="856" t="s">
        <v>1870</v>
      </c>
      <c r="AC120" s="998" t="s">
        <v>1264</v>
      </c>
      <c r="AD120" s="856" t="s">
        <v>1019</v>
      </c>
      <c r="AE120" s="612">
        <f>_xlfn.SUMIFS(Налоги!AE$26:AE$69,Налоги!$F$26:$F$69,$F120,Налоги!$H$26:$H$69,$G120)</f>
        <v>0</v>
      </c>
      <c r="AF120" s="612">
        <f>_xlfn.SUMIFS(Налоги!AF$26:AF$69,Налоги!$F$26:$F$69,$F120,Налоги!$H$26:$H$69,$G120)</f>
        <v>0</v>
      </c>
      <c r="AG120" s="612">
        <f>_xlfn.SUMIFS(Налоги!AG$26:AG$69,Налоги!$F$26:$F$69,$F120,Налоги!$H$26:$H$69,$G120)</f>
        <v>0</v>
      </c>
      <c r="AH120" s="307">
        <f>AG120-AF120</f>
        <v>0</v>
      </c>
      <c r="AI120" s="612">
        <f>_xlfn.SUMIFS(Налоги!AH$26:AH$69,Налоги!$F$26:$F$69,$F120,Налоги!$H$26:$H$69,$G120)</f>
        <v>0</v>
      </c>
      <c r="AJ120" s="612">
        <f>_xlfn.SUMIFS(Налоги!AI$26:AI$69,Налоги!$F$26:$F$69,$F120,Налоги!$H$26:$H$69,$G120)</f>
        <v>0</v>
      </c>
      <c r="AK120" s="612">
        <f>_xlfn.SUMIFS(Налоги!AS$26:AS$69,Налоги!$F$26:$F$69,$F120,Налоги!$H$26:$H$69,$G120)</f>
        <v>0</v>
      </c>
      <c r="AL120" s="307">
        <f>IF(AI120=0,0,(AK120-AI120)/AI120*100)</f>
        <v>0</v>
      </c>
      <c r="AM120" s="1730"/>
      <c r="AN120" s="1730"/>
      <c r="AO120" s="1730"/>
      <c r="AP120" s="227"/>
      <c r="AQ120" s="227"/>
      <c r="AR120" s="1230" t="s">
        <v>1265</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M10558::ТЭ.42.26824396.0004::1.0.6.::Неопределено::Неопределено::Неопределено::Неопределено::Неопределено::Неопределено</v>
      </c>
    </row>
    <row s="1619" customFormat="1" customHeight="1" ht="16.5">
      <c r="A121" s="1183"/>
      <c r="B121" s="924"/>
      <c r="C121" s="1298" t="s">
        <v>1798</v>
      </c>
      <c r="D121" s="1257" t="s">
        <v>1799</v>
      </c>
      <c r="E121" s="794">
        <v>17.1</v>
      </c>
      <c r="F121" s="919" cm="1" t="str">
        <f t="array" ref="F121:F121">OFFSET(G121,-1,-1)</f>
        <v>1</v>
      </c>
      <c r="G121" s="190" t="s">
        <v>1248</v>
      </c>
      <c r="H121" s="227"/>
      <c r="I121" s="227"/>
      <c r="J121" s="227"/>
      <c r="K121" s="227"/>
      <c r="L121" s="1286" t="s">
        <v>1871</v>
      </c>
      <c r="M121" s="1284" cm="1" t="str">
        <f t="array" ref="M121:M121">OFFSET(L121,-1,1)</f>
        <v>ТЭ.42.26824396.0004</v>
      </c>
      <c r="N121" s="1286"/>
      <c r="O121" s="1286"/>
      <c r="P121" s="1286"/>
      <c r="Q121" s="1286"/>
      <c r="R121" s="1286"/>
      <c r="S121" s="1286"/>
      <c r="T121" s="805" cm="1" t="str">
        <f t="array" ref="T121:T121">T120</f>
        <v>true</v>
      </c>
      <c r="U121" s="1461"/>
      <c r="V121" s="1461"/>
      <c r="W121" s="1461"/>
      <c r="X121" s="1461"/>
      <c r="Y121" s="1461"/>
      <c r="Z121" s="1461"/>
      <c r="AA121" s="227"/>
      <c r="AB121" s="856" t="s">
        <v>1872</v>
      </c>
      <c r="AC121" s="998" t="s">
        <v>1873</v>
      </c>
      <c r="AD121" s="856" t="s">
        <v>1019</v>
      </c>
      <c r="AE121" s="612">
        <f>_xlfn.SUMIFS(Налоги!AE$26:AE$69,Налоги!$F$26:$F$69,$F121,Налоги!$H$26:$H$69,$G121)</f>
        <v>0</v>
      </c>
      <c r="AF121" s="612">
        <f>_xlfn.SUMIFS(Налоги!AF$26:AF$69,Налоги!$F$26:$F$69,$F121,Налоги!$H$26:$H$69,$G121)</f>
        <v>0</v>
      </c>
      <c r="AG121" s="612">
        <f>_xlfn.SUMIFS(Налоги!AG$26:AG$69,Налоги!$F$26:$F$69,$F121,Налоги!$H$26:$H$69,$G121)</f>
        <v>0</v>
      </c>
      <c r="AH121" s="307">
        <f>AG121-AF121</f>
        <v>0</v>
      </c>
      <c r="AI121" s="612">
        <f>_xlfn.SUMIFS(Налоги!AH$26:AH$69,Налоги!$F$26:$F$69,$F121,Налоги!$H$26:$H$69,$G121)</f>
        <v>0</v>
      </c>
      <c r="AJ121" s="612">
        <f>_xlfn.SUMIFS(Налоги!AI$26:AI$69,Налоги!$F$26:$F$69,$F121,Налоги!$H$26:$H$69,$G121)</f>
        <v>0</v>
      </c>
      <c r="AK121" s="612">
        <f>_xlfn.SUMIFS(Налоги!AS$26:AS$69,Налоги!$F$26:$F$69,$F121,Налоги!$H$26:$H$69,$G121)</f>
        <v>0</v>
      </c>
      <c r="AL121" s="307">
        <f>IF(AI121=0,0,(AK121-AI121)/AI121*100)</f>
        <v>0</v>
      </c>
      <c r="AM121" s="1730"/>
      <c r="AN121" s="1730"/>
      <c r="AO121" s="1730"/>
      <c r="AP121" s="227"/>
      <c r="AQ121" s="227"/>
      <c r="AR121" s="1230" t="s">
        <v>1874</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M10558::ТЭ.42.26824396.0004::1.0.52.::Неопределено::Неопределено::Неопределено::Неопределено::Неопределено::Неопределено</v>
      </c>
    </row>
    <row s="1619" customFormat="1" customHeight="1" ht="16.5">
      <c r="A122" s="1183"/>
      <c r="B122" s="924"/>
      <c r="C122" s="1298" t="s">
        <v>1798</v>
      </c>
      <c r="D122" s="1257" t="s">
        <v>1799</v>
      </c>
      <c r="E122" s="794">
        <v>17.1</v>
      </c>
      <c r="F122" s="919" cm="1" t="str">
        <f t="array" ref="F122:F122">OFFSET(G122,-1,-1)</f>
        <v>1</v>
      </c>
      <c r="G122" s="227"/>
      <c r="H122" s="227"/>
      <c r="I122" s="227"/>
      <c r="J122" s="227"/>
      <c r="K122" s="227"/>
      <c r="L122" s="1286" t="s">
        <v>1875</v>
      </c>
      <c r="M122" s="1284" cm="1" t="str">
        <f t="array" ref="M122:M122">OFFSET(L122,-1,1)</f>
        <v>ТЭ.42.26824396.0004</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1876</v>
      </c>
      <c r="AD122" s="883" t="s">
        <v>1019</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30"/>
      <c r="AN122" s="1730"/>
      <c r="AO122" s="1730"/>
      <c r="AP122" s="227"/>
      <c r="AQ122" s="227"/>
      <c r="AR122" s="1230" t="s">
        <v>1877</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M10558::ТЭ.42.26824396.0004::1.0.50.::Неопределено::Неопределено::Неопределено::Неопределено::Неопределено::Неопределено</v>
      </c>
    </row>
    <row s="1619" customFormat="1" customHeight="1" ht="43.5">
      <c r="A123" s="1183"/>
      <c r="B123" s="924"/>
      <c r="C123" s="1298" t="s">
        <v>1798</v>
      </c>
      <c r="D123" s="1257" t="s">
        <v>1799</v>
      </c>
      <c r="E123" s="794">
        <v>45</v>
      </c>
      <c r="F123" s="919" cm="1" t="str">
        <f t="array" ref="F123:F123">OFFSET(G123,-1,-1)</f>
        <v>1</v>
      </c>
      <c r="G123" s="227"/>
      <c r="H123" s="227"/>
      <c r="I123" s="227"/>
      <c r="J123" s="227"/>
      <c r="K123" s="227"/>
      <c r="L123" s="1286"/>
      <c r="M123" s="1284" cm="1" t="str">
        <f t="array" ref="M123:M123">OFFSET(L123,-1,1)</f>
        <v>ТЭ.42.26824396.0004</v>
      </c>
      <c r="N123" s="1286"/>
      <c r="O123" s="1286"/>
      <c r="P123" s="1286" t="s">
        <v>1878</v>
      </c>
      <c r="Q123" s="1286"/>
      <c r="R123" s="1286"/>
      <c r="S123" s="1286"/>
      <c r="T123" s="805" cm="1" t="str">
        <f t="array" ref="T123:T123">T122</f>
        <v>true</v>
      </c>
      <c r="U123" s="1461"/>
      <c r="V123" s="1461"/>
      <c r="W123" s="1461"/>
      <c r="X123" s="1461"/>
      <c r="Y123" s="1461"/>
      <c r="Z123" s="1461"/>
      <c r="AA123" s="227"/>
      <c r="AB123" s="856" t="s">
        <v>448</v>
      </c>
      <c r="AC123" s="1001" t="s">
        <v>1879</v>
      </c>
      <c r="AD123" s="856" t="s">
        <v>1019</v>
      </c>
      <c r="AE123" s="1903"/>
      <c r="AF123" s="1903"/>
      <c r="AG123" s="1903"/>
      <c r="AH123" s="307">
        <f>AG123-AF123</f>
        <v>0</v>
      </c>
      <c r="AI123" s="1903"/>
      <c r="AJ123" s="614"/>
      <c r="AK123" s="614"/>
      <c r="AL123" s="307">
        <f>IF(AI123=0,0,(AK123-AI123)/AI123*100)</f>
        <v>0</v>
      </c>
      <c r="AM123" s="1730"/>
      <c r="AN123" s="1730"/>
      <c r="AO123" s="1730"/>
      <c r="AP123" s="227"/>
      <c r="AQ123" s="227"/>
      <c r="AR123" s="1230" t="s">
        <v>1880</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M10558::ТЭ.42.26824396.0004::Неопределено::Неопределено::Неопределено::306.0.3.::Неопределено::Неопределено::Неопределено</v>
      </c>
    </row>
    <row s="1619" customFormat="1" customHeight="1" ht="16.5">
      <c r="A124" s="1183"/>
      <c r="B124" s="924"/>
      <c r="C124" s="1298" t="s">
        <v>1798</v>
      </c>
      <c r="D124" s="1257" t="s">
        <v>1799</v>
      </c>
      <c r="E124" s="794">
        <v>17.1</v>
      </c>
      <c r="F124" s="919" cm="1" t="str">
        <f t="array" ref="F124:F124">OFFSET(G124,-1,-1)</f>
        <v>1</v>
      </c>
      <c r="G124" s="227"/>
      <c r="H124" s="227"/>
      <c r="I124" s="227"/>
      <c r="J124" s="227"/>
      <c r="K124" s="227"/>
      <c r="L124" s="1286"/>
      <c r="M124" s="1284" cm="1" t="str">
        <f t="array" ref="M124:M124">OFFSET(L124,-1,1)</f>
        <v>ТЭ.42.26824396.0004</v>
      </c>
      <c r="N124" s="1286" t="s">
        <v>1881</v>
      </c>
      <c r="O124" s="1286"/>
      <c r="P124" s="1286"/>
      <c r="Q124" s="1286"/>
      <c r="R124" s="1286"/>
      <c r="S124" s="1286"/>
      <c r="T124" s="805" cm="1" t="str">
        <f t="array" ref="T124:T124">T123</f>
        <v>true</v>
      </c>
      <c r="U124" s="1461"/>
      <c r="V124" s="1461"/>
      <c r="W124" s="1461"/>
      <c r="X124" s="1461"/>
      <c r="Y124" s="1461"/>
      <c r="Z124" s="1461"/>
      <c r="AA124" s="227"/>
      <c r="AB124" s="555" t="s">
        <v>475</v>
      </c>
      <c r="AC124" s="1002" t="s">
        <v>1367</v>
      </c>
      <c r="AD124" s="571" t="s">
        <v>1019</v>
      </c>
      <c r="AE124" s="1903"/>
      <c r="AF124" s="1903"/>
      <c r="AG124" s="1903"/>
      <c r="AH124" s="307">
        <f>AG124-AF124</f>
        <v>0</v>
      </c>
      <c r="AI124" s="1903"/>
      <c r="AJ124" s="614"/>
      <c r="AK124" s="614"/>
      <c r="AL124" s="307">
        <f>IF(AI124=0,0,(AK124-AI124)/AI124*100)</f>
        <v>0</v>
      </c>
      <c r="AM124" s="1730"/>
      <c r="AN124" s="1730"/>
      <c r="AO124" s="1730"/>
      <c r="AP124" s="227"/>
      <c r="AQ124" s="227"/>
      <c r="AR124" s="1230" t="s">
        <v>1882</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M10558::ТЭ.42.26824396.0004::Неопределено::110.0.37.::Неопределено::Неопределено::Неопределено::Неопределено::Неопределено</v>
      </c>
    </row>
    <row s="1619" customFormat="1" customHeight="1" ht="33.75">
      <c r="A125" s="1183"/>
      <c r="B125" s="924"/>
      <c r="C125" s="1298" t="s">
        <v>1798</v>
      </c>
      <c r="D125" s="1257" t="s">
        <v>1799</v>
      </c>
      <c r="E125" s="794">
        <v>35</v>
      </c>
      <c r="F125" s="919" cm="1" t="str">
        <f t="array" ref="F125:F125">OFFSET(G125,-1,-1)</f>
        <v>1</v>
      </c>
      <c r="G125" s="227"/>
      <c r="H125" s="227"/>
      <c r="I125" s="227"/>
      <c r="J125" s="227"/>
      <c r="K125" s="227"/>
      <c r="L125" s="1286" t="s">
        <v>1883</v>
      </c>
      <c r="M125" s="1284" cm="1" t="str">
        <f t="array" ref="M125:M125">OFFSET(L125,-1,1)</f>
        <v>ТЭ.42.26824396.0004</v>
      </c>
      <c r="N125" s="1286"/>
      <c r="O125" s="1286"/>
      <c r="P125" s="1286"/>
      <c r="Q125" s="1286"/>
      <c r="R125" s="1286"/>
      <c r="S125" s="1286"/>
      <c r="T125" s="805" cm="1" t="str">
        <f t="array" ref="T125:T125">T124</f>
        <v>true</v>
      </c>
      <c r="U125" s="1461"/>
      <c r="V125" s="1461"/>
      <c r="W125" s="1461"/>
      <c r="X125" s="1461"/>
      <c r="Y125" s="1461"/>
      <c r="Z125" s="1461"/>
      <c r="AA125" s="227"/>
      <c r="AB125" s="485" t="s">
        <v>479</v>
      </c>
      <c r="AC125" s="1003" t="s">
        <v>1379</v>
      </c>
      <c r="AD125" s="572" t="s">
        <v>1019</v>
      </c>
      <c r="AE125" s="1903"/>
      <c r="AF125" s="1903"/>
      <c r="AG125" s="1903"/>
      <c r="AH125" s="307">
        <f>AG125-AF125</f>
        <v>0</v>
      </c>
      <c r="AI125" s="1903"/>
      <c r="AJ125" s="614"/>
      <c r="AK125" s="614"/>
      <c r="AL125" s="307">
        <f>IF(AI125=0,0,(AK125-AI125)/AI125*100)</f>
        <v>0</v>
      </c>
      <c r="AM125" s="1730"/>
      <c r="AN125" s="1730"/>
      <c r="AO125" s="1730"/>
      <c r="AP125" s="227"/>
      <c r="AQ125" s="227"/>
      <c r="AR125" s="1230" t="s">
        <v>1884</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M10558::ТЭ.42.26824396.0004::1.0.89.::Неопределено::Неопределено::Неопределено::Неопределено::Неопределено::Неопределено</v>
      </c>
    </row>
    <row s="1619" customFormat="1" customHeight="1" ht="16.5">
      <c r="A126" s="1183"/>
      <c r="B126" s="924"/>
      <c r="C126" s="1298" t="s">
        <v>1798</v>
      </c>
      <c r="D126" s="1257" t="s">
        <v>1799</v>
      </c>
      <c r="E126" s="794">
        <v>17.1</v>
      </c>
      <c r="F126" s="919" cm="1" t="str">
        <f t="array" ref="F126:F126">OFFSET(G126,-1,-1)</f>
        <v>1</v>
      </c>
      <c r="G126" s="227"/>
      <c r="H126" s="227"/>
      <c r="I126" s="227"/>
      <c r="J126" s="227"/>
      <c r="K126" s="227"/>
      <c r="L126" s="1286"/>
      <c r="M126" s="1284" cm="1" t="str">
        <f t="array" ref="M126:M126">OFFSET(L126,-1,1)</f>
        <v>ТЭ.42.26824396.0004</v>
      </c>
      <c r="N126" s="1276" t="s">
        <v>1885</v>
      </c>
      <c r="O126" s="1286"/>
      <c r="P126" s="1286"/>
      <c r="Q126" s="1286"/>
      <c r="R126" s="1286"/>
      <c r="S126" s="1286"/>
      <c r="T126" s="805" cm="1" t="str">
        <f t="array" ref="T126:T126">T125</f>
        <v>true</v>
      </c>
      <c r="U126" s="1461"/>
      <c r="V126" s="1461"/>
      <c r="W126" s="1461"/>
      <c r="X126" s="1461"/>
      <c r="Y126" s="1461"/>
      <c r="Z126" s="1461"/>
      <c r="AA126" s="227"/>
      <c r="AB126" s="485" t="s">
        <v>483</v>
      </c>
      <c r="AC126" s="1003" t="s">
        <v>1886</v>
      </c>
      <c r="AD126" s="572" t="s">
        <v>1019</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30"/>
      <c r="AN126" s="1730"/>
      <c r="AO126" s="1730"/>
      <c r="AP126" s="227"/>
      <c r="AQ126" s="227"/>
      <c r="AR126" s="1230" t="s">
        <v>1887</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M10558::ТЭ.42.26824396.0004::Неопределено::110.0.32.::Неопределено::Неопределено::Неопределено::Неопределено::Неопределено</v>
      </c>
    </row>
    <row s="1619" customFormat="1" customHeight="1" ht="16.5">
      <c r="A127" s="1183"/>
      <c r="B127" s="924"/>
      <c r="C127" s="1298" t="s">
        <v>1798</v>
      </c>
      <c r="D127" s="1257" t="s">
        <v>1799</v>
      </c>
      <c r="E127" s="794">
        <v>17.1</v>
      </c>
      <c r="F127" s="919" cm="1" t="str">
        <f t="array" ref="F127:F127">OFFSET(G127,-1,-1)</f>
        <v>1</v>
      </c>
      <c r="G127" s="227"/>
      <c r="H127" s="227"/>
      <c r="I127" s="227"/>
      <c r="J127" s="227"/>
      <c r="K127" s="227"/>
      <c r="L127" s="1286" t="s">
        <v>1888</v>
      </c>
      <c r="M127" s="1284" cm="1" t="str">
        <f t="array" ref="M127:M127">OFFSET(L127,-1,1)</f>
        <v>ТЭ.42.26824396.0004</v>
      </c>
      <c r="N127" s="1286"/>
      <c r="O127" s="1286"/>
      <c r="P127" s="1286"/>
      <c r="Q127" s="1286"/>
      <c r="R127" s="1286"/>
      <c r="S127" s="1286"/>
      <c r="T127" s="805" cm="1" t="str">
        <f t="array" ref="T127:T127">T126</f>
        <v>true</v>
      </c>
      <c r="U127" s="1461"/>
      <c r="V127" s="1461"/>
      <c r="W127" s="1461"/>
      <c r="X127" s="1461"/>
      <c r="Y127" s="1461"/>
      <c r="Z127" s="1461"/>
      <c r="AA127" s="227"/>
      <c r="AB127" s="496" t="s">
        <v>1889</v>
      </c>
      <c r="AC127" s="1005" t="s">
        <v>1890</v>
      </c>
      <c r="AD127" s="651" t="s">
        <v>1019</v>
      </c>
      <c r="AE127" s="1903"/>
      <c r="AF127" s="1903"/>
      <c r="AG127" s="1903"/>
      <c r="AH127" s="307">
        <f>AG127-AF127</f>
        <v>0</v>
      </c>
      <c r="AI127" s="1903"/>
      <c r="AJ127" s="614"/>
      <c r="AK127" s="614"/>
      <c r="AL127" s="307">
        <f>IF(AI127=0,0,(AK127-AI127)/AI127*100)</f>
        <v>0</v>
      </c>
      <c r="AM127" s="1730"/>
      <c r="AN127" s="1730"/>
      <c r="AO127" s="1730"/>
      <c r="AP127" s="227"/>
      <c r="AQ127" s="227"/>
      <c r="AR127" s="1230" t="s">
        <v>1891</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M10558::ТЭ.42.26824396.0004::1.0.96.::Неопределено::Неопределено::Неопределено::Неопределено::Неопределено::Неопределено</v>
      </c>
    </row>
    <row s="1619" customFormat="1" customHeight="1" ht="16.5">
      <c r="A128" s="1183"/>
      <c r="B128" s="924"/>
      <c r="C128" s="1298" t="s">
        <v>1798</v>
      </c>
      <c r="D128" s="1257" t="s">
        <v>1799</v>
      </c>
      <c r="E128" s="794">
        <v>17.1</v>
      </c>
      <c r="F128" s="919" cm="1" t="str">
        <f t="array" ref="F128:F128">OFFSET(G128,-1,-1)</f>
        <v>1</v>
      </c>
      <c r="G128" s="227"/>
      <c r="H128" s="227"/>
      <c r="I128" s="227"/>
      <c r="J128" s="227"/>
      <c r="K128" s="227"/>
      <c r="L128" s="1286"/>
      <c r="M128" s="1284" cm="1" t="str">
        <f t="array" ref="M128:M128">OFFSET(L128,-1,1)</f>
        <v>ТЭ.42.26824396.0004</v>
      </c>
      <c r="N128" s="1286" t="s">
        <v>1892</v>
      </c>
      <c r="O128" s="1286"/>
      <c r="P128" s="1286"/>
      <c r="Q128" s="1286"/>
      <c r="R128" s="1286"/>
      <c r="S128" s="1286"/>
      <c r="T128" s="805" cm="1" t="str">
        <f t="array" ref="T128:T128">T127</f>
        <v>true</v>
      </c>
      <c r="U128" s="1461"/>
      <c r="V128" s="1461"/>
      <c r="W128" s="1461"/>
      <c r="X128" s="1461"/>
      <c r="Y128" s="1461"/>
      <c r="Z128" s="1461"/>
      <c r="AA128" s="227"/>
      <c r="AB128" s="856" t="s">
        <v>1893</v>
      </c>
      <c r="AC128" s="1001" t="s">
        <v>1894</v>
      </c>
      <c r="AD128" s="856" t="s">
        <v>1019</v>
      </c>
      <c r="AE128" s="1903"/>
      <c r="AF128" s="1903"/>
      <c r="AG128" s="1903"/>
      <c r="AH128" s="307">
        <f>AG128-AF128</f>
        <v>0</v>
      </c>
      <c r="AI128" s="1903"/>
      <c r="AJ128" s="614"/>
      <c r="AK128" s="614"/>
      <c r="AL128" s="307">
        <f>IF(AI128=0,0,(AK128-AI128)/AI128*100)</f>
        <v>0</v>
      </c>
      <c r="AM128" s="1730"/>
      <c r="AN128" s="1730"/>
      <c r="AO128" s="1730"/>
      <c r="AP128" s="227"/>
      <c r="AQ128" s="227"/>
      <c r="AR128" s="1230" t="s">
        <v>1895</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M10558::ТЭ.42.26824396.0004::Неопределено::110.0.39.::Неопределено::Неопределено::Неопределено::Неопределено::Неопределено</v>
      </c>
    </row>
    <row s="1619" customFormat="1" customHeight="1" ht="33.75">
      <c r="A129" s="1183"/>
      <c r="B129" s="924"/>
      <c r="C129" s="1298" t="s">
        <v>1798</v>
      </c>
      <c r="D129" s="1257" t="s">
        <v>1799</v>
      </c>
      <c r="E129" s="794">
        <v>35</v>
      </c>
      <c r="F129" s="919" cm="1" t="str">
        <f t="array" ref="F129:F129">OFFSET(G129,-1,-1)</f>
        <v>1</v>
      </c>
      <c r="G129" s="227"/>
      <c r="H129" s="227"/>
      <c r="I129" s="227"/>
      <c r="J129" s="227"/>
      <c r="K129" s="227"/>
      <c r="L129" s="1286"/>
      <c r="M129" s="1284" cm="1" t="str">
        <f t="array" ref="M129:M129">OFFSET(L129,-1,1)</f>
        <v>ТЭ.42.26824396.0004</v>
      </c>
      <c r="N129" s="1286" t="s">
        <v>1896</v>
      </c>
      <c r="O129" s="1286"/>
      <c r="P129" s="1286"/>
      <c r="Q129" s="1286"/>
      <c r="R129" s="1286"/>
      <c r="S129" s="1286"/>
      <c r="T129" s="805" cm="1" t="str">
        <f t="array" ref="T129:T129">T128</f>
        <v>true</v>
      </c>
      <c r="U129" s="1461"/>
      <c r="V129" s="1461"/>
      <c r="W129" s="1461"/>
      <c r="X129" s="1461"/>
      <c r="Y129" s="1461"/>
      <c r="Z129" s="1461"/>
      <c r="AA129" s="227"/>
      <c r="AB129" s="883">
        <v>3</v>
      </c>
      <c r="AC129" s="1007" t="s">
        <v>1897</v>
      </c>
      <c r="AD129" s="883" t="s">
        <v>1019</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30"/>
      <c r="AN129" s="1730"/>
      <c r="AO129" s="1730"/>
      <c r="AP129" s="227"/>
      <c r="AQ129" s="227"/>
      <c r="AR129" s="1230" t="s">
        <v>1898</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M10558::ТЭ.42.26824396.0004::Неопределено::110.0.46.::Неопределено::Неопределено::Неопределено::Неопределено::Неопределено</v>
      </c>
    </row>
    <row s="1619" customFormat="1" customHeight="1" ht="16.5">
      <c r="A130" s="1183"/>
      <c r="B130" s="924"/>
      <c r="C130" s="1298" t="s">
        <v>1798</v>
      </c>
      <c r="D130" s="1257" t="s">
        <v>1799</v>
      </c>
      <c r="E130" s="794">
        <v>17.1</v>
      </c>
      <c r="F130" s="919" cm="1" t="str">
        <f t="array" ref="F130:F130">OFFSET(G130,-1,-1)</f>
        <v>1</v>
      </c>
      <c r="G130" s="227"/>
      <c r="H130" s="227"/>
      <c r="I130" s="227"/>
      <c r="J130" s="227"/>
      <c r="K130" s="227"/>
      <c r="L130" s="1286"/>
      <c r="M130" s="1284" cm="1" t="str">
        <f t="array" ref="M130:M130">OFFSET(L130,-1,1)</f>
        <v>ТЭ.42.26824396.0004</v>
      </c>
      <c r="N130" s="1286" t="s">
        <v>1899</v>
      </c>
      <c r="O130" s="1286"/>
      <c r="P130" s="1286"/>
      <c r="Q130" s="1286"/>
      <c r="R130" s="1286"/>
      <c r="S130" s="1286"/>
      <c r="T130" s="805" cm="1" t="str">
        <f t="array" ref="T130:T130">T129</f>
        <v>true</v>
      </c>
      <c r="U130" s="1461"/>
      <c r="V130" s="1461"/>
      <c r="W130" s="1461"/>
      <c r="X130" s="1461"/>
      <c r="Y130" s="1461"/>
      <c r="Z130" s="1461"/>
      <c r="AA130" s="227"/>
      <c r="AB130" s="856" t="s">
        <v>710</v>
      </c>
      <c r="AC130" s="998" t="s">
        <v>1900</v>
      </c>
      <c r="AD130" s="856" t="s">
        <v>1019</v>
      </c>
      <c r="AE130" s="1903"/>
      <c r="AF130" s="1903"/>
      <c r="AG130" s="1903"/>
      <c r="AH130" s="307">
        <f>AG130-AF130</f>
        <v>0</v>
      </c>
      <c r="AI130" s="1903"/>
      <c r="AJ130" s="614"/>
      <c r="AK130" s="614"/>
      <c r="AL130" s="307">
        <f>IF(AI130=0,0,(AK130-AI130)/AI130*100)</f>
        <v>0</v>
      </c>
      <c r="AM130" s="1730"/>
      <c r="AN130" s="1730"/>
      <c r="AO130" s="1730"/>
      <c r="AP130" s="227"/>
      <c r="AQ130" s="227"/>
      <c r="AR130" s="1230" t="s">
        <v>1901</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M10558::ТЭ.42.26824396.0004::Неопределено::110.0.21.::Неопределено::Неопределено::Неопределено::Неопределено::Неопределено</v>
      </c>
    </row>
    <row s="1619" customFormat="1" customHeight="1" ht="16.5">
      <c r="A131" s="1183"/>
      <c r="B131" s="924"/>
      <c r="C131" s="1298" t="s">
        <v>1798</v>
      </c>
      <c r="D131" s="1257" t="s">
        <v>1799</v>
      </c>
      <c r="E131" s="794">
        <v>17.1</v>
      </c>
      <c r="F131" s="919" cm="1" t="str">
        <f t="array" ref="F131:F131">OFFSET(G131,-1,-1)</f>
        <v>1</v>
      </c>
      <c r="G131" s="227"/>
      <c r="H131" s="227"/>
      <c r="I131" s="227"/>
      <c r="J131" s="227"/>
      <c r="K131" s="227"/>
      <c r="L131" s="1286"/>
      <c r="M131" s="1284" cm="1" t="str">
        <f t="array" ref="M131:M131">OFFSET(L131,-1,1)</f>
        <v>ТЭ.42.26824396.0004</v>
      </c>
      <c r="N131" s="1286" t="s">
        <v>1902</v>
      </c>
      <c r="O131" s="1286"/>
      <c r="P131" s="1286"/>
      <c r="Q131" s="1286"/>
      <c r="R131" s="1286"/>
      <c r="S131" s="1286"/>
      <c r="T131" s="805" cm="1" t="str">
        <f t="array" ref="T131:T131">T130</f>
        <v>true</v>
      </c>
      <c r="U131" s="1461"/>
      <c r="V131" s="1461"/>
      <c r="W131" s="1461"/>
      <c r="X131" s="1461"/>
      <c r="Y131" s="1461"/>
      <c r="Z131" s="1461"/>
      <c r="AA131" s="227"/>
      <c r="AB131" s="856" t="s">
        <v>713</v>
      </c>
      <c r="AC131" s="998" t="s">
        <v>1903</v>
      </c>
      <c r="AD131" s="856" t="s">
        <v>1019</v>
      </c>
      <c r="AE131" s="1903"/>
      <c r="AF131" s="1903"/>
      <c r="AG131" s="1903"/>
      <c r="AH131" s="307">
        <f>AG131-AF131</f>
        <v>0</v>
      </c>
      <c r="AI131" s="1903"/>
      <c r="AJ131" s="614"/>
      <c r="AK131" s="614"/>
      <c r="AL131" s="307">
        <f>IF(AI131=0,0,(AK131-AI131)/AI131*100)</f>
        <v>0</v>
      </c>
      <c r="AM131" s="1730"/>
      <c r="AN131" s="1730"/>
      <c r="AO131" s="1730"/>
      <c r="AP131" s="227"/>
      <c r="AQ131" s="227"/>
      <c r="AR131" s="1230" t="s">
        <v>1904</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M10558::ТЭ.42.26824396.0004::Неопределено::110.0.42.::Неопределено::Неопределено::Неопределено::Неопределено::Неопределено</v>
      </c>
    </row>
    <row s="1619" customFormat="1" customHeight="1" ht="16.5">
      <c r="A132" s="1183"/>
      <c r="B132" s="924"/>
      <c r="C132" s="1298" t="s">
        <v>1798</v>
      </c>
      <c r="D132" s="1257" t="s">
        <v>1799</v>
      </c>
      <c r="E132" s="794">
        <v>17.1</v>
      </c>
      <c r="F132" s="919" cm="1" t="str">
        <f t="array" ref="F132:F132">OFFSET(G132,-1,-1)</f>
        <v>1</v>
      </c>
      <c r="G132" s="227"/>
      <c r="H132" s="227"/>
      <c r="I132" s="227"/>
      <c r="J132" s="227"/>
      <c r="K132" s="227"/>
      <c r="L132" s="1286"/>
      <c r="M132" s="1284" cm="1" t="str">
        <f t="array" ref="M132:M132">OFFSET(L132,-1,1)</f>
        <v>ТЭ.42.26824396.0004</v>
      </c>
      <c r="N132" s="1286"/>
      <c r="O132" s="1286"/>
      <c r="P132" s="1286"/>
      <c r="Q132" s="1286" t="s">
        <v>1905</v>
      </c>
      <c r="R132" s="1286"/>
      <c r="S132" s="1286"/>
      <c r="T132" s="805" cm="1" t="str">
        <f t="array" ref="T132:T132">T131</f>
        <v>true</v>
      </c>
      <c r="U132" s="1461"/>
      <c r="V132" s="1461"/>
      <c r="W132" s="1461"/>
      <c r="X132" s="1461"/>
      <c r="Y132" s="1461"/>
      <c r="Z132" s="1461"/>
      <c r="AA132" s="227"/>
      <c r="AB132" s="856" t="s">
        <v>1906</v>
      </c>
      <c r="AC132" s="998" t="s">
        <v>1907</v>
      </c>
      <c r="AD132" s="856" t="s">
        <v>1019</v>
      </c>
      <c r="AE132" s="1903"/>
      <c r="AF132" s="1903"/>
      <c r="AG132" s="1903"/>
      <c r="AH132" s="307">
        <f>AG132-AF132</f>
        <v>0</v>
      </c>
      <c r="AI132" s="1903"/>
      <c r="AJ132" s="614"/>
      <c r="AK132" s="614"/>
      <c r="AL132" s="307">
        <f>IF(AI132=0,0,(AK132-AI132)/AI132*100)</f>
        <v>0</v>
      </c>
      <c r="AM132" s="1730"/>
      <c r="AN132" s="1730"/>
      <c r="AO132" s="1730"/>
      <c r="AP132" s="227"/>
      <c r="AQ132" s="227"/>
      <c r="AR132" s="1230" t="s">
        <v>1908</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M10558::ТЭ.42.26824396.0004::Неопределено::Неопределено::Неопределено::Неопределено::2.0.48.::Неопределено::Неопределено</v>
      </c>
    </row>
    <row s="1619" customFormat="1" customHeight="1" ht="16.5">
      <c r="A133" s="1183"/>
      <c r="B133" s="924"/>
      <c r="C133" s="1298" t="s">
        <v>1798</v>
      </c>
      <c r="D133" s="1257" t="s">
        <v>1799</v>
      </c>
      <c r="E133" s="794">
        <v>17.1</v>
      </c>
      <c r="F133" s="919" cm="1" t="str">
        <f t="array" ref="F133:F133">OFFSET(G133,-1,-1)</f>
        <v>1</v>
      </c>
      <c r="G133" s="227"/>
      <c r="H133" s="227"/>
      <c r="I133" s="227"/>
      <c r="J133" s="227"/>
      <c r="K133" s="227"/>
      <c r="L133" s="1286" t="s">
        <v>1858</v>
      </c>
      <c r="M133" s="1284" cm="1" t="str">
        <f t="array" ref="M133:M133">OFFSET(L133,-1,1)</f>
        <v>ТЭ.42.26824396.0004</v>
      </c>
      <c r="N133" s="1286" t="s">
        <v>1885</v>
      </c>
      <c r="O133" s="1286"/>
      <c r="P133" s="1286"/>
      <c r="Q133" s="1286"/>
      <c r="R133" s="1286"/>
      <c r="S133" s="1286"/>
      <c r="T133" s="805" cm="1" t="str">
        <f t="array" ref="T133:T133">T132</f>
        <v>true</v>
      </c>
      <c r="U133" s="1461"/>
      <c r="V133" s="1461"/>
      <c r="W133" s="1461"/>
      <c r="X133" s="1461"/>
      <c r="Y133" s="1461"/>
      <c r="Z133" s="1461"/>
      <c r="AA133" s="227"/>
      <c r="AB133" s="856" t="s">
        <v>1909</v>
      </c>
      <c r="AC133" s="998" t="s">
        <v>1267</v>
      </c>
      <c r="AD133" s="856" t="s">
        <v>1019</v>
      </c>
      <c r="AE133" s="1903"/>
      <c r="AF133" s="1903"/>
      <c r="AG133" s="1903"/>
      <c r="AH133" s="307">
        <f>AG133-AF133</f>
        <v>0</v>
      </c>
      <c r="AI133" s="1903"/>
      <c r="AJ133" s="614"/>
      <c r="AK133" s="614"/>
      <c r="AL133" s="307">
        <f>IF(AI133=0,0,(AK133-AI133)/AI133*100)</f>
        <v>0</v>
      </c>
      <c r="AM133" s="1730"/>
      <c r="AN133" s="1730"/>
      <c r="AO133" s="1730"/>
      <c r="AP133" s="227"/>
      <c r="AQ133" s="227"/>
      <c r="AR133" s="1230" t="s">
        <v>1910</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M10558::ТЭ.42.26824396.0004::1.0.49.::110.0.32.::Неопределено::Неопределено::Неопределено::Неопределено::Неопределено</v>
      </c>
    </row>
    <row s="1619" customFormat="1" customHeight="1" ht="16.5">
      <c r="A134" s="1183"/>
      <c r="B134" s="924"/>
      <c r="C134" s="1298" t="s">
        <v>1798</v>
      </c>
      <c r="D134" s="1257" t="s">
        <v>1799</v>
      </c>
      <c r="E134" s="794">
        <v>17.1</v>
      </c>
      <c r="F134" s="919" cm="1" t="str">
        <f t="array" ref="F134:F134">OFFSET(G134,-1,-1)</f>
        <v>1</v>
      </c>
      <c r="G134" s="736" t="s">
        <v>1261</v>
      </c>
      <c r="H134" s="227"/>
      <c r="I134" s="227"/>
      <c r="J134" s="227"/>
      <c r="K134" s="227"/>
      <c r="L134" s="1286" t="s">
        <v>1911</v>
      </c>
      <c r="M134" s="1284" cm="1" t="str">
        <f t="array" ref="M134:M134">OFFSET(L134,-1,1)</f>
        <v>ТЭ.42.26824396.0004</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1376</v>
      </c>
      <c r="AD134" s="883" t="s">
        <v>1019</v>
      </c>
      <c r="AE134" s="612">
        <f>_xlfn.SUMIFS(Налоги!AE$26:AE$69,Налоги!$F$26:$F$69,$F134,Налоги!$G$26:$G$69,$G134)</f>
        <v>0</v>
      </c>
      <c r="AF134" s="612">
        <f>_xlfn.SUMIFS(Налоги!AF$26:AF$69,Налоги!$F$26:$F$69,$F134,Налоги!$G$26:$G$69,$G134)</f>
        <v>0</v>
      </c>
      <c r="AG134" s="612">
        <f>_xlfn.SUMIFS(Налоги!AG$26:AG$69,Налоги!$F$26:$F$69,$F134,Налоги!$G$26:$G$69,$G134)</f>
        <v>0</v>
      </c>
      <c r="AH134" s="307">
        <f>AG134-AF134</f>
        <v>0</v>
      </c>
      <c r="AI134" s="612">
        <f>_xlfn.SUMIFS(Налоги!AH$26:AH$69,Налоги!$F$26:$F$69,$F134,Налоги!$G$26:$G$69,$G134)</f>
        <v>0</v>
      </c>
      <c r="AJ134" s="612">
        <f>_xlfn.SUMIFS(Налоги!AI$26:AI$69,Налоги!$F$26:$F$69,$F134,Налоги!$G$26:$G$69,$G134)</f>
        <v>0</v>
      </c>
      <c r="AK134" s="612">
        <f>_xlfn.SUMIFS(Налоги!AS$26:AS$69,Налоги!$F$26:$F$69,$F134,Налоги!$G$26:$G$69,$G134)</f>
        <v>0</v>
      </c>
      <c r="AL134" s="307">
        <f>IF(AI134=0,0,(AK134-AI134)/AI134*100)</f>
        <v>0</v>
      </c>
      <c r="AM134" s="1730"/>
      <c r="AN134" s="1730"/>
      <c r="AO134" s="1730"/>
      <c r="AP134" s="227"/>
      <c r="AQ134" s="227"/>
      <c r="AR134" s="1230" t="s">
        <v>571</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M10558::ТЭ.42.26824396.0004::1.0.91.::Неопределено::Неопределено::Неопределено::Неопределено::Неопределено::Неопределено</v>
      </c>
    </row>
    <row s="1619" customFormat="1" customHeight="1" ht="33.75">
      <c r="A135" s="1183"/>
      <c r="B135" s="924"/>
      <c r="C135" s="1298" t="s">
        <v>1665</v>
      </c>
      <c r="D135" s="1257" t="s">
        <v>1666</v>
      </c>
      <c r="E135" s="794">
        <v>35</v>
      </c>
      <c r="F135" s="919" cm="1" t="str">
        <f t="array" ref="F135:F135">OFFSET(G135,-1,-1)</f>
        <v>1</v>
      </c>
      <c r="G135" s="227"/>
      <c r="H135" s="227"/>
      <c r="I135" s="227"/>
      <c r="J135" s="227"/>
      <c r="K135" s="227"/>
      <c r="L135" s="1286"/>
      <c r="M135" s="1284" cm="1" t="str">
        <f t="array" ref="M135:M135">OFFSET(L135,-1,1)</f>
        <v>ТЭ.42.26824396.0004</v>
      </c>
      <c r="N135" s="1286" t="s">
        <v>1912</v>
      </c>
      <c r="O135" s="1286"/>
      <c r="P135" s="1286"/>
      <c r="Q135" s="1286"/>
      <c r="R135" s="1286"/>
      <c r="S135" s="1286"/>
      <c r="T135" s="805" cm="1" t="str">
        <f t="array" ref="T135:T135">T134</f>
        <v>true</v>
      </c>
      <c r="U135" s="1461"/>
      <c r="V135" s="1461"/>
      <c r="W135" s="1461"/>
      <c r="X135" s="1461"/>
      <c r="Y135" s="1461"/>
      <c r="Z135" s="1461"/>
      <c r="AA135" s="227"/>
      <c r="AB135" s="883">
        <v>5</v>
      </c>
      <c r="AC135" s="1007" t="s">
        <v>1913</v>
      </c>
      <c r="AD135" s="883" t="s">
        <v>1019</v>
      </c>
      <c r="AE135" s="1903"/>
      <c r="AF135" s="1903"/>
      <c r="AG135" s="1903"/>
      <c r="AH135" s="307">
        <f>AG135-AF135</f>
        <v>0</v>
      </c>
      <c r="AI135" s="1903"/>
      <c r="AJ135" s="614"/>
      <c r="AK135" s="614"/>
      <c r="AL135" s="307">
        <f>IF(AI135=0,0,(AK135-AI135)/AI135*100)</f>
        <v>0</v>
      </c>
      <c r="AM135" s="1730"/>
      <c r="AN135" s="1730"/>
      <c r="AO135" s="1730"/>
      <c r="AP135" s="227"/>
      <c r="AQ135" s="227"/>
      <c r="AR135" s="1230" t="s">
        <v>1507</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M11281::ТЭ.42.26824396.0004::Неопределено::110.0.5.::Неопределено::Неопределено::Неопределено::Неопределено::Неопределено</v>
      </c>
    </row>
    <row s="1619" customFormat="1" customHeight="1" ht="16.5">
      <c r="A136" s="1183"/>
      <c r="B136" s="924"/>
      <c r="C136" s="1298" t="s">
        <v>1798</v>
      </c>
      <c r="D136" s="1257" t="s">
        <v>1799</v>
      </c>
      <c r="E136" s="794">
        <v>17.1</v>
      </c>
      <c r="F136" s="919" cm="1" t="str">
        <f t="array" ref="F136:F136">OFFSET(G136,-1,-1)</f>
        <v>1</v>
      </c>
      <c r="G136" s="227"/>
      <c r="H136" s="227"/>
      <c r="I136" s="227"/>
      <c r="J136" s="227"/>
      <c r="K136" s="227"/>
      <c r="L136" s="1286"/>
      <c r="M136" s="1284" cm="1" t="str">
        <f t="array" ref="M136:M136">OFFSET(L136,-1,1)</f>
        <v>ТЭ.42.26824396.0004</v>
      </c>
      <c r="N136" s="1286" t="s">
        <v>1914</v>
      </c>
      <c r="O136" s="1286"/>
      <c r="P136" s="1286"/>
      <c r="Q136" s="1286"/>
      <c r="R136" s="1286"/>
      <c r="S136" s="1286"/>
      <c r="T136" s="805" cm="1" t="str">
        <f t="array" ref="T136:T136">T135</f>
        <v>true</v>
      </c>
      <c r="U136" s="1461"/>
      <c r="V136" s="1461"/>
      <c r="W136" s="1461"/>
      <c r="X136" s="1461"/>
      <c r="Y136" s="1461"/>
      <c r="Z136" s="1461"/>
      <c r="AA136" s="227"/>
      <c r="AB136" s="883">
        <v>6</v>
      </c>
      <c r="AC136" s="1007" t="s">
        <v>1915</v>
      </c>
      <c r="AD136" s="883" t="s">
        <v>1019</v>
      </c>
      <c r="AE136" s="1903"/>
      <c r="AF136" s="1903"/>
      <c r="AG136" s="1903"/>
      <c r="AH136" s="307">
        <f>AG136-AF136</f>
        <v>0</v>
      </c>
      <c r="AI136" s="1903"/>
      <c r="AJ136" s="614"/>
      <c r="AK136" s="614"/>
      <c r="AL136" s="307">
        <f>IF(AI136=0,0,(AK136-AI136)/AI136*100)</f>
        <v>0</v>
      </c>
      <c r="AM136" s="1730"/>
      <c r="AN136" s="1730"/>
      <c r="AO136" s="1730"/>
      <c r="AP136" s="227"/>
      <c r="AQ136" s="227"/>
      <c r="AR136" s="1230" t="s">
        <v>1378</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M10558::ТЭ.42.26824396.0004::Неопределено::110.0.22.::Неопределено::Неопределено::Неопределено::Неопределено::Неопределено</v>
      </c>
    </row>
    <row s="1619" customFormat="1" customHeight="1" ht="16.5">
      <c r="A137" s="1183"/>
      <c r="B137" s="924"/>
      <c r="C137" s="1298" t="s">
        <v>1693</v>
      </c>
      <c r="D137" s="1257" t="s">
        <v>1694</v>
      </c>
      <c r="E137" s="794">
        <v>17.1</v>
      </c>
      <c r="F137" s="919" cm="1" t="str">
        <f t="array" ref="F137:F137">OFFSET(G137,-1,-1)</f>
        <v>1</v>
      </c>
      <c r="G137" s="227"/>
      <c r="H137" s="227"/>
      <c r="I137" s="227"/>
      <c r="J137" s="227"/>
      <c r="K137" s="227"/>
      <c r="L137" s="1286"/>
      <c r="M137" s="1284" cm="1" t="str">
        <f t="array" ref="M137:M137">OFFSET(L137,-1,1)</f>
        <v>ТЭ.42.26824396.0004</v>
      </c>
      <c r="N137" s="1286"/>
      <c r="O137" s="1286"/>
      <c r="P137" s="1286"/>
      <c r="Q137" s="1286"/>
      <c r="R137" s="1286"/>
      <c r="S137" s="1286"/>
      <c r="T137" s="805" cm="1" t="str">
        <f t="array" ref="T137:T137">T136</f>
        <v>true</v>
      </c>
      <c r="U137" s="1461"/>
      <c r="V137" s="1461"/>
      <c r="W137" s="1461"/>
      <c r="X137" s="1461"/>
      <c r="Y137" s="1461"/>
      <c r="Z137" s="1461"/>
      <c r="AA137" s="227"/>
      <c r="AB137" s="1008" t="s">
        <v>651</v>
      </c>
      <c r="AC137" s="1009" t="s">
        <v>1696</v>
      </c>
      <c r="AD137" s="1010" t="s">
        <v>1019</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10891.9999135</v>
      </c>
      <c r="AK137" s="612">
        <f>AK95+AK122+AK129+AK134+AK135+AK136</f>
        <v>9520.0451614893</v>
      </c>
      <c r="AL137" s="307">
        <f>IF(AI137=0,0,(AK137-AI137)/AI137*100)</f>
        <v>0</v>
      </c>
      <c r="AM137" s="1730"/>
      <c r="AN137" s="1730"/>
      <c r="AO137" s="1730"/>
      <c r="AP137" s="227"/>
      <c r="AQ137" s="227"/>
      <c r="AR137" s="1230" t="s">
        <v>1916</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M10655::ТЭ.42.26824396.0004::Неопределено::Неопределено::Неопределено::Неопределено::Неопределено::Неопределено::Неопределено</v>
      </c>
    </row>
    <row s="1619" customFormat="1" customHeight="1" ht="48.75">
      <c r="A138" s="1183"/>
      <c r="B138" s="924"/>
      <c r="C138" s="1298" t="s">
        <v>1698</v>
      </c>
      <c r="D138" s="1257" t="s">
        <v>1699</v>
      </c>
      <c r="E138" s="794">
        <v>50</v>
      </c>
      <c r="F138" s="919" cm="1" t="str">
        <f t="array" ref="F138:F138">OFFSET(G138,-1,-1)</f>
        <v>1</v>
      </c>
      <c r="G138" s="227"/>
      <c r="H138" s="227"/>
      <c r="I138" s="227"/>
      <c r="J138" s="227"/>
      <c r="K138" s="227"/>
      <c r="L138" s="1286"/>
      <c r="M138" s="1284" cm="1" t="str">
        <f t="array" ref="M138:M138">OFFSET(L138,-1,1)</f>
        <v>ТЭ.42.26824396.0004</v>
      </c>
      <c r="N138" s="1286"/>
      <c r="O138" s="1286"/>
      <c r="P138" s="1286"/>
      <c r="Q138" s="1286"/>
      <c r="R138" s="1286"/>
      <c r="S138" s="1286"/>
      <c r="T138" s="805" cm="1" t="str">
        <f t="array" ref="T138:T138">T137</f>
        <v>true</v>
      </c>
      <c r="U138" s="1461"/>
      <c r="V138" s="1461"/>
      <c r="W138" s="1461"/>
      <c r="X138" s="1461"/>
      <c r="Y138" s="1461"/>
      <c r="Z138" s="1461"/>
      <c r="AA138" s="227"/>
      <c r="AB138" s="1011" t="s">
        <v>656</v>
      </c>
      <c r="AC138" s="1083" t="s">
        <v>1698</v>
      </c>
      <c r="AD138" s="856" t="s">
        <v>1019</v>
      </c>
      <c r="AE138" s="1903"/>
      <c r="AF138" s="1903"/>
      <c r="AG138" s="1903"/>
      <c r="AH138" s="307">
        <f>AG138-AF138</f>
        <v>0</v>
      </c>
      <c r="AI138" s="1903"/>
      <c r="AJ138" s="614"/>
      <c r="AK138" s="614"/>
      <c r="AL138" s="307">
        <f>IF(AI138=0,0,(AK138-AI138)/AI138*100)</f>
        <v>0</v>
      </c>
      <c r="AM138" s="1730"/>
      <c r="AN138" s="1730"/>
      <c r="AO138" s="1730"/>
      <c r="AP138" s="227"/>
      <c r="AQ138" s="227"/>
      <c r="AR138" s="1230" t="s">
        <v>1917</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M11579::ТЭ.42.26824396.0004::Неопределено::Неопределено::Неопределено::Неопределено::Неопределено::Неопределено::Неопределено</v>
      </c>
    </row>
    <row s="1619" customFormat="1" customHeight="1" ht="16.5">
      <c r="A139" s="1183"/>
      <c r="B139" s="924"/>
      <c r="C139" s="1298" t="s">
        <v>1702</v>
      </c>
      <c r="D139" s="1257" t="s">
        <v>1703</v>
      </c>
      <c r="E139" s="794">
        <v>17.1</v>
      </c>
      <c r="F139" s="919" cm="1" t="str">
        <f t="array" ref="F139:F139">OFFSET(G139,-1,-1)</f>
        <v>1</v>
      </c>
      <c r="G139" s="227"/>
      <c r="H139" s="227"/>
      <c r="I139" s="227"/>
      <c r="J139" s="227"/>
      <c r="K139" s="227"/>
      <c r="L139" s="1286"/>
      <c r="M139" s="1284" cm="1" t="str">
        <f t="array" ref="M139:M139">OFFSET(L139,-1,1)</f>
        <v>ТЭ.42.26824396.0004</v>
      </c>
      <c r="N139" s="1286"/>
      <c r="O139" s="1286"/>
      <c r="P139" s="1286"/>
      <c r="Q139" s="1286"/>
      <c r="R139" s="1286"/>
      <c r="S139" s="1286"/>
      <c r="T139" s="805" cm="1" t="str">
        <f t="array" ref="T139:T139">T138</f>
        <v>true</v>
      </c>
      <c r="U139" s="1461"/>
      <c r="V139" s="1461"/>
      <c r="W139" s="1461"/>
      <c r="X139" s="1461"/>
      <c r="Y139" s="1461"/>
      <c r="Z139" s="1461"/>
      <c r="AA139" s="227"/>
      <c r="AB139" s="646" t="s">
        <v>664</v>
      </c>
      <c r="AC139" s="1070" t="s">
        <v>1706</v>
      </c>
      <c r="AD139" s="1012" t="s">
        <v>1019</v>
      </c>
      <c r="AE139" s="612">
        <f>AE137+AE138</f>
        <v>0</v>
      </c>
      <c r="AF139" s="612">
        <f>AF137+AF138</f>
        <v>0</v>
      </c>
      <c r="AG139" s="612">
        <f>AG137+AG138</f>
        <v>0</v>
      </c>
      <c r="AH139" s="307">
        <f>AG139-AF139</f>
        <v>0</v>
      </c>
      <c r="AI139" s="612">
        <f>AI137+AI138</f>
        <v>0</v>
      </c>
      <c r="AJ139" s="612">
        <f>AJ137+AJ138</f>
        <v>10891.9999135</v>
      </c>
      <c r="AK139" s="612">
        <f>AK137+AK138</f>
        <v>9520.0451614893</v>
      </c>
      <c r="AL139" s="307">
        <f>IF(AI139=0,0,(AK139-AI139)/AI139*100)</f>
        <v>0</v>
      </c>
      <c r="AM139" s="1730"/>
      <c r="AN139" s="1730"/>
      <c r="AO139" s="1730"/>
      <c r="AP139" s="227"/>
      <c r="AQ139" s="227"/>
      <c r="AR139" s="1230" t="s">
        <v>1918</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M11580::ТЭ.42.26824396.0004::Неопределено::Неопределено::Неопределено::Неопределено::Неопределено::Неопределено::Неопределено</v>
      </c>
    </row>
    <row s="1619" customFormat="1" customHeight="1" ht="16.5" hidden="1">
      <c r="A140" s="1183"/>
      <c r="B140" s="924"/>
      <c r="C140" s="1298" t="s">
        <v>1708</v>
      </c>
      <c r="D140" s="1257" t="s">
        <v>1709</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ТЭ.42.26824396.0004</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1711</v>
      </c>
      <c r="AD140" s="309" t="s">
        <v>805</v>
      </c>
      <c r="AE140" s="121"/>
      <c r="AF140" s="121"/>
      <c r="AG140" s="121"/>
      <c r="AH140" s="307">
        <f>AG140-AF140</f>
        <v>0</v>
      </c>
      <c r="AI140" s="121"/>
      <c r="AJ140" s="614"/>
      <c r="AK140" s="614"/>
      <c r="AL140" s="307">
        <f>IF(AI140=0,0,(AK140-AI140)/AI140*100)</f>
        <v>0</v>
      </c>
      <c r="AM140" s="73"/>
      <c r="AN140" s="73"/>
      <c r="AO140" s="73"/>
      <c r="AP140" s="227"/>
      <c r="AQ140" s="227"/>
      <c r="AR140" s="1230" t="s">
        <v>1919</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M11581::ТЭ.42.26824396.0004::Неопределено::Неопределено::Неопределено::Неопределено::Неопределено::Неопределено::Неопределено</v>
      </c>
    </row>
    <row s="1619" customFormat="1" customHeight="1" ht="16.5" hidden="1">
      <c r="A141" s="1183"/>
      <c r="B141" s="924"/>
      <c r="C141" s="1298" t="s">
        <v>1713</v>
      </c>
      <c r="D141" s="1257" t="s">
        <v>1714</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ТЭ.42.26824396.0004</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1713</v>
      </c>
      <c r="AD141" s="309" t="s">
        <v>805</v>
      </c>
      <c r="AE141" s="612">
        <f>AE139-AE140</f>
        <v>0</v>
      </c>
      <c r="AF141" s="612">
        <f>AF139-AF140</f>
        <v>0</v>
      </c>
      <c r="AG141" s="612">
        <f>AG139-AG140</f>
        <v>0</v>
      </c>
      <c r="AH141" s="307">
        <f>AG141-AF141</f>
        <v>0</v>
      </c>
      <c r="AI141" s="612">
        <f>AI139-AI140</f>
        <v>0</v>
      </c>
      <c r="AJ141" s="612">
        <f>AJ139-AJ140</f>
        <v>10891.9999135</v>
      </c>
      <c r="AK141" s="612">
        <f>AK139-AK140</f>
        <v>9520.0451614893</v>
      </c>
      <c r="AL141" s="307">
        <f>IF(AI141=0,0,(AK141-AI141)/AI141*100)</f>
        <v>0</v>
      </c>
      <c r="AM141" s="73"/>
      <c r="AN141" s="73"/>
      <c r="AO141" s="73"/>
      <c r="AP141" s="227"/>
      <c r="AQ141" s="227"/>
      <c r="AR141" s="1230" t="s">
        <v>1920</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M11582::ТЭ.42.26824396.0004::Неопределено::Неопределено::Неопределено::Неопределено::Неопределено::Неопределено::Неопределено</v>
      </c>
    </row>
    <row s="1619" customFormat="1" customHeight="1" ht="16.5">
      <c r="A142" s="1183"/>
      <c r="B142" s="924"/>
      <c r="C142" s="1298" t="s">
        <v>1716</v>
      </c>
      <c r="D142" s="1257" t="s">
        <v>1717</v>
      </c>
      <c r="E142" s="794">
        <v>17.1</v>
      </c>
      <c r="F142" s="919" cm="1" t="str">
        <f t="array" ref="F142:F142">OFFSET(G142,-1,-1)</f>
        <v>1</v>
      </c>
      <c r="G142" s="227"/>
      <c r="H142" s="227"/>
      <c r="I142" s="227"/>
      <c r="J142" s="227"/>
      <c r="K142" s="227"/>
      <c r="L142" s="1286"/>
      <c r="M142" s="1284" cm="1" t="str">
        <f t="array" ref="M142:M142">OFFSET(L142,-1,1)</f>
        <v>ТЭ.42.26824396.0004</v>
      </c>
      <c r="N142" s="1286"/>
      <c r="O142" s="1286"/>
      <c r="P142" s="1286"/>
      <c r="Q142" s="1286"/>
      <c r="R142" s="1286"/>
      <c r="S142" s="1286"/>
      <c r="T142" s="805" cm="1" t="str">
        <f t="array" ref="T142:T142">T139</f>
        <v>true</v>
      </c>
      <c r="U142" s="1461"/>
      <c r="V142" s="1461"/>
      <c r="W142" s="1461"/>
      <c r="X142" s="1461"/>
      <c r="Y142" s="1461"/>
      <c r="Z142" s="1461"/>
      <c r="AA142" s="227"/>
      <c r="AB142" s="314" t="s">
        <v>688</v>
      </c>
      <c r="AC142" s="310" t="s">
        <v>1719</v>
      </c>
      <c r="AD142" s="315" t="s">
        <v>591</v>
      </c>
      <c r="AE142" s="307">
        <f>IF($K94="передача тепловой энергии",_xlfn.SUMIFS('Баланс Тр'!AE$27:AE$50,'Баланс Тр'!$F$27:$F$50,$F142,'Баланс Тр'!$AB$27:$AB$50,"3"),_xlfn.SUMIFS('Баланс Пр'!AE$27:AE$233,'Баланс Пр'!$F$27:$F$233,$F142,'Баланс Пр'!$AB$27:$AB$233,"9.1"))</f>
        <v>0</v>
      </c>
      <c r="AF142" s="613"/>
      <c r="AG142" s="613"/>
      <c r="AH142" s="374"/>
      <c r="AI142" s="307">
        <f>IF($K94="передача тепловой энергии",_xlfn.SUMIFS('Баланс Тр'!AH$27:AH$50,'Баланс Тр'!$F$27:$F$50,$F142,'Баланс Тр'!$AB$27:$AB$50,"3"),_xlfn.SUMIFS('Баланс Пр'!AH$27:AH$233,'Баланс Пр'!$F$27:$F$233,$F142,'Баланс Пр'!$AB$27:$AB$233,"9.1"))</f>
        <v>0</v>
      </c>
      <c r="AJ142" s="307">
        <f>IF($K94="передача тепловой энергии",_xlfn.SUMIFS('Баланс Тр'!AI$27:AI$50,'Баланс Тр'!$F$27:$F$50,$F142,'Баланс Тр'!$AB$27:$AB$50,"3"),_xlfn.SUMIFS('Баланс Пр'!AI$27:AI$233,'Баланс Пр'!$F$27:$F$233,$F142,'Баланс Пр'!$AB$27:$AB$233,"9.1"))</f>
        <v>1370</v>
      </c>
      <c r="AK142" s="307">
        <f>IF($K94="передача тепловой энергии",_xlfn.SUMIFS('Баланс Тр'!AS$27:AS$50,'Баланс Тр'!$F$27:$F$50,$F142,'Баланс Тр'!$AB$27:$AB$50,"3"),_xlfn.SUMIFS('Баланс Пр'!AS$27:AS$233,'Баланс Пр'!$F$27:$F$233,$F142,'Баланс Пр'!$AB$27:$AB$233,"9.1"))</f>
        <v>1370</v>
      </c>
      <c r="AL142" s="307">
        <f>IF(AI142=0,0,(AK142-AI142)/AI142*100)</f>
        <v>0</v>
      </c>
      <c r="AM142" s="1730"/>
      <c r="AN142" s="1730"/>
      <c r="AO142" s="1730"/>
      <c r="AP142" s="227"/>
      <c r="AQ142" s="227"/>
      <c r="AR142" s="1230" t="s">
        <v>1720</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M10502::ТЭ.42.26824396.0004::Неопределено::Неопределено::Неопределено::Неопределено::Неопределено::Неопределено::Неопределено</v>
      </c>
    </row>
    <row s="1947" customFormat="1" customHeight="1" ht="16.5">
      <c r="A143" s="232"/>
      <c r="B143" s="232"/>
      <c r="C143" s="1298" t="s">
        <v>1721</v>
      </c>
      <c r="D143" s="1257" t="s">
        <v>1722</v>
      </c>
      <c r="E143" s="794">
        <v>17.1</v>
      </c>
      <c r="F143" s="919" cm="1" t="str">
        <f t="array" ref="F143:F143">OFFSET(G143,-1,-1)</f>
        <v>1</v>
      </c>
      <c r="G143" s="190" t="s">
        <v>1723</v>
      </c>
      <c r="H143" s="232"/>
      <c r="I143" s="232"/>
      <c r="J143" s="232"/>
      <c r="K143" s="232"/>
      <c r="L143" s="1294"/>
      <c r="M143" s="1284" cm="1" t="str">
        <f t="array" ref="M143:M143">OFFSET(L143,-1,1)</f>
        <v>ТЭ.42.26824396.0004</v>
      </c>
      <c r="N143" s="1294"/>
      <c r="O143" s="1294"/>
      <c r="P143" s="1294"/>
      <c r="Q143" s="1286"/>
      <c r="R143" s="1286"/>
      <c r="S143" s="1286" t="s">
        <v>1724</v>
      </c>
      <c r="T143" s="805" cm="1" t="str">
        <f t="array" ref="T143:T143">T142</f>
        <v>true</v>
      </c>
      <c r="U143" s="232"/>
      <c r="V143" s="232"/>
      <c r="W143" s="232"/>
      <c r="X143" s="232"/>
      <c r="Y143" s="232"/>
      <c r="Z143" s="232"/>
      <c r="AA143" s="232"/>
      <c r="AB143" s="660" t="str">
        <f>AB142&amp;".1"</f>
        <v>10.1</v>
      </c>
      <c r="AC143" s="286" t="s">
        <v>1725</v>
      </c>
      <c r="AD143" s="309" t="s">
        <v>591</v>
      </c>
      <c r="AE143" s="1903"/>
      <c r="AF143" s="613"/>
      <c r="AG143" s="613"/>
      <c r="AH143" s="374"/>
      <c r="AI143" s="1903"/>
      <c r="AJ143" s="614"/>
      <c r="AK143" s="614"/>
      <c r="AL143" s="307">
        <f>IF(AI143=0,0,(AK143-AI143)/AI143*100)</f>
        <v>0</v>
      </c>
      <c r="AM143" s="1730"/>
      <c r="AN143" s="1730"/>
      <c r="AO143" s="1730"/>
      <c r="AP143" s="232"/>
      <c r="AQ143" s="232"/>
      <c r="AR143" s="1230" t="s">
        <v>1726</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M10670::ТЭ.42.26824396.0004::Неопределено::Неопределено::Неопределено::Неопределено::Неопределено::Неопределено::8.0.3.</v>
      </c>
    </row>
    <row s="1948" customFormat="1" customHeight="1" ht="16.5">
      <c r="A144" s="232"/>
      <c r="B144" s="232"/>
      <c r="C144" s="1298" t="s">
        <v>1727</v>
      </c>
      <c r="D144" s="1257" t="s">
        <v>1728</v>
      </c>
      <c r="E144" s="794">
        <v>17.1</v>
      </c>
      <c r="F144" s="919" cm="1" t="str">
        <f t="array" ref="F144:F144">OFFSET(G144,-1,-1)</f>
        <v>1</v>
      </c>
      <c r="G144" s="736" t="s">
        <v>1729</v>
      </c>
      <c r="H144" s="232"/>
      <c r="I144" s="232"/>
      <c r="J144" s="232"/>
      <c r="K144" s="232"/>
      <c r="L144" s="1294"/>
      <c r="M144" s="1284" cm="1" t="str">
        <f t="array" ref="M144:M144">OFFSET(L144,-1,1)</f>
        <v>ТЭ.42.26824396.0004</v>
      </c>
      <c r="N144" s="1294"/>
      <c r="O144" s="1294"/>
      <c r="P144" s="1294"/>
      <c r="Q144" s="1286"/>
      <c r="R144" s="1286"/>
      <c r="S144" s="1286" t="s">
        <v>1724</v>
      </c>
      <c r="T144" s="805" cm="1" t="str">
        <f t="array" ref="T144:T144">T143</f>
        <v>true</v>
      </c>
      <c r="U144" s="232"/>
      <c r="V144" s="232"/>
      <c r="W144" s="232"/>
      <c r="X144" s="232"/>
      <c r="Y144" s="232"/>
      <c r="Z144" s="232"/>
      <c r="AA144" s="232"/>
      <c r="AB144" s="660" t="str">
        <f>AB142&amp;".2"</f>
        <v>10.2</v>
      </c>
      <c r="AC144" s="286" t="s">
        <v>1730</v>
      </c>
      <c r="AD144" s="309" t="s">
        <v>895</v>
      </c>
      <c r="AE144" s="1903"/>
      <c r="AF144" s="613"/>
      <c r="AG144" s="613"/>
      <c r="AH144" s="374"/>
      <c r="AI144" s="1903"/>
      <c r="AJ144" s="614"/>
      <c r="AK144" s="614"/>
      <c r="AL144" s="307">
        <f>IF(AI144=0,0,(AK144-AI144)/AI144*100)</f>
        <v>0</v>
      </c>
      <c r="AM144" s="1730"/>
      <c r="AN144" s="1730"/>
      <c r="AO144" s="1730"/>
      <c r="AP144" s="232"/>
      <c r="AQ144" s="232"/>
      <c r="AR144" s="1230" t="s">
        <v>1731</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M10546::ТЭ.42.26824396.0004::Неопределено::Неопределено::Неопределено::Неопределено::Неопределено::Неопределено::8.0.3.</v>
      </c>
    </row>
    <row s="1619" customFormat="1" customHeight="1" ht="16.5">
      <c r="A145" s="1183"/>
      <c r="B145" s="924"/>
      <c r="C145" s="1298" t="s">
        <v>1721</v>
      </c>
      <c r="D145" s="1257" t="s">
        <v>1722</v>
      </c>
      <c r="E145" s="794">
        <v>17.1</v>
      </c>
      <c r="F145" s="919" cm="1" t="str">
        <f t="array" ref="F145:F145">OFFSET(G145,-1,-1)</f>
        <v>1</v>
      </c>
      <c r="G145" s="190" t="s">
        <v>1732</v>
      </c>
      <c r="H145" s="227"/>
      <c r="I145" s="227"/>
      <c r="J145" s="227"/>
      <c r="K145" s="227"/>
      <c r="L145" s="1286"/>
      <c r="M145" s="1284" cm="1" t="str">
        <f t="array" ref="M145:M145">OFFSET(L145,-1,1)</f>
        <v>ТЭ.42.26824396.0004</v>
      </c>
      <c r="N145" s="1286"/>
      <c r="O145" s="1286"/>
      <c r="P145" s="1286"/>
      <c r="Q145" s="1286"/>
      <c r="R145" s="1286"/>
      <c r="S145" s="1286" t="s">
        <v>1733</v>
      </c>
      <c r="T145" s="805" cm="1" t="str">
        <f t="array" ref="T145:T145">T144</f>
        <v>true</v>
      </c>
      <c r="U145" s="1461"/>
      <c r="V145" s="1461"/>
      <c r="W145" s="1461"/>
      <c r="X145" s="1461"/>
      <c r="Y145" s="1461"/>
      <c r="Z145" s="1461"/>
      <c r="AA145" s="227"/>
      <c r="AB145" s="660" t="str">
        <f>AB142&amp;".3"</f>
        <v>10.3</v>
      </c>
      <c r="AC145" s="286" t="s">
        <v>1734</v>
      </c>
      <c r="AD145" s="309" t="s">
        <v>591</v>
      </c>
      <c r="AE145" s="1018">
        <f>AE142-AE143</f>
        <v>0</v>
      </c>
      <c r="AF145" s="613"/>
      <c r="AG145" s="613"/>
      <c r="AH145" s="374"/>
      <c r="AI145" s="1018">
        <f>AI142-AI143</f>
        <v>0</v>
      </c>
      <c r="AJ145" s="1018">
        <f>AJ142-AJ143</f>
        <v>1370</v>
      </c>
      <c r="AK145" s="1018">
        <f>AK142-AK143</f>
        <v>1370</v>
      </c>
      <c r="AL145" s="307">
        <f>IF(AI145=0,0,(AK145-AI145)/AI145*100)</f>
        <v>0</v>
      </c>
      <c r="AM145" s="1741"/>
      <c r="AN145" s="1741"/>
      <c r="AO145" s="1741"/>
      <c r="AP145" s="227"/>
      <c r="AQ145" s="227"/>
      <c r="AR145" s="1230" t="s">
        <v>1735</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M10670::ТЭ.42.26824396.0004::Неопределено::Неопределено::Неопределено::Неопределено::Неопределено::Неопределено::8.0.5.</v>
      </c>
    </row>
    <row s="1619" customFormat="1" customHeight="1" ht="16.5">
      <c r="A146" s="1183"/>
      <c r="B146" s="924"/>
      <c r="C146" s="1298" t="s">
        <v>1727</v>
      </c>
      <c r="D146" s="1257" t="s">
        <v>1728</v>
      </c>
      <c r="E146" s="794">
        <v>17.1</v>
      </c>
      <c r="F146" s="919" cm="1" t="str">
        <f t="array" ref="F146:F146">OFFSET(G146,-1,-1)</f>
        <v>1</v>
      </c>
      <c r="G146" s="736" t="s">
        <v>1736</v>
      </c>
      <c r="H146" s="227"/>
      <c r="I146" s="227"/>
      <c r="J146" s="227"/>
      <c r="K146" s="227"/>
      <c r="L146" s="1286"/>
      <c r="M146" s="1284" cm="1" t="str">
        <f t="array" ref="M146:M146">OFFSET(L146,-1,1)</f>
        <v>ТЭ.42.26824396.0004</v>
      </c>
      <c r="N146" s="1286"/>
      <c r="O146" s="1286"/>
      <c r="P146" s="1286"/>
      <c r="Q146" s="1286"/>
      <c r="R146" s="1286"/>
      <c r="S146" s="1286" t="s">
        <v>1733</v>
      </c>
      <c r="T146" s="805" cm="1" t="str">
        <f t="array" ref="T146:T146">T145</f>
        <v>true</v>
      </c>
      <c r="U146" s="1461"/>
      <c r="V146" s="1461"/>
      <c r="W146" s="1461"/>
      <c r="X146" s="1461"/>
      <c r="Y146" s="1461"/>
      <c r="Z146" s="1461"/>
      <c r="AA146" s="227"/>
      <c r="AB146" s="660" t="str">
        <f>AB142&amp;".4"</f>
        <v>10.4</v>
      </c>
      <c r="AC146" s="286" t="s">
        <v>1737</v>
      </c>
      <c r="AD146" s="309" t="s">
        <v>895</v>
      </c>
      <c r="AE146" s="1903">
        <f>_xlfn.IFERROR((AE139*1000-AE143*AE144)/AE145,0)</f>
        <v>0</v>
      </c>
      <c r="AF146" s="613"/>
      <c r="AG146" s="613"/>
      <c r="AH146" s="374"/>
      <c r="AI146" s="1903">
        <f>_xlfn.IFERROR((AI139*1000-AI143*AI144)/AI145,0)</f>
        <v>0</v>
      </c>
      <c r="AJ146" s="614">
        <f>_xlfn.IFERROR((AJ139*1000-AJ143*AJ144)/AJ145,0)</f>
        <v>7950.36490036496</v>
      </c>
      <c r="AK146" s="614">
        <f>_xlfn.IFERROR((AK139*1000-AK143*AK144)/AK145,0)</f>
        <v>6948.93807407978</v>
      </c>
      <c r="AL146" s="307">
        <f>IF(AI146=0,0,(AK146-AI146)/AI146*100)</f>
        <v>0</v>
      </c>
      <c r="AM146" s="1742"/>
      <c r="AN146" s="1742"/>
      <c r="AO146" s="1742"/>
      <c r="AP146" s="227"/>
      <c r="AQ146" s="227"/>
      <c r="AR146" s="1230" t="s">
        <v>1738</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M10546::ТЭ.42.26824396.0004::Неопределено::Неопределено::Неопределено::Неопределено::Неопределено::Неопределено::8.0.5.</v>
      </c>
    </row>
    <row s="1949" customFormat="1" customHeight="1" ht="16.5">
      <c r="A147" s="643"/>
      <c r="B147" s="643"/>
      <c r="C147" s="1298" t="s">
        <v>1739</v>
      </c>
      <c r="D147" s="1257" t="s">
        <v>1740</v>
      </c>
      <c r="E147" s="794">
        <v>17.1</v>
      </c>
      <c r="F147" s="919" cm="1" t="str">
        <f t="array" ref="F147:F147">OFFSET(G147,-1,-1)</f>
        <v>1</v>
      </c>
      <c r="G147" s="643"/>
      <c r="H147" s="643"/>
      <c r="I147" s="643"/>
      <c r="J147" s="643"/>
      <c r="K147" s="643"/>
      <c r="L147" s="1286"/>
      <c r="M147" s="1284" cm="1" t="str">
        <f t="array" ref="M147:M147">OFFSET(L147,-1,1)</f>
        <v>ТЭ.42.26824396.0004</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1741</v>
      </c>
      <c r="AD147" s="309" t="s">
        <v>490</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1742</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M11244::ТЭ.42.26824396.0004::Неопределено::Неопределено::Неопределено::Неопределено::Неопределено::Неопределено::Неопределено</v>
      </c>
    </row>
    <row s="1619" customFormat="1" customHeight="1" ht="16.5">
      <c r="A148" s="1183"/>
      <c r="B148" s="924"/>
      <c r="C148" s="1298" t="s">
        <v>1743</v>
      </c>
      <c r="D148" s="1257" t="s">
        <v>1744</v>
      </c>
      <c r="E148" s="794">
        <v>17.1</v>
      </c>
      <c r="F148" s="919" cm="1" t="str">
        <f t="array" ref="F148:F148">OFFSET(G148,-1,-1)</f>
        <v>1</v>
      </c>
      <c r="G148" s="227"/>
      <c r="H148" s="227"/>
      <c r="I148" s="227"/>
      <c r="J148" s="227"/>
      <c r="K148" s="227"/>
      <c r="L148" s="1286"/>
      <c r="M148" s="1284" cm="1" t="str">
        <f t="array" ref="M148:M148">OFFSET(L148,-1,1)</f>
        <v>ТЭ.42.26824396.0004</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1745</v>
      </c>
      <c r="AD148" s="309" t="s">
        <v>895</v>
      </c>
      <c r="AE148" s="1018">
        <f>_xlfn.IFERROR(AE139/AE142*1000,0)</f>
        <v>0</v>
      </c>
      <c r="AF148" s="613"/>
      <c r="AG148" s="613"/>
      <c r="AH148" s="374"/>
      <c r="AI148" s="1018">
        <f>_xlfn.IFERROR(AI139/AI142*1000,0)</f>
        <v>0</v>
      </c>
      <c r="AJ148" s="1018">
        <f>_xlfn.IFERROR(AJ139/AJ142*1000,0)</f>
        <v>7950.36490036496</v>
      </c>
      <c r="AK148" s="1018">
        <f>_xlfn.IFERROR(AK139/AK142*1000,0)</f>
        <v>6948.93807407978</v>
      </c>
      <c r="AL148" s="307">
        <f>IF(AI148=0,0,(AK148-AI148)/AI148*100)</f>
        <v>0</v>
      </c>
      <c r="AM148" s="1742"/>
      <c r="AN148" s="1742"/>
      <c r="AO148" s="1742"/>
      <c r="AP148" s="227"/>
      <c r="AQ148" s="227"/>
      <c r="AR148" s="1230" t="s">
        <v>1746</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M10552::ТЭ.42.26824396.0004::Неопределено::Неопределено::Неопределено::Неопределено::Неопределено::Неопределено::Неопределено</v>
      </c>
    </row>
    <row s="1950" customFormat="1" customHeight="1" ht="16.5" hidden="1">
      <c r="A149" s="643"/>
      <c r="B149" s="643"/>
      <c r="C149" s="1298" t="s">
        <v>1747</v>
      </c>
      <c r="D149" s="1257" t="s">
        <v>1748</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ТЭ.42.26824396.0004</v>
      </c>
      <c r="N149" s="1286"/>
      <c r="O149" s="1286"/>
      <c r="P149" s="1286"/>
      <c r="Q149" s="1286"/>
      <c r="R149" s="1286"/>
      <c r="S149" s="1286"/>
      <c r="T149" s="805">
        <f>AND(F149&gt;0,H149="двухставочный")</f>
        <v>0</v>
      </c>
      <c r="U149" s="643"/>
      <c r="V149" s="643"/>
      <c r="W149" s="643"/>
      <c r="X149" s="643"/>
      <c r="Y149" s="643"/>
      <c r="Z149" s="643"/>
      <c r="AA149" s="643"/>
      <c r="AB149" s="314" t="s">
        <v>696</v>
      </c>
      <c r="AC149" s="886" t="s">
        <v>1750</v>
      </c>
      <c r="AD149" s="664" t="s">
        <v>690</v>
      </c>
      <c r="AE149" s="98">
        <f>_xlfn.SUMIFS('Баланс Пр'!AE$27:AE$233,'Баланс Пр'!$F$27:$F$233,$F149,'Баланс Пр'!$AB$27:$AB$233,"10")</f>
        <v>0</v>
      </c>
      <c r="AF149" s="613"/>
      <c r="AG149" s="613"/>
      <c r="AH149" s="374"/>
      <c r="AI149" s="98">
        <f>_xlfn.SUMIFS('Баланс Пр'!AH$27:AH$233,'Баланс Пр'!$F$27:$F$233,$F149,'Баланс Пр'!$AB$27:$AB$233,"10")</f>
        <v>0</v>
      </c>
      <c r="AJ149" s="308">
        <f>_xlfn.SUMIFS('Баланс Пр'!AI$27:AI$233,'Баланс Пр'!$F$27:$F$233,$F149,'Баланс Пр'!$AB$27:$AB$233,"10")</f>
        <v>0</v>
      </c>
      <c r="AK149" s="308">
        <f>_xlfn.SUMIFS('Баланс Пр'!AS$27:AS$233,'Баланс Пр'!$F$27:$F$233,$F149,'Баланс Пр'!$AB$27:$AB$233,"10")</f>
        <v>0</v>
      </c>
      <c r="AL149" s="307">
        <f>IF(AI149=0,0,(AK149-AI149)/AI149*100)</f>
        <v>0</v>
      </c>
      <c r="AM149" s="1103"/>
      <c r="AN149" s="1103"/>
      <c r="AO149" s="1098"/>
      <c r="AP149" s="643"/>
      <c r="AQ149" s="643"/>
      <c r="AR149" s="1230" t="s">
        <v>691</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M10476::ТЭ.42.26824396.0004::Неопределено::Неопределено::Неопределено::Неопределено::Неопределено::Неопределено::Неопределено</v>
      </c>
    </row>
    <row s="1619" customFormat="1" customHeight="1" ht="16.5" hidden="1">
      <c r="A150" s="1183"/>
      <c r="B150" s="924"/>
      <c r="C150" s="1298" t="s">
        <v>1747</v>
      </c>
      <c r="D150" s="1257" t="s">
        <v>1748</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ТЭ.42.26824396.0004</v>
      </c>
      <c r="N150" s="1286"/>
      <c r="O150" s="1286"/>
      <c r="P150" s="1286"/>
      <c r="Q150" s="1286"/>
      <c r="R150" s="1286"/>
      <c r="S150" s="1286" t="s">
        <v>1724</v>
      </c>
      <c r="T150" s="805">
        <f>AND(F150&gt;0,H150="двухставочный")</f>
        <v>0</v>
      </c>
      <c r="U150" s="1461"/>
      <c r="V150" s="1461"/>
      <c r="W150" s="1461"/>
      <c r="X150" s="1461"/>
      <c r="Y150" s="1461"/>
      <c r="Z150" s="1461"/>
      <c r="AA150" s="227"/>
      <c r="AB150" s="660" t="str">
        <f>AB149&amp;".1"</f>
        <v>11.1</v>
      </c>
      <c r="AC150" s="720" t="s">
        <v>1752</v>
      </c>
      <c r="AD150" s="620" t="s">
        <v>690</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80"/>
      <c r="AN150" s="80"/>
      <c r="AO150" s="80"/>
      <c r="AP150" s="227"/>
      <c r="AQ150" s="227"/>
      <c r="AR150" s="1230" t="s">
        <v>1753</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M10476::ТЭ.42.26824396.0004::Неопределено::Неопределено::Неопределено::Неопределено::Неопределено::Неопределено::8.0.3.</v>
      </c>
    </row>
    <row s="1619" customFormat="1" customHeight="1" ht="16.5" hidden="1">
      <c r="A151" s="1183"/>
      <c r="B151" s="924"/>
      <c r="C151" s="1298" t="s">
        <v>1747</v>
      </c>
      <c r="D151" s="1257" t="s">
        <v>1748</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ТЭ.42.26824396.0004</v>
      </c>
      <c r="N151" s="1286"/>
      <c r="O151" s="1286"/>
      <c r="P151" s="1286"/>
      <c r="Q151" s="1286"/>
      <c r="R151" s="1286"/>
      <c r="S151" s="1286" t="s">
        <v>1733</v>
      </c>
      <c r="T151" s="805">
        <f>AND(F151&gt;0,H151="двухставочный")</f>
        <v>0</v>
      </c>
      <c r="U151" s="1461"/>
      <c r="V151" s="1461"/>
      <c r="W151" s="1461"/>
      <c r="X151" s="1461"/>
      <c r="Y151" s="1461"/>
      <c r="Z151" s="1461"/>
      <c r="AA151" s="227"/>
      <c r="AB151" s="660" t="str">
        <f>AB149&amp;".2"</f>
        <v>11.2</v>
      </c>
      <c r="AC151" s="720" t="s">
        <v>1755</v>
      </c>
      <c r="AD151" s="620" t="s">
        <v>690</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80"/>
      <c r="AN151" s="80"/>
      <c r="AO151" s="80"/>
      <c r="AP151" s="227"/>
      <c r="AQ151" s="227"/>
      <c r="AR151" s="1230" t="s">
        <v>1756</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M10476::ТЭ.42.26824396.0004::Неопределено::Неопределено::Неопределено::Неопределено::Неопределено::Неопределено::8.0.5.</v>
      </c>
    </row>
    <row s="1619"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ТЭ.42.26824396.0004</v>
      </c>
      <c r="N152" s="1286"/>
      <c r="O152" s="1286"/>
      <c r="P152" s="1286"/>
      <c r="Q152" s="1286"/>
      <c r="R152" s="1286"/>
      <c r="S152" s="1286"/>
      <c r="T152" s="805">
        <f>AND(F152&gt;0,H152="двухставочный")</f>
        <v>0</v>
      </c>
      <c r="U152" s="1461"/>
      <c r="V152" s="1461"/>
      <c r="W152" s="1461"/>
      <c r="X152" s="1461"/>
      <c r="Y152" s="1461"/>
      <c r="Z152" s="1461"/>
      <c r="AA152" s="227"/>
      <c r="AB152" s="659" t="s">
        <v>1695</v>
      </c>
      <c r="AC152" s="160" t="s">
        <v>1758</v>
      </c>
      <c r="AD152" s="710"/>
      <c r="AE152" s="735"/>
      <c r="AF152" s="613"/>
      <c r="AG152" s="613"/>
      <c r="AH152" s="374"/>
      <c r="AI152" s="735"/>
      <c r="AJ152" s="735"/>
      <c r="AK152" s="735"/>
      <c r="AL152" s="374"/>
      <c r="AM152" s="73"/>
      <c r="AN152" s="73"/>
      <c r="AO152" s="73"/>
      <c r="AP152" s="227"/>
      <c r="AQ152" s="227"/>
      <c r="AR152" s="1230" t="s">
        <v>1759</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M11407::ТЭ.42.26824396.0004::Неопределено::Неопределено::Неопределено::Неопределено::Неопределено::Неопределено::Неопределено</v>
      </c>
    </row>
    <row s="1619" customFormat="1" customHeight="1" ht="16.5" hidden="1">
      <c r="A153" s="1183"/>
      <c r="B153" s="924"/>
      <c r="C153" s="1298" t="s">
        <v>1760</v>
      </c>
      <c r="D153" s="1257" t="s">
        <v>1761</v>
      </c>
      <c r="E153" s="794">
        <v>17.1</v>
      </c>
      <c r="F153" s="919" cm="1" t="str">
        <f t="array" ref="F153:F153">OFFSET(G153,-1,-1)</f>
        <v>1</v>
      </c>
      <c r="G153" s="736" t="s">
        <v>1762</v>
      </c>
      <c r="H153" s="190" cm="1" t="str">
        <f t="array" ref="H153:H153">G94</f>
        <v>одноставочный</v>
      </c>
      <c r="I153" s="227"/>
      <c r="J153" s="227"/>
      <c r="K153" s="227"/>
      <c r="L153" s="1286"/>
      <c r="M153" s="1284" cm="1" t="str">
        <f t="array" ref="M153:M153">OFFSET(L153,-1,1)</f>
        <v>ТЭ.42.26824396.0004</v>
      </c>
      <c r="N153" s="1286"/>
      <c r="O153" s="1286"/>
      <c r="P153" s="1286"/>
      <c r="Q153" s="1286"/>
      <c r="R153" s="1286"/>
      <c r="S153" s="1286" t="s">
        <v>1724</v>
      </c>
      <c r="T153" s="805">
        <f>AND(F153&gt;0,H153="двухставочный")</f>
        <v>0</v>
      </c>
      <c r="U153" s="1461"/>
      <c r="V153" s="1461"/>
      <c r="W153" s="1461"/>
      <c r="X153" s="1461"/>
      <c r="Y153" s="1461"/>
      <c r="Z153" s="1461"/>
      <c r="AA153" s="227"/>
      <c r="AB153" s="660" t="str">
        <f>AB152&amp;".1"</f>
        <v>12.1</v>
      </c>
      <c r="AC153" s="1346" t="s">
        <v>1763</v>
      </c>
      <c r="AD153" s="517" t="s">
        <v>895</v>
      </c>
      <c r="AE153" s="129"/>
      <c r="AF153" s="613"/>
      <c r="AG153" s="613"/>
      <c r="AH153" s="374"/>
      <c r="AI153" s="129"/>
      <c r="AJ153" s="638"/>
      <c r="AK153" s="638"/>
      <c r="AL153" s="307">
        <f>IF(AI153=0,0,(AK153-AI153)/AI153*100)</f>
        <v>0</v>
      </c>
      <c r="AM153" s="73"/>
      <c r="AN153" s="73"/>
      <c r="AO153" s="73"/>
      <c r="AP153" s="227"/>
      <c r="AQ153" s="227"/>
      <c r="AR153" s="1230" t="s">
        <v>1764</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M11407::ТЭ.42.26824396.0004::Неопределено::Неопределено::Неопределено::Неопределено::Неопределено::Неопределено::8.0.3.</v>
      </c>
    </row>
    <row s="1619" customFormat="1" customHeight="1" ht="16.5" hidden="1">
      <c r="A154" s="1183"/>
      <c r="B154" s="924"/>
      <c r="C154" s="1298" t="s">
        <v>1760</v>
      </c>
      <c r="D154" s="1257" t="s">
        <v>1761</v>
      </c>
      <c r="E154" s="794">
        <v>17.1</v>
      </c>
      <c r="F154" s="919" cm="1" t="str">
        <f t="array" ref="F154:F154">OFFSET(G154,-1,-1)</f>
        <v>1</v>
      </c>
      <c r="G154" s="736" t="s">
        <v>1765</v>
      </c>
      <c r="H154" s="190" cm="1" t="str">
        <f t="array" ref="H154:H154">G94</f>
        <v>одноставочный</v>
      </c>
      <c r="I154" s="227"/>
      <c r="J154" s="227"/>
      <c r="K154" s="227"/>
      <c r="L154" s="1286"/>
      <c r="M154" s="1284" cm="1" t="str">
        <f t="array" ref="M154:M154">OFFSET(L154,-1,1)</f>
        <v>ТЭ.42.26824396.0004</v>
      </c>
      <c r="N154" s="1286"/>
      <c r="O154" s="1286"/>
      <c r="P154" s="1286"/>
      <c r="Q154" s="1286"/>
      <c r="R154" s="1286"/>
      <c r="S154" s="1286" t="s">
        <v>1733</v>
      </c>
      <c r="T154" s="805">
        <f>AND(F154&gt;0,H154="двухставочный")</f>
        <v>0</v>
      </c>
      <c r="U154" s="1461"/>
      <c r="V154" s="1461"/>
      <c r="W154" s="1461"/>
      <c r="X154" s="1461"/>
      <c r="Y154" s="1461"/>
      <c r="Z154" s="1461"/>
      <c r="AA154" s="227"/>
      <c r="AB154" s="660" t="str">
        <f>AB152&amp;".2"</f>
        <v>12.2</v>
      </c>
      <c r="AC154" s="1346" t="s">
        <v>1766</v>
      </c>
      <c r="AD154" s="517" t="s">
        <v>895</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3"/>
      <c r="AN154" s="73"/>
      <c r="AO154" s="73"/>
      <c r="AP154" s="227"/>
      <c r="AQ154" s="227"/>
      <c r="AR154" s="1230" t="s">
        <v>1767</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M11407::ТЭ.42.26824396.0004::Неопределено::Неопределено::Неопределено::Неопределено::Неопределено::Неопределено::8.0.5.</v>
      </c>
    </row>
    <row s="1619" customFormat="1" customHeight="1" ht="16.5" hidden="1">
      <c r="A155" s="1183"/>
      <c r="B155" s="924"/>
      <c r="C155" s="1298" t="s">
        <v>1768</v>
      </c>
      <c r="D155" s="1257" t="s">
        <v>1769</v>
      </c>
      <c r="E155" s="794">
        <v>17.1</v>
      </c>
      <c r="F155" s="919" cm="1" t="str">
        <f t="array" ref="F155:F155">OFFSET(G155,-1,-1)</f>
        <v>1</v>
      </c>
      <c r="G155" s="227"/>
      <c r="H155" s="190" cm="1" t="str">
        <f t="array" ref="H155:H155">G94</f>
        <v>одноставочный</v>
      </c>
      <c r="I155" s="227"/>
      <c r="J155" s="227"/>
      <c r="K155" s="227"/>
      <c r="L155" s="1286" t="s">
        <v>1921</v>
      </c>
      <c r="M155" s="1284" cm="1" t="str">
        <f t="array" ref="M155:M155">OFFSET(L155,-1,1)</f>
        <v>ТЭ.42.26824396.0004</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1771</v>
      </c>
      <c r="AD155" s="517" t="s">
        <v>490</v>
      </c>
      <c r="AE155" s="662">
        <f>_xlfn.IFERROR(AE154/AE153,0)</f>
        <v>0</v>
      </c>
      <c r="AF155" s="613"/>
      <c r="AG155" s="613"/>
      <c r="AH155" s="613"/>
      <c r="AI155" s="662">
        <f>_xlfn.IFERROR(AI154/AI153,0)</f>
        <v>0</v>
      </c>
      <c r="AJ155" s="662">
        <f>_xlfn.IFERROR(AJ154/AJ153,0)</f>
        <v>0</v>
      </c>
      <c r="AK155" s="662">
        <f>_xlfn.IFERROR(AK154/AK153,0)</f>
        <v>0</v>
      </c>
      <c r="AL155" s="374"/>
      <c r="AM155" s="73"/>
      <c r="AN155" s="73"/>
      <c r="AO155" s="73"/>
      <c r="AP155" s="227"/>
      <c r="AQ155" s="227"/>
      <c r="AR155" s="1230" t="s">
        <v>1772</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M10444::ТЭ.42.26824396.0004::1.0.84.::Неопределено::Неопределено::Неопределено::Неопределено::Неопределено::Неопределено</v>
      </c>
    </row>
    <row s="1619"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ТЭ.42.26824396.0004</v>
      </c>
      <c r="N156" s="1286"/>
      <c r="O156" s="1286"/>
      <c r="P156" s="1286"/>
      <c r="Q156" s="1286"/>
      <c r="R156" s="1286"/>
      <c r="S156" s="1286"/>
      <c r="T156" s="805">
        <f>AND(F156&gt;0,H156="двухставочный")</f>
        <v>0</v>
      </c>
      <c r="U156" s="1461"/>
      <c r="V156" s="1461"/>
      <c r="W156" s="1461"/>
      <c r="X156" s="1461"/>
      <c r="Y156" s="1461"/>
      <c r="Z156" s="1461"/>
      <c r="AA156" s="227"/>
      <c r="AB156" s="283" t="s">
        <v>1700</v>
      </c>
      <c r="AC156" s="160" t="s">
        <v>1773</v>
      </c>
      <c r="AD156" s="619"/>
      <c r="AE156" s="735"/>
      <c r="AF156" s="613"/>
      <c r="AG156" s="613"/>
      <c r="AH156" s="613"/>
      <c r="AI156" s="735"/>
      <c r="AJ156" s="735"/>
      <c r="AK156" s="735"/>
      <c r="AL156" s="374"/>
      <c r="AM156" s="73"/>
      <c r="AN156" s="73"/>
      <c r="AO156" s="73"/>
      <c r="AP156" s="227"/>
      <c r="AQ156" s="227"/>
      <c r="AR156" s="1230" t="s">
        <v>1774</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M11397::ТЭ.42.26824396.0004::Неопределено::Неопределено::Неопределено::Неопределено::Неопределено::Неопределено::Неопределено</v>
      </c>
    </row>
    <row s="1619" customFormat="1" customHeight="1" ht="16.5" hidden="1">
      <c r="A157" s="1183"/>
      <c r="B157" s="924"/>
      <c r="C157" s="1298" t="s">
        <v>1775</v>
      </c>
      <c r="D157" s="1257" t="s">
        <v>1776</v>
      </c>
      <c r="E157" s="794">
        <v>17.1</v>
      </c>
      <c r="F157" s="919" cm="1" t="str">
        <f t="array" ref="F157:F157">OFFSET(G157,-1,-1)</f>
        <v>1</v>
      </c>
      <c r="G157" s="736" t="s">
        <v>1777</v>
      </c>
      <c r="H157" s="190" cm="1" t="str">
        <f t="array" ref="H157:H157">G94</f>
        <v>одноставочный</v>
      </c>
      <c r="I157" s="227"/>
      <c r="J157" s="227"/>
      <c r="K157" s="227"/>
      <c r="L157" s="1286"/>
      <c r="M157" s="1284" cm="1" t="str">
        <f t="array" ref="M157:M157">OFFSET(L157,-1,1)</f>
        <v>ТЭ.42.26824396.0004</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1778</v>
      </c>
      <c r="AD157" s="517" t="s">
        <v>1779</v>
      </c>
      <c r="AE157" s="98"/>
      <c r="AF157" s="613"/>
      <c r="AG157" s="613"/>
      <c r="AH157" s="374"/>
      <c r="AI157" s="98"/>
      <c r="AJ157" s="308"/>
      <c r="AK157" s="308"/>
      <c r="AL157" s="307">
        <f>IF(AI157=0,0,(AK157-AI157)/AI157*100)</f>
        <v>0</v>
      </c>
      <c r="AM157" s="73"/>
      <c r="AN157" s="73"/>
      <c r="AO157" s="73"/>
      <c r="AP157" s="227"/>
      <c r="AQ157" s="227"/>
      <c r="AR157" s="1230" t="s">
        <v>1780</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M11397::ТЭ.42.26824396.0004::Неопределено::Неопределено::Неопределено::Неопределено::Неопределено::Неопределено::Неопределено</v>
      </c>
    </row>
    <row s="1619" customFormat="1" customHeight="1" ht="16.5" hidden="1">
      <c r="A158" s="1183"/>
      <c r="B158" s="924"/>
      <c r="C158" s="1298" t="s">
        <v>1775</v>
      </c>
      <c r="D158" s="1257" t="s">
        <v>1776</v>
      </c>
      <c r="E158" s="794">
        <v>17.1</v>
      </c>
      <c r="F158" s="919" cm="1" t="str">
        <f t="array" ref="F158:F158">OFFSET(G158,-1,-1)</f>
        <v>1</v>
      </c>
      <c r="G158" s="736" t="s">
        <v>1781</v>
      </c>
      <c r="H158" s="190" cm="1" t="str">
        <f t="array" ref="H158:H158">G94</f>
        <v>одноставочный</v>
      </c>
      <c r="I158" s="227"/>
      <c r="J158" s="227"/>
      <c r="K158" s="227"/>
      <c r="L158" s="1286"/>
      <c r="M158" s="1284" cm="1" t="str">
        <f t="array" ref="M158:M158">OFFSET(L158,-1,1)</f>
        <v>ТЭ.42.26824396.0004</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1782</v>
      </c>
      <c r="AD158" s="517" t="s">
        <v>1779</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3"/>
      <c r="AN158" s="73"/>
      <c r="AO158" s="73"/>
      <c r="AP158" s="227"/>
      <c r="AQ158" s="227"/>
      <c r="AR158" s="1230" t="s">
        <v>1783</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M11397::ТЭ.42.26824396.0004::Неопределено::Неопределено::Неопределено::Неопределено::Неопределено::Неопределено::Неопределено</v>
      </c>
    </row>
    <row s="1619" customFormat="1" customHeight="1" ht="16.5" hidden="1">
      <c r="A159" s="1183"/>
      <c r="B159" s="924"/>
      <c r="C159" s="1298" t="s">
        <v>1768</v>
      </c>
      <c r="D159" s="1257" t="s">
        <v>1769</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ТЭ.42.26824396.0004</v>
      </c>
      <c r="N159" s="1286"/>
      <c r="O159" s="1286"/>
      <c r="P159" s="1286"/>
      <c r="Q159" s="1286"/>
      <c r="R159" s="1286" t="s">
        <v>1784</v>
      </c>
      <c r="S159" s="1286"/>
      <c r="T159" s="805">
        <f>AND(F159&gt;0,H159="двухставочный")</f>
        <v>0</v>
      </c>
      <c r="U159" s="1461"/>
      <c r="V159" s="1461"/>
      <c r="W159" s="1461"/>
      <c r="X159" s="1461"/>
      <c r="Y159" s="1461"/>
      <c r="Z159" s="1461"/>
      <c r="AA159" s="227"/>
      <c r="AB159" s="660" t="str">
        <f>AB156&amp;".3"</f>
        <v>13.3</v>
      </c>
      <c r="AC159" s="312" t="s">
        <v>1785</v>
      </c>
      <c r="AD159" s="517" t="s">
        <v>490</v>
      </c>
      <c r="AE159" s="662">
        <f>_xlfn.IFERROR(AE158/AE157,0)</f>
        <v>0</v>
      </c>
      <c r="AF159" s="1019"/>
      <c r="AG159" s="613"/>
      <c r="AH159" s="613"/>
      <c r="AI159" s="662">
        <f>_xlfn.IFERROR(AI158/AI157,0)</f>
        <v>0</v>
      </c>
      <c r="AJ159" s="662">
        <f>_xlfn.IFERROR(AJ158/AJ157,0)</f>
        <v>0</v>
      </c>
      <c r="AK159" s="662">
        <f>_xlfn.IFERROR(AK158/AK157,0)</f>
        <v>0</v>
      </c>
      <c r="AL159" s="374"/>
      <c r="AM159" s="73"/>
      <c r="AN159" s="73"/>
      <c r="AO159" s="73"/>
      <c r="AP159" s="227"/>
      <c r="AQ159" s="227"/>
      <c r="AR159" s="1230" t="s">
        <v>1786</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M10444::ТЭ.42.26824396.0004::Неопределено::Неопределено::Неопределено::Неопределено::Неопределено::225.0.1.::Неопределено</v>
      </c>
    </row>
    <row s="1619" customFormat="1" customHeight="1" ht="29.25">
      <c r="A160" s="1183"/>
      <c r="B160" s="924"/>
      <c r="C160" s="1298" t="s">
        <v>1787</v>
      </c>
      <c r="D160" s="1257" t="s">
        <v>1788</v>
      </c>
      <c r="E160" s="794">
        <v>30</v>
      </c>
      <c r="F160" s="919" cm="1" t="str">
        <f t="array" ref="F160:F160">OFFSET(G160,-1,-1)</f>
        <v>1</v>
      </c>
      <c r="G160" s="227"/>
      <c r="H160" s="227"/>
      <c r="I160" s="227"/>
      <c r="J160" s="227"/>
      <c r="K160" s="227"/>
      <c r="L160" s="1286"/>
      <c r="M160" s="1284" cm="1" t="str">
        <f t="array" ref="M160:M160">OFFSET(L160,-1,1)</f>
        <v>ТЭ.42.26824396.0004</v>
      </c>
      <c r="N160" s="1286"/>
      <c r="O160" s="1286"/>
      <c r="P160" s="1286"/>
      <c r="Q160" s="1286"/>
      <c r="R160" s="1286"/>
      <c r="S160" s="1286"/>
      <c r="T160" s="805" cm="1" t="str">
        <f t="array" ref="T160:T160">T139</f>
        <v>true</v>
      </c>
      <c r="U160" s="1461"/>
      <c r="V160" s="1461"/>
      <c r="W160" s="1461"/>
      <c r="X160" s="1461"/>
      <c r="Y160" s="1461"/>
      <c r="Z160" s="1461"/>
      <c r="AA160" s="227"/>
      <c r="AB160" s="285" t="s">
        <v>1705</v>
      </c>
      <c r="AC160" s="1059" t="s">
        <v>1790</v>
      </c>
      <c r="AD160" s="577" t="s">
        <v>1019</v>
      </c>
      <c r="AE160" s="1785"/>
      <c r="AF160" s="1903"/>
      <c r="AG160" s="1903"/>
      <c r="AH160" s="307">
        <f>AG160-AF160</f>
        <v>0</v>
      </c>
      <c r="AI160" s="1785"/>
      <c r="AJ160" s="308"/>
      <c r="AK160" s="308"/>
      <c r="AL160" s="307">
        <f>IF(AI160=0,0,(AK160-AI160)/AI160*100)</f>
        <v>0</v>
      </c>
      <c r="AM160" s="1730"/>
      <c r="AN160" s="1730"/>
      <c r="AO160" s="1730"/>
      <c r="AP160" s="227"/>
      <c r="AQ160" s="227"/>
      <c r="AR160" s="1230" t="s">
        <v>1791</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M10591::ТЭ.42.26824396.0004::Неопределено::Неопределено::Неопределено::Неопределено::Неопределено::Неопределено::Неопределено</v>
      </c>
    </row>
    <row s="1951" customFormat="1" customHeight="1" ht="16.5">
      <c r="A161" s="217"/>
      <c r="B161" s="217"/>
      <c r="C161" s="1302"/>
      <c r="D161" s="1252"/>
      <c r="E161" s="794">
        <v>17.1</v>
      </c>
      <c r="F161" s="919" cm="1" t="str">
        <f t="array" ref="F161:F161">X161</f>
        <v>2</v>
      </c>
      <c r="G161" s="736" cm="1" t="str">
        <f t="array" ref="G161:G161">INDEX('Общие сведения'!$AK$169:$AK$218,MATCH($F161,'Общие сведения'!$Z$169:$Z$218,0))</f>
        <v>одноставочный</v>
      </c>
      <c r="H161" s="217"/>
      <c r="I161" s="210" cm="1" t="str">
        <f t="array" ref="I161:I161">INDEX('Общие сведения'!$AE$169:$AE$218,MATCH($F161,'Общие сведения'!$Z$169:$Z$218,0))</f>
        <v>Теплоснабжение</v>
      </c>
      <c r="J161" s="217"/>
      <c r="K161" s="210" cm="1" t="str">
        <f t="array" ref="K161:K161">INDEX('Общие сведения'!$AL$169:$AL$218,MATCH($F161,'Общие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161" s="1292"/>
      <c r="M161" s="1292"/>
      <c r="N161" s="1292"/>
      <c r="O161" s="1292"/>
      <c r="P161" s="1292"/>
      <c r="Q161" s="1292"/>
      <c r="R161" s="1292"/>
      <c r="S161" s="1292"/>
      <c r="T161" s="805">
        <f>X161&gt;0</f>
        <v>1</v>
      </c>
      <c r="U161" s="217"/>
      <c r="V161" s="172" cm="1" t="str">
        <f t="array" ref="V161:V161">'Калькуляция (5.9)'!$AB$137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161" s="217"/>
      <c r="X161" s="1554" t="s">
        <v>343</v>
      </c>
      <c r="Y161" s="217"/>
      <c r="Z161" s="217"/>
      <c r="AA161" s="217"/>
      <c r="AB161" s="327" cm="1" t="str">
        <f t="array" ref="AB161:AB161">IF(ISBLANK('Калькуляция (5.9)'!$AB$137),"",'Калькуляция (5.9)'!$AB$137)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161" s="328"/>
      <c r="AD161" s="328"/>
      <c r="AE161" s="328"/>
      <c r="AF161" s="328"/>
      <c r="AG161" s="328"/>
      <c r="AH161" s="328"/>
      <c r="AI161" s="328"/>
      <c r="AJ161" s="328"/>
      <c r="AK161" s="328"/>
      <c r="AL161" s="328"/>
      <c r="AM161" s="328"/>
      <c r="AN161" s="328"/>
      <c r="AO161" s="328"/>
      <c r="AP161" s="217"/>
      <c r="AQ161" s="217"/>
      <c r="AR161" s="1203"/>
      <c r="AS161" s="1280"/>
    </row>
    <row s="1619" customFormat="1" customHeight="1" ht="33.75">
      <c r="A162" s="1183"/>
      <c r="B162" s="924"/>
      <c r="C162" s="1298" t="s">
        <v>1798</v>
      </c>
      <c r="D162" s="1257" t="s">
        <v>1799</v>
      </c>
      <c r="E162" s="794">
        <v>35</v>
      </c>
      <c r="F162" s="919" cm="1" t="str">
        <f t="array" ref="F162:F162">OFFSET(G162,-1,-1)</f>
        <v>2</v>
      </c>
      <c r="G162" s="227"/>
      <c r="H162" s="227"/>
      <c r="I162" s="227"/>
      <c r="J162" s="227"/>
      <c r="K162" s="227"/>
      <c r="L162" s="1286"/>
      <c r="M162" s="1286" cm="1" t="str">
        <f t="array" ref="M162:M162">INDEX('Общие сведения'!$N$169:$N$218,MATCH($F161,'Общие сведения'!$Z$169:$Z$218,0)+1)</f>
        <v>ТЭ.42.26824396.0005</v>
      </c>
      <c r="N162" s="1286"/>
      <c r="O162" s="1286"/>
      <c r="P162" s="1286"/>
      <c r="Q162" s="1286"/>
      <c r="R162" s="1286"/>
      <c r="S162" s="1286"/>
      <c r="T162" s="805" cm="1" t="str">
        <f t="array" ref="T162:T162">T161</f>
        <v>true</v>
      </c>
      <c r="U162" s="1461"/>
      <c r="V162" s="1461"/>
      <c r="W162" s="1461"/>
      <c r="X162" s="1461"/>
      <c r="Y162" s="1461"/>
      <c r="Z162" s="1461"/>
      <c r="AA162" s="227"/>
      <c r="AB162" s="986">
        <v>1</v>
      </c>
      <c r="AC162" s="987" t="s">
        <v>1800</v>
      </c>
      <c r="AD162" s="988" t="s">
        <v>1019</v>
      </c>
      <c r="AE162" s="612">
        <f>AE163+AE164+AE165+AE168+AE169+AE170+AE171+AE172+AE174+AE175+AE176+AE177+AE178+AE179+AE180+AE181+AE182+AE183</f>
        <v>0</v>
      </c>
      <c r="AF162" s="612">
        <f>AF163+AF164+AF165+AF168+AF169+AF170+AF171+AF172+AF174+AF175+AF176+AF177+AF178+AF179+AF180+AF181+AF182+AF183</f>
        <v>0</v>
      </c>
      <c r="AG162" s="612">
        <f>AG163+AG164+AG165+AG168+AG169+AG170+AG171+AG172+AG174+AG175+AG176+AG177+AG178+AG179+AG180+AG181+AG182+AG183</f>
        <v>0</v>
      </c>
      <c r="AH162" s="307">
        <f>AG162-AF162</f>
        <v>0</v>
      </c>
      <c r="AI162" s="612">
        <f>AI163+AI164+AI165+AI168+AI169+AI170+AI171+AI172+AI174+AI175+AI176+AI177+AI178+AI179+AI180+AI181+AI182+AI183</f>
        <v>0</v>
      </c>
      <c r="AJ162" s="612">
        <f>AJ163+AJ164+AJ165+AJ168+AJ169+AJ170+AJ171+AJ172+AJ174+AJ175+AJ176+AJ177+AJ178+AJ179+AJ180+AJ181+AJ182+AJ183</f>
        <v>6569.9999135</v>
      </c>
      <c r="AK162" s="612">
        <f>AK163+AK164+AK165+AK168+AK169+AK170+AK171+AK172+AK174+AK175+AK176+AK177+AK178+AK179+AK180+AK181+AK182+AK183</f>
        <v>5198.0440014893</v>
      </c>
      <c r="AL162" s="307">
        <f>IF(AI162=0,0,(AK162-AI162)/AI162*100)</f>
        <v>0</v>
      </c>
      <c r="AM162" s="1730"/>
      <c r="AN162" s="1730"/>
      <c r="AO162" s="1730"/>
      <c r="AP162" s="227"/>
      <c r="AQ162" s="227"/>
      <c r="AR162" s="1230" t="s">
        <v>1801</v>
      </c>
      <c r="AS162" s="1268" cm="1" t="str">
        <f t="array" ref="AS162:AS162">D162&amp;"::"&amp;IF(M162&lt;&gt;"",M162,"Неопределено")&amp;"::"&amp;IF(L162&lt;&gt;"",L162,"Неопределено")&amp;"::"&amp;IF(N162&lt;&gt;"",N162,"Неопределено")&amp;"::"&amp;IF(O162&lt;&gt;"",O162,"Неопределено")&amp;"::"&amp;IF(P162&lt;&gt;"",P162,"Неопределено")&amp;"::"&amp;IF(Q162&lt;&gt;"",Q162,"Неопределено")&amp;"::"&amp;IF(R162&lt;&gt;"",R162,"Неопределено")&amp;"::"&amp;IF(S162&lt;&gt;"",S162,"Неопределено")</f>
        <v>M10558::ТЭ.42.26824396.0005::Неопределено::Неопределено::Неопределено::Неопределено::Неопределено::Неопределено::Неопределено</v>
      </c>
    </row>
    <row s="1619" customFormat="1" customHeight="1" ht="16.5">
      <c r="A163" s="1183"/>
      <c r="B163" s="924"/>
      <c r="C163" s="1298" t="s">
        <v>1798</v>
      </c>
      <c r="D163" s="1257" t="s">
        <v>1799</v>
      </c>
      <c r="E163" s="794">
        <v>17.1</v>
      </c>
      <c r="F163" s="919" cm="1" t="str">
        <f t="array" ref="F163:F163">OFFSET(G163,-1,-1)</f>
        <v>2</v>
      </c>
      <c r="G163" s="227"/>
      <c r="H163" s="227"/>
      <c r="I163" s="227"/>
      <c r="J163" s="227"/>
      <c r="K163" s="227"/>
      <c r="L163" s="1286" t="s">
        <v>1802</v>
      </c>
      <c r="M163" s="1284" cm="1" t="str">
        <f t="array" ref="M163:M163">OFFSET(L163,-1,1)</f>
        <v>ТЭ.42.26824396.0005</v>
      </c>
      <c r="N163" s="1286"/>
      <c r="O163" s="1286"/>
      <c r="P163" s="1286"/>
      <c r="Q163" s="1286"/>
      <c r="R163" s="1286"/>
      <c r="S163" s="1286"/>
      <c r="T163" s="805" cm="1" t="str">
        <f t="array" ref="T163:T163">T162</f>
        <v>true</v>
      </c>
      <c r="U163" s="1461"/>
      <c r="V163" s="1461"/>
      <c r="W163" s="1461"/>
      <c r="X163" s="1461"/>
      <c r="Y163" s="1461"/>
      <c r="Z163" s="1461"/>
      <c r="AA163" s="227"/>
      <c r="AB163" s="989" t="s">
        <v>442</v>
      </c>
      <c r="AC163" s="990" t="s">
        <v>1803</v>
      </c>
      <c r="AD163" s="991" t="s">
        <v>1019</v>
      </c>
      <c r="AE163" s="1903"/>
      <c r="AF163" s="1903"/>
      <c r="AG163" s="1903"/>
      <c r="AH163" s="307">
        <f>AG163-AF163</f>
        <v>0</v>
      </c>
      <c r="AI163" s="1903"/>
      <c r="AJ163" s="614"/>
      <c r="AK163" s="614"/>
      <c r="AL163" s="307">
        <f>IF(AI163=0,0,(AK163-AI163)/AI163*100)</f>
        <v>0</v>
      </c>
      <c r="AM163" s="1730"/>
      <c r="AN163" s="1730"/>
      <c r="AO163" s="1730"/>
      <c r="AP163" s="227"/>
      <c r="AQ163" s="227"/>
      <c r="AR163" s="1230" t="s">
        <v>1296</v>
      </c>
      <c r="AS163" s="1268" cm="1" t="str">
        <f t="array" ref="AS163:AS163">D163&amp;"::"&amp;IF(M163&lt;&gt;"",M163,"Неопределено")&amp;"::"&amp;IF(L163&lt;&gt;"",L163,"Неопределено")&amp;"::"&amp;IF(N163&lt;&gt;"",N163,"Неопределено")&amp;"::"&amp;IF(O163&lt;&gt;"",O163,"Неопределено")&amp;"::"&amp;IF(P163&lt;&gt;"",P163,"Неопределено")&amp;"::"&amp;IF(Q163&lt;&gt;"",Q163,"Неопределено")&amp;"::"&amp;IF(R163&lt;&gt;"",R163,"Неопределено")&amp;"::"&amp;IF(S163&lt;&gt;"",S163,"Неопределено")</f>
        <v>M10558::ТЭ.42.26824396.0005::1.0.64.::Неопределено::Неопределено::Неопределено::Неопределено::Неопределено::Неопределено</v>
      </c>
    </row>
    <row s="1619" customFormat="1" customHeight="1" ht="25.5">
      <c r="A164" s="1183"/>
      <c r="B164" s="924"/>
      <c r="C164" s="1298" t="s">
        <v>1798</v>
      </c>
      <c r="D164" s="1257" t="s">
        <v>1799</v>
      </c>
      <c r="E164" s="794">
        <v>26.3</v>
      </c>
      <c r="F164" s="919" cm="1" t="str">
        <f t="array" ref="F164:F164">OFFSET(G164,-1,-1)</f>
        <v>2</v>
      </c>
      <c r="G164" s="190" t="s">
        <v>1385</v>
      </c>
      <c r="H164" s="227"/>
      <c r="I164" s="227"/>
      <c r="J164" s="227"/>
      <c r="K164" s="227"/>
      <c r="L164" s="1286" t="s">
        <v>1804</v>
      </c>
      <c r="M164" s="1284" cm="1" t="str">
        <f t="array" ref="M164:M164">OFFSET(L164,-1,1)</f>
        <v>ТЭ.42.26824396.0005</v>
      </c>
      <c r="N164" s="1286"/>
      <c r="O164" s="1286"/>
      <c r="P164" s="1286"/>
      <c r="Q164" s="1286"/>
      <c r="R164" s="1286"/>
      <c r="S164" s="1286"/>
      <c r="T164" s="805" cm="1" t="str">
        <f t="array" ref="T164:T164">T163</f>
        <v>true</v>
      </c>
      <c r="U164" s="1461"/>
      <c r="V164" s="1461"/>
      <c r="W164" s="1461"/>
      <c r="X164" s="1461"/>
      <c r="Y164" s="1461"/>
      <c r="Z164" s="1461"/>
      <c r="AA164" s="227"/>
      <c r="AB164" s="989" t="s">
        <v>931</v>
      </c>
      <c r="AC164" s="990" t="s">
        <v>1386</v>
      </c>
      <c r="AD164" s="991" t="s">
        <v>1019</v>
      </c>
      <c r="AE164" s="307">
        <f>_xlfn.SUMIFS('Топливо 4.4'!AH$27:AH$411,'Топливо 4.4'!$F$27:$F$411,$F164,'Топливо 4.4'!$G$27:$G$411,$G164)</f>
        <v>0</v>
      </c>
      <c r="AF164" s="307">
        <f>_xlfn.SUMIFS('Топливо 4.4'!AI$27:AI$411,'Топливо 4.4'!$F$27:$F$411,$F164,'Топливо 4.4'!$G$27:$G$411,$G164)</f>
        <v>0</v>
      </c>
      <c r="AG164" s="307">
        <f>_xlfn.SUMIFS('Топливо 4.4'!AJ$27:AJ$411,'Топливо 4.4'!$F$27:$F$411,$F164,'Топливо 4.4'!$G$27:$G$411,$G164)</f>
        <v>0</v>
      </c>
      <c r="AH164" s="307">
        <f>AG164-AF164</f>
        <v>0</v>
      </c>
      <c r="AI164" s="307">
        <f>_xlfn.SUMIFS('Топливо 4.4'!AK$27:AK$411,'Топливо 4.4'!$F$27:$F$411,$F164,'Топливо 4.4'!$G$27:$G$411,$G164)</f>
        <v>0</v>
      </c>
      <c r="AJ164" s="307">
        <f>_xlfn.SUMIFS('Топливо 4.4'!AL$27:AL$411,'Топливо 4.4'!$F$27:$F$411,$F164,'Топливо 4.4'!$G$27:$G$411,$G164)</f>
        <v>4485.9999935</v>
      </c>
      <c r="AK164" s="307">
        <f>_xlfn.SUMIFS('Топливо 4.4'!BP$27:BP$411,'Топливо 4.4'!$F$27:$F$411,$F164,'Топливо 4.4'!$G$27:$G$411,$G164)</f>
        <v>3879.0440814893</v>
      </c>
      <c r="AL164" s="307">
        <f>IF(AI164=0,0,(AK164-AI164)/AI164*100)</f>
        <v>0</v>
      </c>
      <c r="AM164" s="1730"/>
      <c r="AN164" s="1730"/>
      <c r="AO164" s="1730"/>
      <c r="AP164" s="227"/>
      <c r="AQ164" s="227"/>
      <c r="AR164" s="1230" t="s">
        <v>1380</v>
      </c>
      <c r="AS164" s="1268" cm="1" t="str">
        <f t="array" ref="AS164:AS164">D164&amp;"::"&amp;IF(M164&lt;&gt;"",M164,"Неопределено")&amp;"::"&amp;IF(L164&lt;&gt;"",L164,"Неопределено")&amp;"::"&amp;IF(N164&lt;&gt;"",N164,"Неопределено")&amp;"::"&amp;IF(O164&lt;&gt;"",O164,"Неопределено")&amp;"::"&amp;IF(P164&lt;&gt;"",P164,"Неопределено")&amp;"::"&amp;IF(Q164&lt;&gt;"",Q164,"Неопределено")&amp;"::"&amp;IF(R164&lt;&gt;"",R164,"Неопределено")&amp;"::"&amp;IF(S164&lt;&gt;"",S164,"Неопределено")</f>
        <v>M10558::ТЭ.42.26824396.0005::1.0.66.::Неопределено::Неопределено::Неопределено::Неопределено::Неопределено::Неопределено</v>
      </c>
    </row>
    <row s="1619" customFormat="1" customHeight="1" ht="16.5">
      <c r="A165" s="1183"/>
      <c r="B165" s="924"/>
      <c r="C165" s="1298" t="s">
        <v>1798</v>
      </c>
      <c r="D165" s="1257" t="s">
        <v>1799</v>
      </c>
      <c r="E165" s="794">
        <v>17.1</v>
      </c>
      <c r="F165" s="919" cm="1" t="str">
        <f t="array" ref="F165:F165">OFFSET(G165,-1,-1)</f>
        <v>2</v>
      </c>
      <c r="G165" s="227"/>
      <c r="H165" s="227"/>
      <c r="I165" s="227"/>
      <c r="J165" s="227"/>
      <c r="K165" s="227"/>
      <c r="L165" s="1286" t="s">
        <v>1805</v>
      </c>
      <c r="M165" s="1284" cm="1" t="str">
        <f t="array" ref="M165:M165">OFFSET(L165,-1,1)</f>
        <v>ТЭ.42.26824396.0005</v>
      </c>
      <c r="N165" s="1286"/>
      <c r="O165" s="1286"/>
      <c r="P165" s="1286"/>
      <c r="Q165" s="1286"/>
      <c r="R165" s="1286"/>
      <c r="S165" s="1286"/>
      <c r="T165" s="805" cm="1" t="str">
        <f t="array" ref="T165:T165">T164</f>
        <v>true</v>
      </c>
      <c r="U165" s="1461"/>
      <c r="V165" s="1461"/>
      <c r="W165" s="1461"/>
      <c r="X165" s="1461"/>
      <c r="Y165" s="1461"/>
      <c r="Z165" s="1461"/>
      <c r="AA165" s="227"/>
      <c r="AB165" s="989" t="s">
        <v>933</v>
      </c>
      <c r="AC165" s="990" t="s">
        <v>39</v>
      </c>
      <c r="AD165" s="991" t="s">
        <v>1019</v>
      </c>
      <c r="AE165" s="612">
        <f>SUM(AE166:AE167)</f>
        <v>0</v>
      </c>
      <c r="AF165" s="612">
        <f>SUM(AF166:AF167)</f>
        <v>0</v>
      </c>
      <c r="AG165" s="612">
        <f>SUM(AG166:AG167)</f>
        <v>0</v>
      </c>
      <c r="AH165" s="307">
        <f>AG165-AF165</f>
        <v>0</v>
      </c>
      <c r="AI165" s="612">
        <f>SUM(AI166:AI167)</f>
        <v>0</v>
      </c>
      <c r="AJ165" s="612">
        <f>SUM(AJ166:AJ167)</f>
        <v>297</v>
      </c>
      <c r="AK165" s="612">
        <f>SUM(AK166:AK167)</f>
        <v>267</v>
      </c>
      <c r="AL165" s="307">
        <f>IF(AI165=0,0,(AK165-AI165)/AI165*100)</f>
        <v>0</v>
      </c>
      <c r="AM165" s="1730"/>
      <c r="AN165" s="1730"/>
      <c r="AO165" s="1730"/>
      <c r="AP165" s="227"/>
      <c r="AQ165" s="227"/>
      <c r="AR165" s="1230" t="s">
        <v>1806</v>
      </c>
      <c r="AS165" s="1268" cm="1" t="str">
        <f t="array" ref="AS165:AS165">D165&amp;"::"&amp;IF(M165&lt;&gt;"",M165,"Неопределено")&amp;"::"&amp;IF(L165&lt;&gt;"",L165,"Неопределено")&amp;"::"&amp;IF(N165&lt;&gt;"",N165,"Неопределено")&amp;"::"&amp;IF(O165&lt;&gt;"",O165,"Неопределено")&amp;"::"&amp;IF(P165&lt;&gt;"",P165,"Неопределено")&amp;"::"&amp;IF(Q165&lt;&gt;"",Q165,"Неопределено")&amp;"::"&amp;IF(R165&lt;&gt;"",R165,"Неопределено")&amp;"::"&amp;IF(S165&lt;&gt;"",S165,"Неопределено")</f>
        <v>M10558::ТЭ.42.26824396.0005::1.0.69.::Неопределено::Неопределено::Неопределено::Неопределено::Неопределено::Неопределено</v>
      </c>
    </row>
    <row s="1619" customFormat="1" customHeight="1" ht="16.5">
      <c r="A166" s="1183"/>
      <c r="B166" s="924"/>
      <c r="C166" s="1298" t="s">
        <v>1798</v>
      </c>
      <c r="D166" s="1257" t="s">
        <v>1799</v>
      </c>
      <c r="E166" s="794">
        <v>17.1</v>
      </c>
      <c r="F166" s="919" cm="1" t="str">
        <f t="array" ref="F166:F166">OFFSET(G166,-1,-1)</f>
        <v>2</v>
      </c>
      <c r="G166" s="190" t="s">
        <v>925</v>
      </c>
      <c r="H166" s="227"/>
      <c r="I166" s="227"/>
      <c r="J166" s="227"/>
      <c r="K166" s="227"/>
      <c r="L166" s="1286" t="s">
        <v>1807</v>
      </c>
      <c r="M166" s="1284" cm="1" t="str">
        <f t="array" ref="M166:M166">OFFSET(L166,-1,1)</f>
        <v>ТЭ.42.26824396.0005</v>
      </c>
      <c r="N166" s="1286"/>
      <c r="O166" s="1286"/>
      <c r="P166" s="1286"/>
      <c r="Q166" s="1286"/>
      <c r="R166" s="1286"/>
      <c r="S166" s="1286"/>
      <c r="T166" s="805" cm="1" t="str">
        <f t="array" ref="T166:T166">T165</f>
        <v>true</v>
      </c>
      <c r="U166" s="1461"/>
      <c r="V166" s="1461"/>
      <c r="W166" s="1461"/>
      <c r="X166" s="1461"/>
      <c r="Y166" s="1461"/>
      <c r="Z166" s="1461"/>
      <c r="AA166" s="227"/>
      <c r="AB166" s="989" t="s">
        <v>1165</v>
      </c>
      <c r="AC166" s="682" t="s">
        <v>1808</v>
      </c>
      <c r="AD166" s="991" t="s">
        <v>1019</v>
      </c>
      <c r="AE166" s="307">
        <f>_xlfn.SUMIFS(ЭнергоРесурсы!AE$26:AE$156,ЭнергоРесурсы!$F$26:$F$156,$F166,ЭнергоРесурсы!$G$26:$G$156,$G166)</f>
        <v>0</v>
      </c>
      <c r="AF166" s="307">
        <f>_xlfn.SUMIFS(ЭнергоРесурсы!AF$26:AF$156,ЭнергоРесурсы!$F$26:$F$156,$F166,ЭнергоРесурсы!$G$26:$G$156,$G166)</f>
        <v>0</v>
      </c>
      <c r="AG166" s="307">
        <f>_xlfn.SUMIFS(ЭнергоРесурсы!AG$26:AG$156,ЭнергоРесурсы!$F$26:$F$156,$F166,ЭнергоРесурсы!$G$26:$G$156,$G166)</f>
        <v>0</v>
      </c>
      <c r="AH166" s="307">
        <f>AG166-AF166</f>
        <v>0</v>
      </c>
      <c r="AI166" s="307">
        <f>_xlfn.SUMIFS(ЭнергоРесурсы!AH$26:AH$156,ЭнергоРесурсы!$F$26:$F$156,$F166,ЭнергоРесурсы!$G$26:$G$156,$G166)</f>
        <v>0</v>
      </c>
      <c r="AJ166" s="307">
        <f>_xlfn.SUMIFS(ЭнергоРесурсы!AI$26:AI$156,ЭнергоРесурсы!$F$26:$F$156,$F166,ЭнергоРесурсы!$G$26:$G$156,$G166)</f>
        <v>297</v>
      </c>
      <c r="AK166" s="307">
        <f>_xlfn.SUMIFS(ЭнергоРесурсы!AS$26:AS$156,ЭнергоРесурсы!$F$26:$F$156,$F166,ЭнергоРесурсы!$G$26:$G$156,$G166)</f>
        <v>267</v>
      </c>
      <c r="AL166" s="307">
        <f>IF(AI166=0,0,(AK166-AI166)/AI166*100)</f>
        <v>0</v>
      </c>
      <c r="AM166" s="1730"/>
      <c r="AN166" s="1730"/>
      <c r="AO166" s="1730"/>
      <c r="AP166" s="227"/>
      <c r="AQ166" s="227"/>
      <c r="AR166" s="1230" t="s">
        <v>1809</v>
      </c>
      <c r="AS166" s="1268" cm="1" t="str">
        <f t="array" ref="AS166:AS166">D166&amp;"::"&amp;IF(M166&lt;&gt;"",M166,"Неопределено")&amp;"::"&amp;IF(L166&lt;&gt;"",L166,"Неопределено")&amp;"::"&amp;IF(N166&lt;&gt;"",N166,"Неопределено")&amp;"::"&amp;IF(O166&lt;&gt;"",O166,"Неопределено")&amp;"::"&amp;IF(P166&lt;&gt;"",P166,"Неопределено")&amp;"::"&amp;IF(Q166&lt;&gt;"",Q166,"Неопределено")&amp;"::"&amp;IF(R166&lt;&gt;"",R166,"Неопределено")&amp;"::"&amp;IF(S166&lt;&gt;"",S166,"Неопределено")</f>
        <v>M10558::ТЭ.42.26824396.0005::1.0.82.::Неопределено::Неопределено::Неопределено::Неопределено::Неопределено::Неопределено</v>
      </c>
    </row>
    <row s="1619" customFormat="1" customHeight="1" ht="16.5">
      <c r="A167" s="1183"/>
      <c r="B167" s="924"/>
      <c r="C167" s="1298" t="s">
        <v>1798</v>
      </c>
      <c r="D167" s="1257" t="s">
        <v>1799</v>
      </c>
      <c r="E167" s="794">
        <v>17.1</v>
      </c>
      <c r="F167" s="919" cm="1" t="str">
        <f t="array" ref="F167:F167">OFFSET(G167,-1,-1)</f>
        <v>2</v>
      </c>
      <c r="G167" s="190" t="s">
        <v>960</v>
      </c>
      <c r="H167" s="227"/>
      <c r="I167" s="227"/>
      <c r="J167" s="227"/>
      <c r="K167" s="227"/>
      <c r="L167" s="1286" t="s">
        <v>1810</v>
      </c>
      <c r="M167" s="1284" cm="1" t="str">
        <f t="array" ref="M167:M167">OFFSET(L167,-1,1)</f>
        <v>ТЭ.42.26824396.0005</v>
      </c>
      <c r="N167" s="1286"/>
      <c r="O167" s="1286"/>
      <c r="P167" s="1286"/>
      <c r="Q167" s="1286"/>
      <c r="R167" s="1286"/>
      <c r="S167" s="1286"/>
      <c r="T167" s="805" cm="1" t="str">
        <f t="array" ref="T167:T167">T166</f>
        <v>true</v>
      </c>
      <c r="U167" s="1461"/>
      <c r="V167" s="1461"/>
      <c r="W167" s="1461"/>
      <c r="X167" s="1461"/>
      <c r="Y167" s="1461"/>
      <c r="Z167" s="1461"/>
      <c r="AA167" s="227"/>
      <c r="AB167" s="989" t="s">
        <v>1169</v>
      </c>
      <c r="AC167" s="682" t="s">
        <v>1811</v>
      </c>
      <c r="AD167" s="991" t="s">
        <v>1019</v>
      </c>
      <c r="AE167" s="307">
        <f>_xlfn.SUMIFS(ЭнергоРесурсы!AE$26:AE$156,ЭнергоРесурсы!$F$26:$F$156,$F167,ЭнергоРесурсы!$G$26:$G$156,$G167)</f>
        <v>0</v>
      </c>
      <c r="AF167" s="307">
        <f>_xlfn.SUMIFS(ЭнергоРесурсы!AF$26:AF$156,ЭнергоРесурсы!$F$26:$F$156,$F167,ЭнергоРесурсы!$G$26:$G$156,$G167)</f>
        <v>0</v>
      </c>
      <c r="AG167" s="307">
        <f>_xlfn.SUMIFS(ЭнергоРесурсы!AG$26:AG$156,ЭнергоРесурсы!$F$26:$F$156,$F167,ЭнергоРесурсы!$G$26:$G$156,$G167)</f>
        <v>0</v>
      </c>
      <c r="AH167" s="307">
        <f>AG167-AF167</f>
        <v>0</v>
      </c>
      <c r="AI167" s="307">
        <f>_xlfn.SUMIFS(ЭнергоРесурсы!AH$26:AH$156,ЭнергоРесурсы!$F$26:$F$156,$F167,ЭнергоРесурсы!$G$26:$G$156,$G167)</f>
        <v>0</v>
      </c>
      <c r="AJ167" s="307">
        <f>_xlfn.SUMIFS(ЭнергоРесурсы!AI$26:AI$156,ЭнергоРесурсы!$F$26:$F$156,$F167,ЭнергоРесурсы!$G$26:$G$156,$G167)</f>
        <v>0</v>
      </c>
      <c r="AK167" s="307">
        <f>_xlfn.SUMIFS(ЭнергоРесурсы!AS$26:AS$156,ЭнергоРесурсы!$F$26:$F$156,$F167,ЭнергоРесурсы!$G$26:$G$156,$G167)</f>
        <v>0</v>
      </c>
      <c r="AL167" s="307">
        <f>IF(AI167=0,0,(AK167-AI167)/AI167*100)</f>
        <v>0</v>
      </c>
      <c r="AM167" s="1730"/>
      <c r="AN167" s="1730"/>
      <c r="AO167" s="1730"/>
      <c r="AP167" s="227"/>
      <c r="AQ167" s="227"/>
      <c r="AR167" s="1230" t="s">
        <v>1812</v>
      </c>
      <c r="AS167" s="1268" cm="1" t="str">
        <f t="array" ref="AS167:AS167">D167&amp;"::"&amp;IF(M167&lt;&gt;"",M167,"Неопределено")&amp;"::"&amp;IF(L167&lt;&gt;"",L167,"Неопределено")&amp;"::"&amp;IF(N167&lt;&gt;"",N167,"Неопределено")&amp;"::"&amp;IF(O167&lt;&gt;"",O167,"Неопределено")&amp;"::"&amp;IF(P167&lt;&gt;"",P167,"Неопределено")&amp;"::"&amp;IF(Q167&lt;&gt;"",Q167,"Неопределено")&amp;"::"&amp;IF(R167&lt;&gt;"",R167,"Неопределено")&amp;"::"&amp;IF(S167&lt;&gt;"",S167,"Неопределено")</f>
        <v>M10558::ТЭ.42.26824396.0005::1.0.80.::Неопределено::Неопределено::Неопределено::Неопределено::Неопределено::Неопределено</v>
      </c>
    </row>
    <row s="1619" customFormat="1" customHeight="1" ht="16.5">
      <c r="A168" s="1183"/>
      <c r="B168" s="924"/>
      <c r="C168" s="1298" t="s">
        <v>1798</v>
      </c>
      <c r="D168" s="1257" t="s">
        <v>1799</v>
      </c>
      <c r="E168" s="794">
        <v>17.1</v>
      </c>
      <c r="F168" s="919" cm="1" t="str">
        <f t="array" ref="F168:F168">OFFSET(G168,-1,-1)</f>
        <v>2</v>
      </c>
      <c r="G168" s="190" t="s">
        <v>992</v>
      </c>
      <c r="H168" s="227"/>
      <c r="I168" s="227"/>
      <c r="J168" s="227"/>
      <c r="K168" s="227"/>
      <c r="L168" s="1286" t="s">
        <v>1813</v>
      </c>
      <c r="M168" s="1284" cm="1" t="str">
        <f t="array" ref="M168:M168">OFFSET(L168,-1,1)</f>
        <v>ТЭ.42.26824396.0005</v>
      </c>
      <c r="N168" s="1286"/>
      <c r="O168" s="1286"/>
      <c r="P168" s="1286"/>
      <c r="Q168" s="1286"/>
      <c r="R168" s="1286"/>
      <c r="S168" s="1286"/>
      <c r="T168" s="805" cm="1" t="str">
        <f t="array" ref="T168:T168">T167</f>
        <v>true</v>
      </c>
      <c r="U168" s="1461"/>
      <c r="V168" s="1461"/>
      <c r="W168" s="1461"/>
      <c r="X168" s="1461"/>
      <c r="Y168" s="1461"/>
      <c r="Z168" s="1461"/>
      <c r="AA168" s="227"/>
      <c r="AB168" s="989" t="s">
        <v>937</v>
      </c>
      <c r="AC168" s="990" t="s">
        <v>993</v>
      </c>
      <c r="AD168" s="991" t="s">
        <v>1019</v>
      </c>
      <c r="AE168" s="547">
        <f>_xlfn.SUMIFS('ХВС, ТН'!AE$26:AE$72,'ХВС, ТН'!$F$26:$F$72,$F168,'ХВС, ТН'!$G$26:$G$72,$G168)</f>
        <v>0</v>
      </c>
      <c r="AF168" s="547">
        <f>_xlfn.SUMIFS('ХВС, ТН'!AF$26:AF$72,'ХВС, ТН'!$F$26:$F$72,$F168,'ХВС, ТН'!$G$26:$G$72,$G168)</f>
        <v>0</v>
      </c>
      <c r="AG168" s="547">
        <f>_xlfn.SUMIFS('ХВС, ТН'!AG$26:AG$72,'ХВС, ТН'!$F$26:$F$72,$F168,'ХВС, ТН'!$G$26:$G$72,$G168)</f>
        <v>0</v>
      </c>
      <c r="AH168" s="307">
        <f>AG168-AF168</f>
        <v>0</v>
      </c>
      <c r="AI168" s="547">
        <f>_xlfn.SUMIFS('ХВС, ТН'!AH$26:AH$72,'ХВС, ТН'!$F$26:$F$72,$F168,'ХВС, ТН'!$G$26:$G$72,$G168)</f>
        <v>0</v>
      </c>
      <c r="AJ168" s="547">
        <f>_xlfn.SUMIFS('ХВС, ТН'!AI$26:AI$72,'ХВС, ТН'!$F$26:$F$72,$F168,'ХВС, ТН'!$G$26:$G$72,$G168)</f>
        <v>159</v>
      </c>
      <c r="AK168" s="547">
        <f>_xlfn.SUMIFS('ХВС, ТН'!AS$26:AS$72,'ХВС, ТН'!$F$26:$F$72,$F168,'ХВС, ТН'!$G$26:$G$72,$G168)</f>
        <v>127</v>
      </c>
      <c r="AL168" s="307">
        <f>IF(AI168=0,0,(AK168-AI168)/AI168*100)</f>
        <v>0</v>
      </c>
      <c r="AM168" s="1730"/>
      <c r="AN168" s="1730"/>
      <c r="AO168" s="1730"/>
      <c r="AP168" s="227"/>
      <c r="AQ168" s="227"/>
      <c r="AR168" s="1230" t="s">
        <v>1390</v>
      </c>
      <c r="AS168" s="1268" cm="1" t="str">
        <f t="array" ref="AS168:AS168">D168&amp;"::"&amp;IF(M168&lt;&gt;"",M168,"Неопределено")&amp;"::"&amp;IF(L168&lt;&gt;"",L168,"Неопределено")&amp;"::"&amp;IF(N168&lt;&gt;"",N168,"Неопределено")&amp;"::"&amp;IF(O168&lt;&gt;"",O168,"Неопределено")&amp;"::"&amp;IF(P168&lt;&gt;"",P168,"Неопределено")&amp;"::"&amp;IF(Q168&lt;&gt;"",Q168,"Неопределено")&amp;"::"&amp;IF(R168&lt;&gt;"",R168,"Неопределено")&amp;"::"&amp;IF(S168&lt;&gt;"",S168,"Неопределено")</f>
        <v>M10558::ТЭ.42.26824396.0005::1.0.86.::Неопределено::Неопределено::Неопределено::Неопределено::Неопределено::Неопределено</v>
      </c>
    </row>
    <row s="1619" customFormat="1" customHeight="1" ht="16.5">
      <c r="A169" s="1183"/>
      <c r="B169" s="924"/>
      <c r="C169" s="1298" t="s">
        <v>1798</v>
      </c>
      <c r="D169" s="1257" t="s">
        <v>1799</v>
      </c>
      <c r="E169" s="794">
        <v>17.1</v>
      </c>
      <c r="F169" s="919" cm="1" t="str">
        <f t="array" ref="F169:F169">OFFSET(G169,-1,-1)</f>
        <v>2</v>
      </c>
      <c r="G169" s="190" t="s">
        <v>1003</v>
      </c>
      <c r="H169" s="227"/>
      <c r="I169" s="227"/>
      <c r="J169" s="227"/>
      <c r="K169" s="227"/>
      <c r="L169" s="1286" t="s">
        <v>1814</v>
      </c>
      <c r="M169" s="1284" cm="1" t="str">
        <f t="array" ref="M169:M169">OFFSET(L169,-1,1)</f>
        <v>ТЭ.42.26824396.0005</v>
      </c>
      <c r="N169" s="1286"/>
      <c r="O169" s="1286"/>
      <c r="P169" s="1286"/>
      <c r="Q169" s="1286"/>
      <c r="R169" s="1286"/>
      <c r="S169" s="1286"/>
      <c r="T169" s="805" cm="1" t="str">
        <f t="array" ref="T169:T169">T168</f>
        <v>true</v>
      </c>
      <c r="U169" s="1461"/>
      <c r="V169" s="1461"/>
      <c r="W169" s="1461"/>
      <c r="X169" s="1461"/>
      <c r="Y169" s="1461"/>
      <c r="Z169" s="1461"/>
      <c r="AA169" s="227"/>
      <c r="AB169" s="989" t="s">
        <v>1042</v>
      </c>
      <c r="AC169" s="990" t="s">
        <v>1004</v>
      </c>
      <c r="AD169" s="991" t="s">
        <v>1019</v>
      </c>
      <c r="AE169" s="547">
        <f>_xlfn.SUMIFS('ХВС, ТН'!AE$26:AE$72,'ХВС, ТН'!$F$26:$F$72,$F169,'ХВС, ТН'!$G$26:$G$72,$G169)</f>
        <v>0</v>
      </c>
      <c r="AF169" s="547">
        <f>_xlfn.SUMIFS('ХВС, ТН'!AF$26:AF$72,'ХВС, ТН'!$F$26:$F$72,$F169,'ХВС, ТН'!$G$26:$G$72,$G169)</f>
        <v>0</v>
      </c>
      <c r="AG169" s="547">
        <f>_xlfn.SUMIFS('ХВС, ТН'!AG$26:AG$72,'ХВС, ТН'!$F$26:$F$72,$F169,'ХВС, ТН'!$G$26:$G$72,$G169)</f>
        <v>0</v>
      </c>
      <c r="AH169" s="307">
        <f>AG169-AF169</f>
        <v>0</v>
      </c>
      <c r="AI169" s="547">
        <f>_xlfn.SUMIFS('ХВС, ТН'!AH$26:AH$72,'ХВС, ТН'!$F$26:$F$72,$F169,'ХВС, ТН'!$G$26:$G$72,$G169)</f>
        <v>0</v>
      </c>
      <c r="AJ169" s="547">
        <f>_xlfn.SUMIFS('ХВС, ТН'!AI$26:AI$72,'ХВС, ТН'!$F$26:$F$72,$F169,'ХВС, ТН'!$G$26:$G$72,$G169)</f>
        <v>0</v>
      </c>
      <c r="AK169" s="547">
        <f>_xlfn.SUMIFS('ХВС, ТН'!AS$26:AS$72,'ХВС, ТН'!$F$26:$F$72,$F169,'ХВС, ТН'!$G$26:$G$72,$G169)</f>
        <v>0</v>
      </c>
      <c r="AL169" s="307">
        <f>IF(AI169=0,0,(AK169-AI169)/AI169*100)</f>
        <v>0</v>
      </c>
      <c r="AM169" s="1730"/>
      <c r="AN169" s="1730"/>
      <c r="AO169" s="1730"/>
      <c r="AP169" s="227"/>
      <c r="AQ169" s="227"/>
      <c r="AR169" s="1230" t="s">
        <v>1391</v>
      </c>
      <c r="AS169" s="1268" cm="1" t="str">
        <f t="array" ref="AS169:AS169">D169&amp;"::"&amp;IF(M169&lt;&gt;"",M169,"Неопределено")&amp;"::"&amp;IF(L169&lt;&gt;"",L169,"Неопределено")&amp;"::"&amp;IF(N169&lt;&gt;"",N169,"Неопределено")&amp;"::"&amp;IF(O169&lt;&gt;"",O169,"Неопределено")&amp;"::"&amp;IF(P169&lt;&gt;"",P169,"Неопределено")&amp;"::"&amp;IF(Q169&lt;&gt;"",Q169,"Неопределено")&amp;"::"&amp;IF(R169&lt;&gt;"",R169,"Неопределено")&amp;"::"&amp;IF(S169&lt;&gt;"",S169,"Неопределено")</f>
        <v>M10558::ТЭ.42.26824396.0005::1.0.88.::Неопределено::Неопределено::Неопределено::Неопределено::Неопределено::Неопределено</v>
      </c>
    </row>
    <row s="1619" customFormat="1" customHeight="1" ht="16.5">
      <c r="A170" s="1183"/>
      <c r="B170" s="924"/>
      <c r="C170" s="1298" t="s">
        <v>1798</v>
      </c>
      <c r="D170" s="1257" t="s">
        <v>1799</v>
      </c>
      <c r="E170" s="794">
        <v>17.1</v>
      </c>
      <c r="F170" s="919" cm="1" t="str">
        <f t="array" ref="F170:F170">OFFSET(G170,-1,-1)</f>
        <v>2</v>
      </c>
      <c r="G170" s="190" t="s">
        <v>1129</v>
      </c>
      <c r="H170" s="227"/>
      <c r="I170" s="227"/>
      <c r="J170" s="227"/>
      <c r="K170" s="227"/>
      <c r="L170" s="1286" t="s">
        <v>1815</v>
      </c>
      <c r="M170" s="1284" cm="1" t="str">
        <f t="array" ref="M170:M170">OFFSET(L170,-1,1)</f>
        <v>ТЭ.42.26824396.0005</v>
      </c>
      <c r="N170" s="1286"/>
      <c r="O170" s="1286"/>
      <c r="P170" s="1286"/>
      <c r="Q170" s="1286"/>
      <c r="R170" s="1286"/>
      <c r="S170" s="1286"/>
      <c r="T170" s="805" cm="1" t="str">
        <f t="array" ref="T170:T170">T169</f>
        <v>true</v>
      </c>
      <c r="U170" s="1461"/>
      <c r="V170" s="1461"/>
      <c r="W170" s="1461"/>
      <c r="X170" s="1461"/>
      <c r="Y170" s="1461"/>
      <c r="Z170" s="1461"/>
      <c r="AA170" s="227"/>
      <c r="AB170" s="989" t="s">
        <v>1045</v>
      </c>
      <c r="AC170" s="990" t="s">
        <v>1369</v>
      </c>
      <c r="AD170" s="991" t="s">
        <v>1019</v>
      </c>
      <c r="AE170" s="612">
        <f>_xlfn.SUMIFS(Амортизация!AE$26:AE$324,Амортизация!$F$26:$F$324,$F170,Амортизация!$G$26:$G$324,$G170)</f>
        <v>0</v>
      </c>
      <c r="AF170" s="612">
        <f>_xlfn.SUMIFS(Амортизация!AF$26:AF$324,Амортизация!$F$26:$F$324,$F170,Амортизация!$G$26:$G$324,$G170)</f>
        <v>0</v>
      </c>
      <c r="AG170" s="612">
        <f>_xlfn.SUMIFS(Амортизация!AG$26:AG$324,Амортизация!$F$26:$F$324,$F170,Амортизация!$G$26:$G$324,$G170)</f>
        <v>0</v>
      </c>
      <c r="AH170" s="307">
        <f>AG170-AF170</f>
        <v>0</v>
      </c>
      <c r="AI170" s="612">
        <f>_xlfn.SUMIFS(Амортизация!AH$26:AH$324,Амортизация!$F$26:$F$324,$F170,Амортизация!$G$26:$G$324,$G170)</f>
        <v>0</v>
      </c>
      <c r="AJ170" s="612">
        <f>_xlfn.SUMIFS(Амортизация!AI$26:AI$324,Амортизация!$F$26:$F$324,$F170,Амортизация!$G$26:$G$324,$G170)</f>
        <v>507</v>
      </c>
      <c r="AK170" s="612">
        <f>_xlfn.SUMIFS(Амортизация!AS$26:AS$324,Амортизация!$F$26:$F$324,$F170,Амортизация!$G$26:$G$324,$G170)</f>
        <v>322</v>
      </c>
      <c r="AL170" s="307">
        <f>IF(AI170=0,0,(AK170-AI170)/AI170*100)</f>
        <v>0</v>
      </c>
      <c r="AM170" s="1730"/>
      <c r="AN170" s="1730"/>
      <c r="AO170" s="1730"/>
      <c r="AP170" s="227"/>
      <c r="AQ170" s="227"/>
      <c r="AR170" s="1230" t="s">
        <v>1370</v>
      </c>
      <c r="AS170" s="1268" cm="1" t="str">
        <f t="array" ref="AS170:AS170">D170&amp;"::"&amp;IF(M170&lt;&gt;"",M170,"Неопределено")&amp;"::"&amp;IF(L170&lt;&gt;"",L170,"Неопределено")&amp;"::"&amp;IF(N170&lt;&gt;"",N170,"Неопределено")&amp;"::"&amp;IF(O170&lt;&gt;"",O170,"Неопределено")&amp;"::"&amp;IF(P170&lt;&gt;"",P170,"Неопределено")&amp;"::"&amp;IF(Q170&lt;&gt;"",Q170,"Неопределено")&amp;"::"&amp;IF(R170&lt;&gt;"",R170,"Неопределено")&amp;"::"&amp;IF(S170&lt;&gt;"",S170,"Неопределено")</f>
        <v>M10558::ТЭ.42.26824396.0005::1.0.2.::Неопределено::Неопределено::Неопределено::Неопределено::Неопределено::Неопределено</v>
      </c>
    </row>
    <row s="1619" customFormat="1" customHeight="1" ht="16.5">
      <c r="A171" s="1183"/>
      <c r="B171" s="924"/>
      <c r="C171" s="1298" t="s">
        <v>1798</v>
      </c>
      <c r="D171" s="1257" t="s">
        <v>1799</v>
      </c>
      <c r="E171" s="794">
        <v>17.1</v>
      </c>
      <c r="F171" s="919" cm="1" t="str">
        <f t="array" ref="F171:F171">OFFSET(G171,-1,-1)</f>
        <v>2</v>
      </c>
      <c r="G171" s="190" t="s">
        <v>48</v>
      </c>
      <c r="H171" s="227"/>
      <c r="I171" s="227"/>
      <c r="J171" s="227"/>
      <c r="K171" s="227"/>
      <c r="L171" s="1286" t="s">
        <v>1816</v>
      </c>
      <c r="M171" s="1284" cm="1" t="str">
        <f t="array" ref="M171:M171">OFFSET(L171,-1,1)</f>
        <v>ТЭ.42.26824396.0005</v>
      </c>
      <c r="N171" s="1286"/>
      <c r="O171" s="1286"/>
      <c r="P171" s="1286"/>
      <c r="Q171" s="1286"/>
      <c r="R171" s="1286"/>
      <c r="S171" s="1286"/>
      <c r="T171" s="805" cm="1" t="str">
        <f t="array" ref="T171:T171">T170</f>
        <v>true</v>
      </c>
      <c r="U171" s="1461"/>
      <c r="V171" s="1461"/>
      <c r="W171" s="1461"/>
      <c r="X171" s="1461"/>
      <c r="Y171" s="1461"/>
      <c r="Z171" s="1461"/>
      <c r="AA171" s="227"/>
      <c r="AB171" s="989" t="s">
        <v>1048</v>
      </c>
      <c r="AC171" s="990" t="s">
        <v>1817</v>
      </c>
      <c r="AD171" s="991" t="s">
        <v>1019</v>
      </c>
      <c r="AE171" s="307">
        <f>_xlfn.SUMIFS(ФОТ!AE$26:AE$108,ФОТ!$F$26:$F$108,$F171,ФОТ!$G$26:$G$108,$G171)</f>
        <v>0</v>
      </c>
      <c r="AF171" s="307">
        <f>_xlfn.SUMIFS(ФОТ!AF$26:AF$108,ФОТ!$F$26:$F$108,$F171,ФОТ!$G$26:$G$108,$G171)</f>
        <v>0</v>
      </c>
      <c r="AG171" s="307">
        <f>_xlfn.SUMIFS(ФОТ!AG$26:AG$108,ФОТ!$F$26:$F$108,$F171,ФОТ!$G$26:$G$108,$G171)</f>
        <v>0</v>
      </c>
      <c r="AH171" s="307">
        <f>AG171-AF171</f>
        <v>0</v>
      </c>
      <c r="AI171" s="307">
        <f>_xlfn.SUMIFS(ФОТ!AH$26:AH$108,ФОТ!$F$26:$F$108,$F171,ФОТ!$G$26:$G$108,$G171)</f>
        <v>0</v>
      </c>
      <c r="AJ171" s="307">
        <f>_xlfn.SUMIFS(ФОТ!AI$26:AI$108,ФОТ!$F$26:$F$108,$F171,ФОТ!$G$26:$G$108,$G171)</f>
        <v>1081.99992</v>
      </c>
      <c r="AK171" s="307">
        <f>_xlfn.SUMIFS(ФОТ!AJ$26:AJ$108,ФОТ!$F$26:$F$108,$F171,ФОТ!$G$26:$G$108,$G171)</f>
        <v>601.99992</v>
      </c>
      <c r="AL171" s="307">
        <f>IF(AI171=0,0,(AK171-AI171)/AI171*100)</f>
        <v>0</v>
      </c>
      <c r="AM171" s="1730"/>
      <c r="AN171" s="1730"/>
      <c r="AO171" s="1730"/>
      <c r="AP171" s="227"/>
      <c r="AQ171" s="227"/>
      <c r="AR171" s="1230" t="s">
        <v>1299</v>
      </c>
      <c r="AS171" s="1268" cm="1" t="str">
        <f t="array" ref="AS171:AS171">D171&amp;"::"&amp;IF(M171&lt;&gt;"",M171,"Неопределено")&amp;"::"&amp;IF(L171&lt;&gt;"",L171,"Неопределено")&amp;"::"&amp;IF(N171&lt;&gt;"",N171,"Неопределено")&amp;"::"&amp;IF(O171&lt;&gt;"",O171,"Неопределено")&amp;"::"&amp;IF(P171&lt;&gt;"",P171,"Неопределено")&amp;"::"&amp;IF(Q171&lt;&gt;"",Q171,"Неопределено")&amp;"::"&amp;IF(R171&lt;&gt;"",R171,"Неопределено")&amp;"::"&amp;IF(S171&lt;&gt;"",S171,"Неопределено")</f>
        <v>M10558::ТЭ.42.26824396.0005::1.0.15.::Неопределено::Неопределено::Неопределено::Неопределено::Неопределено::Неопределено</v>
      </c>
    </row>
    <row s="1619" customFormat="1" customHeight="1" ht="16.5">
      <c r="A172" s="1183"/>
      <c r="B172" s="924"/>
      <c r="C172" s="1298" t="s">
        <v>1798</v>
      </c>
      <c r="D172" s="1257" t="s">
        <v>1799</v>
      </c>
      <c r="E172" s="794">
        <v>17.1</v>
      </c>
      <c r="F172" s="919" cm="1" t="str">
        <f t="array" ref="F172:F172">OFFSET(G172,-1,-1)</f>
        <v>2</v>
      </c>
      <c r="G172" s="227"/>
      <c r="H172" s="227"/>
      <c r="I172" s="227"/>
      <c r="J172" s="227"/>
      <c r="K172" s="227"/>
      <c r="L172" s="1286" t="s">
        <v>1818</v>
      </c>
      <c r="M172" s="1284" cm="1" t="str">
        <f t="array" ref="M172:M172">OFFSET(L172,-1,1)</f>
        <v>ТЭ.42.26824396.0005</v>
      </c>
      <c r="N172" s="1286"/>
      <c r="O172" s="1286"/>
      <c r="P172" s="1286"/>
      <c r="Q172" s="1286"/>
      <c r="R172" s="1286"/>
      <c r="S172" s="1286"/>
      <c r="T172" s="805" cm="1" t="str">
        <f t="array" ref="T172:T172">T171</f>
        <v>true</v>
      </c>
      <c r="U172" s="1461"/>
      <c r="V172" s="1461"/>
      <c r="W172" s="1461"/>
      <c r="X172" s="1461"/>
      <c r="Y172" s="1461"/>
      <c r="Z172" s="1461"/>
      <c r="AA172" s="227"/>
      <c r="AB172" s="989" t="s">
        <v>1051</v>
      </c>
      <c r="AC172" s="990" t="s">
        <v>1362</v>
      </c>
      <c r="AD172" s="991" t="s">
        <v>1019</v>
      </c>
      <c r="AE172" s="1903"/>
      <c r="AF172" s="1903"/>
      <c r="AG172" s="1903"/>
      <c r="AH172" s="307">
        <f>AG172-AF172</f>
        <v>0</v>
      </c>
      <c r="AI172" s="1903"/>
      <c r="AJ172" s="614"/>
      <c r="AK172" s="614"/>
      <c r="AL172" s="307">
        <f>IF(AI172=0,0,(AK172-AI172)/AI172*100)</f>
        <v>0</v>
      </c>
      <c r="AM172" s="1730"/>
      <c r="AN172" s="1730"/>
      <c r="AO172" s="1730"/>
      <c r="AP172" s="227"/>
      <c r="AQ172" s="227"/>
      <c r="AR172" s="1230" t="s">
        <v>1363</v>
      </c>
      <c r="AS172" s="1268" cm="1" t="str">
        <f t="array" ref="AS172:AS172">D172&amp;"::"&amp;IF(M172&lt;&gt;"",M172,"Неопределено")&amp;"::"&amp;IF(L172&lt;&gt;"",L172,"Неопределено")&amp;"::"&amp;IF(N172&lt;&gt;"",N172,"Неопределено")&amp;"::"&amp;IF(O172&lt;&gt;"",O172,"Неопределено")&amp;"::"&amp;IF(P172&lt;&gt;"",P172,"Неопределено")&amp;"::"&amp;IF(Q172&lt;&gt;"",Q172,"Неопределено")&amp;"::"&amp;IF(R172&lt;&gt;"",R172,"Неопределено")&amp;"::"&amp;IF(S172&lt;&gt;"",S172,"Неопределено")</f>
        <v>M10558::ТЭ.42.26824396.0005::1.0.85.::Неопределено::Неопределено::Неопределено::Неопределено::Неопределено::Неопределено</v>
      </c>
    </row>
    <row s="1619" customFormat="1" customHeight="1" ht="16.5">
      <c r="A173" s="1183"/>
      <c r="B173" s="924"/>
      <c r="C173" s="1298" t="s">
        <v>1819</v>
      </c>
      <c r="D173" s="1257" t="s">
        <v>1820</v>
      </c>
      <c r="E173" s="794">
        <v>17.1</v>
      </c>
      <c r="F173" s="919" cm="1" t="str">
        <f t="array" ref="F173:F173">OFFSET(G173,-1,-1)</f>
        <v>2</v>
      </c>
      <c r="G173" s="227"/>
      <c r="H173" s="227"/>
      <c r="I173" s="227"/>
      <c r="J173" s="227"/>
      <c r="K173" s="227"/>
      <c r="L173" s="1286" t="s">
        <v>1821</v>
      </c>
      <c r="M173" s="1284" cm="1" t="str">
        <f t="array" ref="M173:M173">OFFSET(L173,-1,1)</f>
        <v>ТЭ.42.26824396.0005</v>
      </c>
      <c r="N173" s="1286"/>
      <c r="O173" s="1286"/>
      <c r="P173" s="1286"/>
      <c r="Q173" s="1286"/>
      <c r="R173" s="1286"/>
      <c r="S173" s="1286"/>
      <c r="T173" s="805" cm="1" t="str">
        <f t="array" ref="T173:T173">T172</f>
        <v>true</v>
      </c>
      <c r="U173" s="1461"/>
      <c r="V173" s="1461"/>
      <c r="W173" s="1461"/>
      <c r="X173" s="1461"/>
      <c r="Y173" s="1461"/>
      <c r="Z173" s="1461"/>
      <c r="AA173" s="227"/>
      <c r="AB173" s="989" t="s">
        <v>1822</v>
      </c>
      <c r="AC173" s="682" t="s">
        <v>1823</v>
      </c>
      <c r="AD173" s="991" t="s">
        <v>490</v>
      </c>
      <c r="AE173" s="1903"/>
      <c r="AF173" s="1903"/>
      <c r="AG173" s="1903"/>
      <c r="AH173" s="307">
        <f>AG173-AF173</f>
        <v>0</v>
      </c>
      <c r="AI173" s="1903"/>
      <c r="AJ173" s="614"/>
      <c r="AK173" s="614"/>
      <c r="AL173" s="307">
        <f>IF(AI173=0,0,(AK173-AI173)/AI173*100)</f>
        <v>0</v>
      </c>
      <c r="AM173" s="1730"/>
      <c r="AN173" s="1730"/>
      <c r="AO173" s="1730"/>
      <c r="AP173" s="227"/>
      <c r="AQ173" s="227"/>
      <c r="AR173" s="1230" t="s">
        <v>1360</v>
      </c>
      <c r="AS173" s="1268" cm="1" t="str">
        <f t="array" ref="AS173:AS173">D173&amp;"::"&amp;IF(M173&lt;&gt;"",M173,"Неопределено")&amp;"::"&amp;IF(L173&lt;&gt;"",L173,"Неопределено")&amp;"::"&amp;IF(N173&lt;&gt;"",N173,"Неопределено")&amp;"::"&amp;IF(O173&lt;&gt;"",O173,"Неопределено")&amp;"::"&amp;IF(P173&lt;&gt;"",P173,"Неопределено")&amp;"::"&amp;IF(Q173&lt;&gt;"",Q173,"Неопределено")&amp;"::"&amp;IF(R173&lt;&gt;"",R173,"Неопределено")&amp;"::"&amp;IF(S173&lt;&gt;"",S173,"Неопределено")</f>
        <v>M10532::ТЭ.42.26824396.0005::1.0.76.::Неопределено::Неопределено::Неопределено::Неопределено::Неопределено::Неопределено</v>
      </c>
    </row>
    <row s="1619" customFormat="1" customHeight="1" ht="16.5">
      <c r="A174" s="1183"/>
      <c r="B174" s="924"/>
      <c r="C174" s="1298" t="s">
        <v>1824</v>
      </c>
      <c r="D174" s="1257" t="s">
        <v>1825</v>
      </c>
      <c r="E174" s="794">
        <v>17.1</v>
      </c>
      <c r="F174" s="919" cm="1" t="str">
        <f t="array" ref="F174:F174">OFFSET(G174,-1,-1)</f>
        <v>2</v>
      </c>
      <c r="G174" s="227"/>
      <c r="H174" s="227"/>
      <c r="I174" s="227"/>
      <c r="J174" s="227"/>
      <c r="K174" s="227"/>
      <c r="L174" s="1286"/>
      <c r="M174" s="1284" cm="1" t="str">
        <f t="array" ref="M174:M174">OFFSET(L174,-1,1)</f>
        <v>ТЭ.42.26824396.0005</v>
      </c>
      <c r="N174" s="1286" t="s">
        <v>1826</v>
      </c>
      <c r="O174" s="1286"/>
      <c r="P174" s="1286"/>
      <c r="Q174" s="1286"/>
      <c r="R174" s="1286"/>
      <c r="S174" s="1286"/>
      <c r="T174" s="805" cm="1" t="str">
        <f t="array" ref="T174:T174">T173</f>
        <v>true</v>
      </c>
      <c r="U174" s="1461"/>
      <c r="V174" s="1461"/>
      <c r="W174" s="1461"/>
      <c r="X174" s="1461"/>
      <c r="Y174" s="1461"/>
      <c r="Z174" s="1461"/>
      <c r="AA174" s="227"/>
      <c r="AB174" s="989" t="s">
        <v>1266</v>
      </c>
      <c r="AC174" s="990" t="s">
        <v>1827</v>
      </c>
      <c r="AD174" s="991" t="s">
        <v>1019</v>
      </c>
      <c r="AE174" s="1903"/>
      <c r="AF174" s="1903"/>
      <c r="AG174" s="1903"/>
      <c r="AH174" s="307">
        <f>AG174-AF174</f>
        <v>0</v>
      </c>
      <c r="AI174" s="1903"/>
      <c r="AJ174" s="614"/>
      <c r="AK174" s="614"/>
      <c r="AL174" s="307">
        <f>IF(AI174=0,0,(AK174-AI174)/AI174*100)</f>
        <v>0</v>
      </c>
      <c r="AM174" s="1730"/>
      <c r="AN174" s="1730"/>
      <c r="AO174" s="1730"/>
      <c r="AP174" s="227"/>
      <c r="AQ174" s="227"/>
      <c r="AR174" s="1230" t="s">
        <v>1828</v>
      </c>
      <c r="AS174" s="1268" cm="1" t="str">
        <f t="array" ref="AS174:AS174">D174&amp;"::"&amp;IF(M174&lt;&gt;"",M174,"Неопределено")&amp;"::"&amp;IF(L174&lt;&gt;"",L174,"Неопределено")&amp;"::"&amp;IF(N174&lt;&gt;"",N174,"Неопределено")&amp;"::"&amp;IF(O174&lt;&gt;"",O174,"Неопределено")&amp;"::"&amp;IF(P174&lt;&gt;"",P174,"Неопределено")&amp;"::"&amp;IF(Q174&lt;&gt;"",Q174,"Неопределено")&amp;"::"&amp;IF(R174&lt;&gt;"",R174,"Неопределено")&amp;"::"&amp;IF(S174&lt;&gt;"",S174,"Неопределено")</f>
        <v>M10699::ТЭ.42.26824396.0005::Неопределено::110.0.7.::Неопределено::Неопределено::Неопределено::Неопределено::Неопределено</v>
      </c>
    </row>
    <row s="1619" customFormat="1" customHeight="1" ht="33.75">
      <c r="A175" s="1183"/>
      <c r="B175" s="924"/>
      <c r="C175" s="1298" t="s">
        <v>47</v>
      </c>
      <c r="D175" s="1257" t="s">
        <v>1829</v>
      </c>
      <c r="E175" s="794">
        <v>35</v>
      </c>
      <c r="F175" s="919" cm="1" t="str">
        <f t="array" ref="F175:F175">OFFSET(G175,-1,-1)</f>
        <v>2</v>
      </c>
      <c r="G175" s="190" t="s">
        <v>1179</v>
      </c>
      <c r="H175" s="227"/>
      <c r="I175" s="227"/>
      <c r="J175" s="227"/>
      <c r="K175" s="227"/>
      <c r="L175" s="1286"/>
      <c r="M175" s="1284" cm="1" t="str">
        <f t="array" ref="M175:M175">OFFSET(L175,-1,1)</f>
        <v>ТЭ.42.26824396.0005</v>
      </c>
      <c r="N175" s="1286" t="s">
        <v>1830</v>
      </c>
      <c r="O175" s="1286"/>
      <c r="P175" s="1286"/>
      <c r="Q175" s="1286"/>
      <c r="R175" s="1286"/>
      <c r="S175" s="1286"/>
      <c r="T175" s="805" cm="1" t="str">
        <f t="array" ref="T175:T175">T174</f>
        <v>true</v>
      </c>
      <c r="U175" s="1461"/>
      <c r="V175" s="1461"/>
      <c r="W175" s="1461"/>
      <c r="X175" s="1461"/>
      <c r="Y175" s="1461"/>
      <c r="Z175" s="1461"/>
      <c r="AA175" s="227"/>
      <c r="AB175" s="989" t="s">
        <v>1831</v>
      </c>
      <c r="AC175" s="990" t="s">
        <v>1832</v>
      </c>
      <c r="AD175" s="991" t="s">
        <v>1019</v>
      </c>
      <c r="AE175" s="612">
        <f>_xlfn.SUMIFS('Покупка услуг'!AE$26:AE$87,'Покупка услуг'!$F$26:$F$87,$F175,'Покупка услуг'!$G$26:$G$87,$G175)</f>
        <v>0</v>
      </c>
      <c r="AF175" s="612">
        <f>_xlfn.SUMIFS('Покупка услуг'!AF$26:AF$87,'Покупка услуг'!$F$26:$F$87,$F175,'Покупка услуг'!$G$26:$G$87,$G175)</f>
        <v>0</v>
      </c>
      <c r="AG175" s="612">
        <f>_xlfn.SUMIFS('Покупка услуг'!AG$26:AG$87,'Покупка услуг'!$F$26:$F$87,$F175,'Покупка услуг'!$G$26:$G$87,$G175)</f>
        <v>0</v>
      </c>
      <c r="AH175" s="307">
        <f>AG175-AF175</f>
        <v>0</v>
      </c>
      <c r="AI175" s="612">
        <f>_xlfn.SUMIFS('Покупка услуг'!AH$26:AH$87,'Покупка услуг'!$F$26:$F$87,$F175,'Покупка услуг'!$G$26:$G$87,$G175)</f>
        <v>0</v>
      </c>
      <c r="AJ175" s="612">
        <f>_xlfn.SUMIFS('Покупка услуг'!AI$26:AI$87,'Покупка услуг'!$F$26:$F$87,$F175,'Покупка услуг'!$G$26:$G$87,$G175)</f>
        <v>0</v>
      </c>
      <c r="AK175" s="612">
        <f>_xlfn.SUMIFS('Покупка услуг'!AS$26:AS$87,'Покупка услуг'!$F$26:$F$87,$F175,'Покупка услуг'!$G$26:$G$87,$G175)</f>
        <v>0</v>
      </c>
      <c r="AL175" s="307">
        <f>IF(AI175=0,0,(AK175-AI175)/AI175*100)</f>
        <v>0</v>
      </c>
      <c r="AM175" s="1730"/>
      <c r="AN175" s="1730"/>
      <c r="AO175" s="1730"/>
      <c r="AP175" s="227"/>
      <c r="AQ175" s="227"/>
      <c r="AR175" s="1230" t="s">
        <v>1833</v>
      </c>
      <c r="AS175" s="1268" cm="1" t="str">
        <f t="array" ref="AS175:AS175">D175&amp;"::"&amp;IF(M175&lt;&gt;"",M175,"Неопределено")&amp;"::"&amp;IF(L175&lt;&gt;"",L175,"Неопределено")&amp;"::"&amp;IF(N175&lt;&gt;"",N175,"Неопределено")&amp;"::"&amp;IF(O175&lt;&gt;"",O175,"Неопределено")&amp;"::"&amp;IF(P175&lt;&gt;"",P175,"Неопределено")&amp;"::"&amp;IF(Q175&lt;&gt;"",Q175,"Неопределено")&amp;"::"&amp;IF(R175&lt;&gt;"",R175,"Неопределено")&amp;"::"&amp;IF(S175&lt;&gt;"",S175,"Неопределено")</f>
        <v>M10712::ТЭ.42.26824396.0005::Неопределено::110.0.13.::Неопределено::Неопределено::Неопределено::Неопределено::Неопределено</v>
      </c>
    </row>
    <row s="1619" customFormat="1" customHeight="1" ht="33.75">
      <c r="A176" s="1183"/>
      <c r="B176" s="924"/>
      <c r="C176" s="1298" t="s">
        <v>1798</v>
      </c>
      <c r="D176" s="1257" t="s">
        <v>1799</v>
      </c>
      <c r="E176" s="794">
        <v>35</v>
      </c>
      <c r="F176" s="919" cm="1" t="str">
        <f t="array" ref="F176:F176">OFFSET(G176,-1,-1)</f>
        <v>2</v>
      </c>
      <c r="G176" s="227"/>
      <c r="H176" s="227"/>
      <c r="I176" s="227"/>
      <c r="J176" s="227"/>
      <c r="K176" s="227"/>
      <c r="L176" s="1286" t="s">
        <v>1834</v>
      </c>
      <c r="M176" s="1284" cm="1" t="str">
        <f t="array" ref="M176:M176">OFFSET(L176,-1,1)</f>
        <v>ТЭ.42.26824396.0005</v>
      </c>
      <c r="N176" s="1286"/>
      <c r="O176" s="1286"/>
      <c r="P176" s="1286"/>
      <c r="Q176" s="1286"/>
      <c r="R176" s="1286"/>
      <c r="S176" s="1286"/>
      <c r="T176" s="805" cm="1" t="str">
        <f t="array" ref="T176:T176">T175</f>
        <v>true</v>
      </c>
      <c r="U176" s="1461"/>
      <c r="V176" s="1461"/>
      <c r="W176" s="1461"/>
      <c r="X176" s="1461"/>
      <c r="Y176" s="1461"/>
      <c r="Z176" s="1461"/>
      <c r="AA176" s="227"/>
      <c r="AB176" s="989" t="s">
        <v>1835</v>
      </c>
      <c r="AC176" s="990" t="s">
        <v>1836</v>
      </c>
      <c r="AD176" s="991" t="s">
        <v>1019</v>
      </c>
      <c r="AE176" s="1903"/>
      <c r="AF176" s="1903"/>
      <c r="AG176" s="1903"/>
      <c r="AH176" s="307">
        <f>AG176-AF176</f>
        <v>0</v>
      </c>
      <c r="AI176" s="1903"/>
      <c r="AJ176" s="614"/>
      <c r="AK176" s="614"/>
      <c r="AL176" s="307">
        <f>IF(AI176=0,0,(AK176-AI176)/AI176*100)</f>
        <v>0</v>
      </c>
      <c r="AM176" s="1730"/>
      <c r="AN176" s="1730"/>
      <c r="AO176" s="1730"/>
      <c r="AP176" s="227"/>
      <c r="AQ176" s="227"/>
      <c r="AR176" s="1230" t="s">
        <v>1837</v>
      </c>
      <c r="AS176" s="1268" cm="1" t="str">
        <f t="array" ref="AS176:AS176">D176&amp;"::"&amp;IF(M176&lt;&gt;"",M176,"Неопределено")&amp;"::"&amp;IF(L176&lt;&gt;"",L176,"Неопределено")&amp;"::"&amp;IF(N176&lt;&gt;"",N176,"Неопределено")&amp;"::"&amp;IF(O176&lt;&gt;"",O176,"Неопределено")&amp;"::"&amp;IF(P176&lt;&gt;"",P176,"Неопределено")&amp;"::"&amp;IF(Q176&lt;&gt;"",Q176,"Неопределено")&amp;"::"&amp;IF(R176&lt;&gt;"",R176,"Неопределено")&amp;"::"&amp;IF(S176&lt;&gt;"",S176,"Неопределено")</f>
        <v>M10558::ТЭ.42.26824396.0005::1.0.70.::Неопределено::Неопределено::Неопределено::Неопределено::Неопределено::Неопределено</v>
      </c>
    </row>
    <row s="1619" customFormat="1" customHeight="1" ht="53.25">
      <c r="A177" s="1183"/>
      <c r="B177" s="924"/>
      <c r="C177" s="1298" t="s">
        <v>1798</v>
      </c>
      <c r="D177" s="1257" t="s">
        <v>1799</v>
      </c>
      <c r="E177" s="794">
        <v>55</v>
      </c>
      <c r="F177" s="919" cm="1" t="str">
        <f t="array" ref="F177:F177">OFFSET(G177,-1,-1)</f>
        <v>2</v>
      </c>
      <c r="G177" s="227"/>
      <c r="H177" s="227"/>
      <c r="I177" s="227"/>
      <c r="J177" s="227"/>
      <c r="K177" s="227"/>
      <c r="L177" s="1286" t="s">
        <v>1838</v>
      </c>
      <c r="M177" s="1284" cm="1" t="str">
        <f t="array" ref="M177:M177">OFFSET(L177,-1,1)</f>
        <v>ТЭ.42.26824396.0005</v>
      </c>
      <c r="N177" s="1286"/>
      <c r="O177" s="1286"/>
      <c r="P177" s="1286"/>
      <c r="Q177" s="1286"/>
      <c r="R177" s="1286"/>
      <c r="S177" s="1286"/>
      <c r="T177" s="805" cm="1" t="str">
        <f t="array" ref="T177:T177">T176</f>
        <v>true</v>
      </c>
      <c r="U177" s="1461"/>
      <c r="V177" s="1461"/>
      <c r="W177" s="1461"/>
      <c r="X177" s="1461"/>
      <c r="Y177" s="1461"/>
      <c r="Z177" s="1461"/>
      <c r="AA177" s="227"/>
      <c r="AB177" s="989" t="s">
        <v>1839</v>
      </c>
      <c r="AC177" s="990" t="s">
        <v>1840</v>
      </c>
      <c r="AD177" s="991" t="s">
        <v>1019</v>
      </c>
      <c r="AE177" s="1903"/>
      <c r="AF177" s="1903"/>
      <c r="AG177" s="1903"/>
      <c r="AH177" s="307">
        <f>AG177-AF177</f>
        <v>0</v>
      </c>
      <c r="AI177" s="1903"/>
      <c r="AJ177" s="614"/>
      <c r="AK177" s="614"/>
      <c r="AL177" s="307">
        <f>IF(AI177=0,0,(AK177-AI177)/AI177*100)</f>
        <v>0</v>
      </c>
      <c r="AM177" s="1730"/>
      <c r="AN177" s="1730"/>
      <c r="AO177" s="1730"/>
      <c r="AP177" s="227"/>
      <c r="AQ177" s="227"/>
      <c r="AR177" s="1230" t="s">
        <v>1841</v>
      </c>
      <c r="AS177" s="1268" cm="1" t="str">
        <f t="array" ref="AS177:AS177">D177&amp;"::"&amp;IF(M177&lt;&gt;"",M177,"Неопределено")&amp;"::"&amp;IF(L177&lt;&gt;"",L177,"Неопределено")&amp;"::"&amp;IF(N177&lt;&gt;"",N177,"Неопределено")&amp;"::"&amp;IF(O177&lt;&gt;"",O177,"Неопределено")&amp;"::"&amp;IF(P177&lt;&gt;"",P177,"Неопределено")&amp;"::"&amp;IF(Q177&lt;&gt;"",Q177,"Неопределено")&amp;"::"&amp;IF(R177&lt;&gt;"",R177,"Неопределено")&amp;"::"&amp;IF(S177&lt;&gt;"",S177,"Неопределено")</f>
        <v>M10558::ТЭ.42.26824396.0005::1.0.102.::Неопределено::Неопределено::Неопределено::Неопределено::Неопределено::Неопределено</v>
      </c>
    </row>
    <row s="1619" customFormat="1" customHeight="1" ht="39">
      <c r="A178" s="1183"/>
      <c r="B178" s="924"/>
      <c r="C178" s="1298" t="s">
        <v>1798</v>
      </c>
      <c r="D178" s="1257" t="s">
        <v>1799</v>
      </c>
      <c r="E178" s="794">
        <v>40</v>
      </c>
      <c r="F178" s="919" cm="1" t="str">
        <f t="array" ref="F178:F178">OFFSET(G178,-1,-1)</f>
        <v>2</v>
      </c>
      <c r="G178" s="190" t="s">
        <v>1245</v>
      </c>
      <c r="H178" s="227"/>
      <c r="I178" s="227"/>
      <c r="J178" s="227"/>
      <c r="K178" s="227"/>
      <c r="L178" s="1286" t="s">
        <v>1842</v>
      </c>
      <c r="M178" s="1284" cm="1" t="str">
        <f t="array" ref="M178:M178">OFFSET(L178,-1,1)</f>
        <v>ТЭ.42.26824396.0005</v>
      </c>
      <c r="N178" s="1286"/>
      <c r="O178" s="1286"/>
      <c r="P178" s="1286"/>
      <c r="Q178" s="1286"/>
      <c r="R178" s="1286"/>
      <c r="S178" s="1286"/>
      <c r="T178" s="805" cm="1" t="str">
        <f t="array" ref="T178:T178">T177</f>
        <v>true</v>
      </c>
      <c r="U178" s="1461"/>
      <c r="V178" s="1461"/>
      <c r="W178" s="1461"/>
      <c r="X178" s="1461"/>
      <c r="Y178" s="1461"/>
      <c r="Z178" s="1461"/>
      <c r="AA178" s="227"/>
      <c r="AB178" s="989" t="s">
        <v>1843</v>
      </c>
      <c r="AC178" s="990" t="s">
        <v>1844</v>
      </c>
      <c r="AD178" s="991" t="s">
        <v>1019</v>
      </c>
      <c r="AE178" s="612">
        <f>_xlfn.SUMIFS(Налоги!AE$26:AE$69,Налоги!$F$26:$F$69,$F178,Налоги!$G$26:$G$69,$G178)</f>
        <v>0</v>
      </c>
      <c r="AF178" s="612">
        <f>_xlfn.SUMIFS(Налоги!AF$26:AF$69,Налоги!$F$26:$F$69,$F178,Налоги!$G$26:$G$69,$G178)</f>
        <v>0</v>
      </c>
      <c r="AG178" s="612">
        <f>_xlfn.SUMIFS(Налоги!AG$26:AG$69,Налоги!$F$26:$F$69,$F178,Налоги!$G$26:$G$69,$G178)</f>
        <v>0</v>
      </c>
      <c r="AH178" s="307">
        <f>AG178-AF178</f>
        <v>0</v>
      </c>
      <c r="AI178" s="612">
        <f>_xlfn.SUMIFS(Налоги!AH$26:AH$69,Налоги!$F$26:$F$69,$F178,Налоги!$G$26:$G$69,$G178)</f>
        <v>0</v>
      </c>
      <c r="AJ178" s="612">
        <f>_xlfn.SUMIFS(Налоги!AI$26:AI$69,Налоги!$F$26:$F$69,$F178,Налоги!$G$26:$G$69,$G178)</f>
        <v>1</v>
      </c>
      <c r="AK178" s="612">
        <f>_xlfn.SUMIFS(Налоги!AS$26:AS$69,Налоги!$F$26:$F$69,$F178,Налоги!$G$26:$G$69,$G178)</f>
        <v>0</v>
      </c>
      <c r="AL178" s="307">
        <f>IF(AI178=0,0,(AK178-AI178)/AI178*100)</f>
        <v>0</v>
      </c>
      <c r="AM178" s="1730"/>
      <c r="AN178" s="1730"/>
      <c r="AO178" s="1730"/>
      <c r="AP178" s="227"/>
      <c r="AQ178" s="227"/>
      <c r="AR178" s="1230" t="s">
        <v>1358</v>
      </c>
      <c r="AS178" s="1268" cm="1" t="str">
        <f t="array" ref="AS178:AS178">D178&amp;"::"&amp;IF(M178&lt;&gt;"",M178,"Неопределено")&amp;"::"&amp;IF(L178&lt;&gt;"",L178,"Неопределено")&amp;"::"&amp;IF(N178&lt;&gt;"",N178,"Неопределено")&amp;"::"&amp;IF(O178&lt;&gt;"",O178,"Неопределено")&amp;"::"&amp;IF(P178&lt;&gt;"",P178,"Неопределено")&amp;"::"&amp;IF(Q178&lt;&gt;"",Q178,"Неопределено")&amp;"::"&amp;IF(R178&lt;&gt;"",R178,"Неопределено")&amp;"::"&amp;IF(S178&lt;&gt;"",S178,"Неопределено")</f>
        <v>M10558::ТЭ.42.26824396.0005::1.0.99.::Неопределено::Неопределено::Неопределено::Неопределено::Неопределено::Неопределено</v>
      </c>
    </row>
    <row s="1619" customFormat="1" customHeight="1" ht="16.5">
      <c r="A179" s="1183"/>
      <c r="B179" s="924"/>
      <c r="C179" s="1298" t="s">
        <v>1798</v>
      </c>
      <c r="D179" s="1257" t="s">
        <v>1799</v>
      </c>
      <c r="E179" s="794">
        <v>17.1</v>
      </c>
      <c r="F179" s="919" cm="1" t="str">
        <f t="array" ref="F179:F179">OFFSET(G179,-1,-1)</f>
        <v>2</v>
      </c>
      <c r="G179" s="190" t="s">
        <v>1147</v>
      </c>
      <c r="H179" s="227"/>
      <c r="I179" s="227"/>
      <c r="J179" s="227"/>
      <c r="K179" s="227"/>
      <c r="L179" s="1286"/>
      <c r="M179" s="1284" cm="1" t="str">
        <f t="array" ref="M179:M179">OFFSET(L179,-1,1)</f>
        <v>ТЭ.42.26824396.0005</v>
      </c>
      <c r="N179" s="1286" t="s">
        <v>1845</v>
      </c>
      <c r="O179" s="1286"/>
      <c r="P179" s="1286"/>
      <c r="Q179" s="1286"/>
      <c r="R179" s="1286"/>
      <c r="S179" s="1286"/>
      <c r="T179" s="805" cm="1" t="str">
        <f t="array" ref="T179:T179">T178</f>
        <v>true</v>
      </c>
      <c r="U179" s="1461"/>
      <c r="V179" s="1461"/>
      <c r="W179" s="1461"/>
      <c r="X179" s="1461"/>
      <c r="Y179" s="1461"/>
      <c r="Z179" s="1461"/>
      <c r="AA179" s="227"/>
      <c r="AB179" s="989" t="s">
        <v>1846</v>
      </c>
      <c r="AC179" s="990" t="s">
        <v>1847</v>
      </c>
      <c r="AD179" s="991" t="s">
        <v>1019</v>
      </c>
      <c r="AE179" s="307">
        <f>_xlfn.SUMIFS(Аренда!AE$26:AE$63,Аренда!$F$26:$F$63,$F179,Аренда!$G$26:$G$63,$G179)</f>
        <v>0</v>
      </c>
      <c r="AF179" s="307">
        <f>_xlfn.SUMIFS(Аренда!AF$26:AF$63,Аренда!$F$26:$F$63,$F179,Аренда!$G$26:$G$63,$G179)</f>
        <v>0</v>
      </c>
      <c r="AG179" s="307">
        <f>_xlfn.SUMIFS(Аренда!AG$26:AG$63,Аренда!$F$26:$F$63,$F179,Аренда!$G$26:$G$63,$G179)</f>
        <v>0</v>
      </c>
      <c r="AH179" s="307">
        <f>AG179-AF179</f>
        <v>0</v>
      </c>
      <c r="AI179" s="307">
        <f>_xlfn.SUMIFS(Аренда!AH$26:AH$63,Аренда!$F$26:$F$63,$F179,Аренда!$G$26:$G$63,$G179)</f>
        <v>0</v>
      </c>
      <c r="AJ179" s="307">
        <f>_xlfn.SUMIFS(Аренда!AI$26:AI$63,Аренда!$F$26:$F$63,$F179,Аренда!$G$26:$G$63,$G179)</f>
        <v>0</v>
      </c>
      <c r="AK179" s="307">
        <f>_xlfn.SUMIFS(Аренда!AS$26:AS$63,Аренда!$F$26:$F$63,$F179,Аренда!$G$26:$G$63,$G179)</f>
        <v>0</v>
      </c>
      <c r="AL179" s="307">
        <f>IF(AI179=0,0,(AK179-AI179)/AI179*100)</f>
        <v>0</v>
      </c>
      <c r="AM179" s="1730"/>
      <c r="AN179" s="1730"/>
      <c r="AO179" s="1730"/>
      <c r="AP179" s="227"/>
      <c r="AQ179" s="227"/>
      <c r="AR179" s="1230" t="s">
        <v>1848</v>
      </c>
      <c r="AS179" s="1268" cm="1" t="str">
        <f t="array" ref="AS179:AS179">D179&amp;"::"&amp;IF(M179&lt;&gt;"",M179,"Неопределено")&amp;"::"&amp;IF(L179&lt;&gt;"",L179,"Неопределено")&amp;"::"&amp;IF(N179&lt;&gt;"",N179,"Неопределено")&amp;"::"&amp;IF(O179&lt;&gt;"",O179,"Неопределено")&amp;"::"&amp;IF(P179&lt;&gt;"",P179,"Неопределено")&amp;"::"&amp;IF(Q179&lt;&gt;"",Q179,"Неопределено")&amp;"::"&amp;IF(R179&lt;&gt;"",R179,"Неопределено")&amp;"::"&amp;IF(S179&lt;&gt;"",S179,"Неопределено")</f>
        <v>M10558::ТЭ.42.26824396.0005::Неопределено::110.0.26.::Неопределено::Неопределено::Неопределено::Неопределено::Неопределено</v>
      </c>
    </row>
    <row s="1619" customFormat="1" customHeight="1" ht="16.5">
      <c r="A180" s="1183"/>
      <c r="B180" s="924"/>
      <c r="C180" s="1298" t="s">
        <v>1798</v>
      </c>
      <c r="D180" s="1257" t="s">
        <v>1799</v>
      </c>
      <c r="E180" s="794">
        <v>17.1</v>
      </c>
      <c r="F180" s="919" cm="1" t="str">
        <f t="array" ref="F180:F180">OFFSET(G180,-1,-1)</f>
        <v>2</v>
      </c>
      <c r="G180" s="227"/>
      <c r="H180" s="227"/>
      <c r="I180" s="227"/>
      <c r="J180" s="227"/>
      <c r="K180" s="227"/>
      <c r="L180" s="1286"/>
      <c r="M180" s="1284" cm="1" t="str">
        <f t="array" ref="M180:M180">OFFSET(L180,-1,1)</f>
        <v>ТЭ.42.26824396.0005</v>
      </c>
      <c r="N180" s="1286"/>
      <c r="O180" s="1286" t="s">
        <v>1849</v>
      </c>
      <c r="P180" s="1286"/>
      <c r="Q180" s="1286"/>
      <c r="R180" s="1286"/>
      <c r="S180" s="1286"/>
      <c r="T180" s="805" cm="1" t="str">
        <f t="array" ref="T180:T180">T179</f>
        <v>true</v>
      </c>
      <c r="U180" s="1461"/>
      <c r="V180" s="1461"/>
      <c r="W180" s="1461"/>
      <c r="X180" s="1461"/>
      <c r="Y180" s="1461"/>
      <c r="Z180" s="1461"/>
      <c r="AA180" s="227"/>
      <c r="AB180" s="989" t="s">
        <v>1850</v>
      </c>
      <c r="AC180" s="990" t="s">
        <v>1318</v>
      </c>
      <c r="AD180" s="991" t="s">
        <v>1019</v>
      </c>
      <c r="AE180" s="1903"/>
      <c r="AF180" s="1903"/>
      <c r="AG180" s="1903"/>
      <c r="AH180" s="307">
        <f>AG180-AF180</f>
        <v>0</v>
      </c>
      <c r="AI180" s="1903"/>
      <c r="AJ180" s="614"/>
      <c r="AK180" s="614"/>
      <c r="AL180" s="307">
        <f>IF(AI180=0,0,(AK180-AI180)/AI180*100)</f>
        <v>0</v>
      </c>
      <c r="AM180" s="1730"/>
      <c r="AN180" s="1730"/>
      <c r="AO180" s="1730"/>
      <c r="AP180" s="227"/>
      <c r="AQ180" s="227"/>
      <c r="AR180" s="1230" t="s">
        <v>1851</v>
      </c>
      <c r="AS180" s="1268" cm="1" t="str">
        <f t="array" ref="AS180:AS180">D180&amp;"::"&amp;IF(M180&lt;&gt;"",M180,"Неопределено")&amp;"::"&amp;IF(L180&lt;&gt;"",L180,"Неопределено")&amp;"::"&amp;IF(N180&lt;&gt;"",N180,"Неопределено")&amp;"::"&amp;IF(O180&lt;&gt;"",O180,"Неопределено")&amp;"::"&amp;IF(P180&lt;&gt;"",P180,"Неопределено")&amp;"::"&amp;IF(Q180&lt;&gt;"",Q180,"Неопределено")&amp;"::"&amp;IF(R180&lt;&gt;"",R180,"Неопределено")&amp;"::"&amp;IF(S180&lt;&gt;"",S180,"Неопределено")</f>
        <v>M10558::ТЭ.42.26824396.0005::Неопределено::Неопределено::122.0.4.::Неопределено::Неопределено::Неопределено::Неопределено</v>
      </c>
    </row>
    <row s="1619" customFormat="1" customHeight="1" ht="16.5">
      <c r="A181" s="1183"/>
      <c r="B181" s="924"/>
      <c r="C181" s="1298" t="s">
        <v>1798</v>
      </c>
      <c r="D181" s="1257" t="s">
        <v>1799</v>
      </c>
      <c r="E181" s="794">
        <v>17.1</v>
      </c>
      <c r="F181" s="919" cm="1" t="str">
        <f t="array" ref="F181:F181">OFFSET(G181,-1,-1)</f>
        <v>2</v>
      </c>
      <c r="G181" s="227"/>
      <c r="H181" s="227"/>
      <c r="I181" s="227"/>
      <c r="J181" s="227"/>
      <c r="K181" s="227"/>
      <c r="L181" s="1286"/>
      <c r="M181" s="1284" cm="1" t="str">
        <f t="array" ref="M181:M181">OFFSET(L181,-1,1)</f>
        <v>ТЭ.42.26824396.0005</v>
      </c>
      <c r="N181" s="1286"/>
      <c r="O181" s="1286" t="s">
        <v>1852</v>
      </c>
      <c r="P181" s="1286"/>
      <c r="Q181" s="1286"/>
      <c r="R181" s="1286"/>
      <c r="S181" s="1286"/>
      <c r="T181" s="805" cm="1" t="str">
        <f t="array" ref="T181:T181">T180</f>
        <v>true</v>
      </c>
      <c r="U181" s="1461"/>
      <c r="V181" s="1461"/>
      <c r="W181" s="1461"/>
      <c r="X181" s="1461"/>
      <c r="Y181" s="1461"/>
      <c r="Z181" s="1461"/>
      <c r="AA181" s="227"/>
      <c r="AB181" s="989" t="s">
        <v>1853</v>
      </c>
      <c r="AC181" s="990" t="s">
        <v>1320</v>
      </c>
      <c r="AD181" s="991" t="s">
        <v>1019</v>
      </c>
      <c r="AE181" s="1903"/>
      <c r="AF181" s="1903"/>
      <c r="AG181" s="1903"/>
      <c r="AH181" s="307">
        <f>AG181-AF181</f>
        <v>0</v>
      </c>
      <c r="AI181" s="1903"/>
      <c r="AJ181" s="614"/>
      <c r="AK181" s="614"/>
      <c r="AL181" s="307">
        <f>IF(AI181=0,0,(AK181-AI181)/AI181*100)</f>
        <v>0</v>
      </c>
      <c r="AM181" s="1730"/>
      <c r="AN181" s="1730"/>
      <c r="AO181" s="1730"/>
      <c r="AP181" s="227"/>
      <c r="AQ181" s="227"/>
      <c r="AR181" s="1230" t="s">
        <v>1321</v>
      </c>
      <c r="AS181" s="1268" cm="1" t="str">
        <f t="array" ref="AS181:AS181">D181&amp;"::"&amp;IF(M181&lt;&gt;"",M181,"Неопределено")&amp;"::"&amp;IF(L181&lt;&gt;"",L181,"Неопределено")&amp;"::"&amp;IF(N181&lt;&gt;"",N181,"Неопределено")&amp;"::"&amp;IF(O181&lt;&gt;"",O181,"Неопределено")&amp;"::"&amp;IF(P181&lt;&gt;"",P181,"Неопределено")&amp;"::"&amp;IF(Q181&lt;&gt;"",Q181,"Неопределено")&amp;"::"&amp;IF(R181&lt;&gt;"",R181,"Неопределено")&amp;"::"&amp;IF(S181&lt;&gt;"",S181,"Неопределено")</f>
        <v>M10558::ТЭ.42.26824396.0005::Неопределено::Неопределено::122.0.5.::Неопределено::Неопределено::Неопределено::Неопределено</v>
      </c>
    </row>
    <row s="1619" customFormat="1" customHeight="1" ht="33.75">
      <c r="A182" s="1183"/>
      <c r="B182" s="924"/>
      <c r="C182" s="1298" t="s">
        <v>1798</v>
      </c>
      <c r="D182" s="1257" t="s">
        <v>1799</v>
      </c>
      <c r="E182" s="794">
        <v>35</v>
      </c>
      <c r="F182" s="919" cm="1" t="str">
        <f t="array" ref="F182:F182">OFFSET(G182,-1,-1)</f>
        <v>2</v>
      </c>
      <c r="G182" s="190" t="s">
        <v>1252</v>
      </c>
      <c r="H182" s="227"/>
      <c r="I182" s="227"/>
      <c r="J182" s="227"/>
      <c r="K182" s="227"/>
      <c r="L182" s="1286"/>
      <c r="M182" s="1284" cm="1" t="str">
        <f t="array" ref="M182:M182">OFFSET(L182,-1,1)</f>
        <v>ТЭ.42.26824396.0005</v>
      </c>
      <c r="N182" s="1286"/>
      <c r="O182" s="1286" t="s">
        <v>1854</v>
      </c>
      <c r="P182" s="1286"/>
      <c r="Q182" s="1286"/>
      <c r="R182" s="1286"/>
      <c r="S182" s="1286"/>
      <c r="T182" s="805" cm="1" t="str">
        <f t="array" ref="T182:T182">T181</f>
        <v>true</v>
      </c>
      <c r="U182" s="1461"/>
      <c r="V182" s="1461"/>
      <c r="W182" s="1461"/>
      <c r="X182" s="1461"/>
      <c r="Y182" s="1461"/>
      <c r="Z182" s="1461"/>
      <c r="AA182" s="227"/>
      <c r="AB182" s="989" t="s">
        <v>1855</v>
      </c>
      <c r="AC182" s="990" t="s">
        <v>1856</v>
      </c>
      <c r="AD182" s="991" t="s">
        <v>1019</v>
      </c>
      <c r="AE182" s="612">
        <f>_xlfn.SUMIFS(Налоги!AE$26:AE$69,Налоги!$F$26:$F$69,$F182,Налоги!$G$26:$G$69,$G182)</f>
        <v>0</v>
      </c>
      <c r="AF182" s="612">
        <f>_xlfn.SUMIFS(Налоги!AF$26:AF$69,Налоги!$F$26:$F$69,$F182,Налоги!$G$26:$G$69,$G182)</f>
        <v>0</v>
      </c>
      <c r="AG182" s="612">
        <f>_xlfn.SUMIFS(Налоги!AG$26:AG$69,Налоги!$F$26:$F$69,$F182,Налоги!$G$26:$G$69,$G182)</f>
        <v>0</v>
      </c>
      <c r="AH182" s="307">
        <f>AG182-AF182</f>
        <v>0</v>
      </c>
      <c r="AI182" s="612">
        <f>_xlfn.SUMIFS(Налоги!AH$26:AH$69,Налоги!$F$26:$F$69,$F182,Налоги!$G$26:$G$69,$G182)</f>
        <v>0</v>
      </c>
      <c r="AJ182" s="612">
        <f>_xlfn.SUMIFS(Налоги!AI$26:AI$69,Налоги!$F$26:$F$69,$F182,Налоги!$G$26:$G$69,$G182)</f>
        <v>0</v>
      </c>
      <c r="AK182" s="612">
        <f>_xlfn.SUMIFS(Налоги!AS$26:AS$69,Налоги!$F$26:$F$69,$F182,Налоги!$G$26:$G$69,$G182)</f>
        <v>0</v>
      </c>
      <c r="AL182" s="307">
        <f>IF(AI182=0,0,(AK182-AI182)/AI182*100)</f>
        <v>0</v>
      </c>
      <c r="AM182" s="1730"/>
      <c r="AN182" s="1730"/>
      <c r="AO182" s="1730"/>
      <c r="AP182" s="227"/>
      <c r="AQ182" s="227"/>
      <c r="AR182" s="1230" t="s">
        <v>1857</v>
      </c>
      <c r="AS182" s="1268" cm="1" t="str">
        <f t="array" ref="AS182:AS182">D182&amp;"::"&amp;IF(M182&lt;&gt;"",M182,"Неопределено")&amp;"::"&amp;IF(L182&lt;&gt;"",L182,"Неопределено")&amp;"::"&amp;IF(N182&lt;&gt;"",N182,"Неопределено")&amp;"::"&amp;IF(O182&lt;&gt;"",O182,"Неопределено")&amp;"::"&amp;IF(P182&lt;&gt;"",P182,"Неопределено")&amp;"::"&amp;IF(Q182&lt;&gt;"",Q182,"Неопределено")&amp;"::"&amp;IF(R182&lt;&gt;"",R182,"Неопределено")&amp;"::"&amp;IF(S182&lt;&gt;"",S182,"Неопределено")</f>
        <v>M10558::ТЭ.42.26824396.0005::Неопределено::Неопределено::122.0.6.::Неопределено::Неопределено::Неопределено::Неопределено</v>
      </c>
    </row>
    <row s="1619" customFormat="1" customHeight="1" ht="33.75">
      <c r="A183" s="1183"/>
      <c r="B183" s="924"/>
      <c r="C183" s="1298" t="s">
        <v>1798</v>
      </c>
      <c r="D183" s="1257" t="s">
        <v>1799</v>
      </c>
      <c r="E183" s="794">
        <v>35</v>
      </c>
      <c r="F183" s="919" cm="1" t="str">
        <f t="array" ref="F183:F183">OFFSET(G183,-1,-1)</f>
        <v>2</v>
      </c>
      <c r="G183" s="227"/>
      <c r="H183" s="227"/>
      <c r="I183" s="227"/>
      <c r="J183" s="227"/>
      <c r="K183" s="227"/>
      <c r="L183" s="1286" t="s">
        <v>1858</v>
      </c>
      <c r="M183" s="1284" cm="1" t="str">
        <f t="array" ref="M183:M183">OFFSET(L183,-1,1)</f>
        <v>ТЭ.42.26824396.0005</v>
      </c>
      <c r="N183" s="1286"/>
      <c r="O183" s="1286"/>
      <c r="P183" s="1286"/>
      <c r="Q183" s="1286"/>
      <c r="R183" s="1286"/>
      <c r="S183" s="1286"/>
      <c r="T183" s="805" cm="1" t="str">
        <f t="array" ref="T183:T183">T182</f>
        <v>true</v>
      </c>
      <c r="U183" s="1461"/>
      <c r="V183" s="1461"/>
      <c r="W183" s="1461"/>
      <c r="X183" s="1461"/>
      <c r="Y183" s="1461"/>
      <c r="Z183" s="1461"/>
      <c r="AA183" s="227"/>
      <c r="AB183" s="989" t="s">
        <v>1859</v>
      </c>
      <c r="AC183" s="990" t="s">
        <v>1860</v>
      </c>
      <c r="AD183" s="991" t="s">
        <v>1019</v>
      </c>
      <c r="AE183" s="612">
        <f>SUM(AE184:AE188)</f>
        <v>0</v>
      </c>
      <c r="AF183" s="612">
        <f>SUM(AF184:AF188)</f>
        <v>0</v>
      </c>
      <c r="AG183" s="612">
        <f>SUM(AG184:AG188)</f>
        <v>0</v>
      </c>
      <c r="AH183" s="307">
        <f>AG183-AF183</f>
        <v>0</v>
      </c>
      <c r="AI183" s="612">
        <f>SUM(AI184:AI188)</f>
        <v>0</v>
      </c>
      <c r="AJ183" s="612">
        <f>SUM(AJ184:AJ188)</f>
        <v>38</v>
      </c>
      <c r="AK183" s="612">
        <f>SUM(AK184:AK188)</f>
        <v>1</v>
      </c>
      <c r="AL183" s="307">
        <f>IF(AI183=0,0,(AK183-AI183)/AI183*100)</f>
        <v>0</v>
      </c>
      <c r="AM183" s="1730"/>
      <c r="AN183" s="1730"/>
      <c r="AO183" s="1730"/>
      <c r="AP183" s="227"/>
      <c r="AQ183" s="227"/>
      <c r="AR183" s="1230" t="s">
        <v>1268</v>
      </c>
      <c r="AS183" s="1268" cm="1" t="str">
        <f t="array" ref="AS183:AS183">D183&amp;"::"&amp;IF(M183&lt;&gt;"",M183,"Неопределено")&amp;"::"&amp;IF(L183&lt;&gt;"",L183,"Неопределено")&amp;"::"&amp;IF(N183&lt;&gt;"",N183,"Неопределено")&amp;"::"&amp;IF(O183&lt;&gt;"",O183,"Неопределено")&amp;"::"&amp;IF(P183&lt;&gt;"",P183,"Неопределено")&amp;"::"&amp;IF(Q183&lt;&gt;"",Q183,"Неопределено")&amp;"::"&amp;IF(R183&lt;&gt;"",R183,"Неопределено")&amp;"::"&amp;IF(S183&lt;&gt;"",S183,"Неопределено")</f>
        <v>M10558::ТЭ.42.26824396.0005::1.0.49.::Неопределено::Неопределено::Неопределено::Неопределено::Неопределено::Неопределено</v>
      </c>
    </row>
    <row s="1619" customFormat="1" customHeight="1" ht="16.5">
      <c r="A184" s="1183"/>
      <c r="B184" s="924"/>
      <c r="C184" s="1298" t="s">
        <v>1798</v>
      </c>
      <c r="D184" s="1257" t="s">
        <v>1799</v>
      </c>
      <c r="E184" s="794">
        <v>17.1</v>
      </c>
      <c r="F184" s="919" cm="1" t="str">
        <f t="array" ref="F184:F184">OFFSET(G184,-1,-1)</f>
        <v>2</v>
      </c>
      <c r="G184" s="190" t="s">
        <v>1256</v>
      </c>
      <c r="H184" s="227"/>
      <c r="I184" s="227"/>
      <c r="J184" s="227"/>
      <c r="K184" s="227"/>
      <c r="L184" s="1286" t="s">
        <v>1861</v>
      </c>
      <c r="M184" s="1284" cm="1" t="str">
        <f t="array" ref="M184:M184">OFFSET(L184,-1,1)</f>
        <v>ТЭ.42.26824396.0005</v>
      </c>
      <c r="N184" s="1286"/>
      <c r="O184" s="1286"/>
      <c r="P184" s="1286"/>
      <c r="Q184" s="1286"/>
      <c r="R184" s="1286"/>
      <c r="S184" s="1286"/>
      <c r="T184" s="805" cm="1" t="str">
        <f t="array" ref="T184:T184">T183</f>
        <v>true</v>
      </c>
      <c r="U184" s="1461"/>
      <c r="V184" s="1461"/>
      <c r="W184" s="1461"/>
      <c r="X184" s="1461"/>
      <c r="Y184" s="1461"/>
      <c r="Z184" s="1461"/>
      <c r="AA184" s="227"/>
      <c r="AB184" s="989" t="s">
        <v>1862</v>
      </c>
      <c r="AC184" s="990" t="s">
        <v>1863</v>
      </c>
      <c r="AD184" s="991" t="s">
        <v>1019</v>
      </c>
      <c r="AE184" s="612">
        <f>_xlfn.SUMIFS(Налоги!AE$26:AE$69,Налоги!$F$26:$F$69,$F184,Налоги!$H$26:$H$69,$G184)</f>
        <v>0</v>
      </c>
      <c r="AF184" s="612">
        <f>_xlfn.SUMIFS(Налоги!AF$26:AF$69,Налоги!$F$26:$F$69,$F184,Налоги!$H$26:$H$69,$G184)</f>
        <v>0</v>
      </c>
      <c r="AG184" s="612">
        <f>_xlfn.SUMIFS(Налоги!AG$26:AG$69,Налоги!$F$26:$F$69,$F184,Налоги!$H$26:$H$69,$G184)</f>
        <v>0</v>
      </c>
      <c r="AH184" s="307">
        <f>AG184-AF184</f>
        <v>0</v>
      </c>
      <c r="AI184" s="612">
        <f>_xlfn.SUMIFS(Налоги!AH$26:AH$69,Налоги!$F$26:$F$69,$F184,Налоги!$H$26:$H$69,$G184)</f>
        <v>0</v>
      </c>
      <c r="AJ184" s="612">
        <f>_xlfn.SUMIFS(Налоги!AI$26:AI$69,Налоги!$F$26:$F$69,$F184,Налоги!$H$26:$H$69,$G184)</f>
        <v>38</v>
      </c>
      <c r="AK184" s="612">
        <f>_xlfn.SUMIFS(Налоги!AS$26:AS$69,Налоги!$F$26:$F$69,$F184,Налоги!$H$26:$H$69,$G184)</f>
        <v>1</v>
      </c>
      <c r="AL184" s="307">
        <f>IF(AI184=0,0,(AK184-AI184)/AI184*100)</f>
        <v>0</v>
      </c>
      <c r="AM184" s="1730"/>
      <c r="AN184" s="1730"/>
      <c r="AO184" s="1730"/>
      <c r="AP184" s="227"/>
      <c r="AQ184" s="227"/>
      <c r="AR184" s="1230" t="s">
        <v>563</v>
      </c>
      <c r="AS184" s="1268" cm="1" t="str">
        <f t="array" ref="AS184:AS184">D184&amp;"::"&amp;IF(M184&lt;&gt;"",M184,"Неопределено")&amp;"::"&amp;IF(L184&lt;&gt;"",L184,"Неопределено")&amp;"::"&amp;IF(N184&lt;&gt;"",N184,"Неопределено")&amp;"::"&amp;IF(O184&lt;&gt;"",O184,"Неопределено")&amp;"::"&amp;IF(P184&lt;&gt;"",P184,"Неопределено")&amp;"::"&amp;IF(Q184&lt;&gt;"",Q184,"Неопределено")&amp;"::"&amp;IF(R184&lt;&gt;"",R184,"Неопределено")&amp;"::"&amp;IF(S184&lt;&gt;"",S184,"Неопределено")</f>
        <v>M10558::ТЭ.42.26824396.0005::1.0.25.::Неопределено::Неопределено::Неопределено::Неопределено::Неопределено::Неопределено</v>
      </c>
    </row>
    <row s="1619" customFormat="1" customHeight="1" ht="16.5">
      <c r="A185" s="1183"/>
      <c r="B185" s="924"/>
      <c r="C185" s="1298" t="s">
        <v>1798</v>
      </c>
      <c r="D185" s="1257" t="s">
        <v>1799</v>
      </c>
      <c r="E185" s="794">
        <v>17.1</v>
      </c>
      <c r="F185" s="919" cm="1" t="str">
        <f t="array" ref="F185:F185">OFFSET(G185,-1,-1)</f>
        <v>2</v>
      </c>
      <c r="G185" s="190" t="s">
        <v>1258</v>
      </c>
      <c r="H185" s="227"/>
      <c r="I185" s="227"/>
      <c r="J185" s="227"/>
      <c r="K185" s="227"/>
      <c r="L185" s="1286" t="s">
        <v>1864</v>
      </c>
      <c r="M185" s="1284" cm="1" t="str">
        <f t="array" ref="M185:M185">OFFSET(L185,-1,1)</f>
        <v>ТЭ.42.26824396.0005</v>
      </c>
      <c r="N185" s="1286"/>
      <c r="O185" s="1286"/>
      <c r="P185" s="1286"/>
      <c r="Q185" s="1286"/>
      <c r="R185" s="1286"/>
      <c r="S185" s="1286"/>
      <c r="T185" s="805" cm="1" t="str">
        <f t="array" ref="T185:T185">T184</f>
        <v>true</v>
      </c>
      <c r="U185" s="1461"/>
      <c r="V185" s="1461"/>
      <c r="W185" s="1461"/>
      <c r="X185" s="1461"/>
      <c r="Y185" s="1461"/>
      <c r="Z185" s="1461"/>
      <c r="AA185" s="227"/>
      <c r="AB185" s="989" t="s">
        <v>1865</v>
      </c>
      <c r="AC185" s="990" t="s">
        <v>1259</v>
      </c>
      <c r="AD185" s="991" t="s">
        <v>1019</v>
      </c>
      <c r="AE185" s="612">
        <f>_xlfn.SUMIFS(Налоги!AE$26:AE$69,Налоги!$F$26:$F$69,$F185,Налоги!$H$26:$H$69,$G185)</f>
        <v>0</v>
      </c>
      <c r="AF185" s="612">
        <f>_xlfn.SUMIFS(Налоги!AF$26:AF$69,Налоги!$F$26:$F$69,$F185,Налоги!$H$26:$H$69,$G185)</f>
        <v>0</v>
      </c>
      <c r="AG185" s="612">
        <f>_xlfn.SUMIFS(Налоги!AG$26:AG$69,Налоги!$F$26:$F$69,$F185,Налоги!$H$26:$H$69,$G185)</f>
        <v>0</v>
      </c>
      <c r="AH185" s="307">
        <f>AG185-AF185</f>
        <v>0</v>
      </c>
      <c r="AI185" s="612">
        <f>_xlfn.SUMIFS(Налоги!AH$26:AH$69,Налоги!$F$26:$F$69,$F185,Налоги!$H$26:$H$69,$G185)</f>
        <v>0</v>
      </c>
      <c r="AJ185" s="612">
        <f>_xlfn.SUMIFS(Налоги!AI$26:AI$69,Налоги!$F$26:$F$69,$F185,Налоги!$H$26:$H$69,$G185)</f>
        <v>0</v>
      </c>
      <c r="AK185" s="612">
        <f>_xlfn.SUMIFS(Налоги!AS$26:AS$69,Налоги!$F$26:$F$69,$F185,Налоги!$H$26:$H$69,$G185)</f>
        <v>0</v>
      </c>
      <c r="AL185" s="307">
        <f>IF(AI185=0,0,(AK185-AI185)/AI185*100)</f>
        <v>0</v>
      </c>
      <c r="AM185" s="1730"/>
      <c r="AN185" s="1730"/>
      <c r="AO185" s="1730"/>
      <c r="AP185" s="227"/>
      <c r="AQ185" s="227"/>
      <c r="AR185" s="1230" t="s">
        <v>1260</v>
      </c>
      <c r="AS185" s="1268" cm="1" t="str">
        <f t="array" ref="AS185:AS185">D185&amp;"::"&amp;IF(M185&lt;&gt;"",M185,"Неопределено")&amp;"::"&amp;IF(L185&lt;&gt;"",L185,"Неопределено")&amp;"::"&amp;IF(N185&lt;&gt;"",N185,"Неопределено")&amp;"::"&amp;IF(O185&lt;&gt;"",O185,"Неопределено")&amp;"::"&amp;IF(P185&lt;&gt;"",P185,"Неопределено")&amp;"::"&amp;IF(Q185&lt;&gt;"",Q185,"Неопределено")&amp;"::"&amp;IF(R185&lt;&gt;"",R185,"Неопределено")&amp;"::"&amp;IF(S185&lt;&gt;"",S185,"Неопределено")</f>
        <v>M10558::ТЭ.42.26824396.0005::1.0.17.::Неопределено::Неопределено::Неопределено::Неопределено::Неопределено::Неопределено</v>
      </c>
    </row>
    <row s="1619" customFormat="1" customHeight="1" ht="16.5">
      <c r="A186" s="1183"/>
      <c r="B186" s="924"/>
      <c r="C186" s="1298" t="s">
        <v>1798</v>
      </c>
      <c r="D186" s="1257" t="s">
        <v>1799</v>
      </c>
      <c r="E186" s="794">
        <v>17.1</v>
      </c>
      <c r="F186" s="919" cm="1" t="str">
        <f t="array" ref="F186:F186">OFFSET(G186,-1,-1)</f>
        <v>2</v>
      </c>
      <c r="G186" s="190" t="s">
        <v>1249</v>
      </c>
      <c r="H186" s="227"/>
      <c r="I186" s="227"/>
      <c r="J186" s="227"/>
      <c r="K186" s="227"/>
      <c r="L186" s="1286" t="s">
        <v>1866</v>
      </c>
      <c r="M186" s="1284" cm="1" t="str">
        <f t="array" ref="M186:M186">OFFSET(L186,-1,1)</f>
        <v>ТЭ.42.26824396.0005</v>
      </c>
      <c r="N186" s="1286"/>
      <c r="O186" s="1286"/>
      <c r="P186" s="1286"/>
      <c r="Q186" s="1286"/>
      <c r="R186" s="1286"/>
      <c r="S186" s="1286"/>
      <c r="T186" s="805" cm="1" t="str">
        <f t="array" ref="T186:T186">T185</f>
        <v>true</v>
      </c>
      <c r="U186" s="1461"/>
      <c r="V186" s="1461"/>
      <c r="W186" s="1461"/>
      <c r="X186" s="1461"/>
      <c r="Y186" s="1461"/>
      <c r="Z186" s="1461"/>
      <c r="AA186" s="227"/>
      <c r="AB186" s="994" t="s">
        <v>1867</v>
      </c>
      <c r="AC186" s="995" t="s">
        <v>1250</v>
      </c>
      <c r="AD186" s="996" t="s">
        <v>1019</v>
      </c>
      <c r="AE186" s="612">
        <f>_xlfn.SUMIFS(Налоги!AE$26:AE$69,Налоги!$F$26:$F$69,$F186,Налоги!$H$26:$H$69,$G186)</f>
        <v>0</v>
      </c>
      <c r="AF186" s="612">
        <f>_xlfn.SUMIFS(Налоги!AF$26:AF$69,Налоги!$F$26:$F$69,$F186,Налоги!$H$26:$H$69,$G186)</f>
        <v>0</v>
      </c>
      <c r="AG186" s="612">
        <f>_xlfn.SUMIFS(Налоги!AG$26:AG$69,Налоги!$F$26:$F$69,$F186,Налоги!$H$26:$H$69,$G186)</f>
        <v>0</v>
      </c>
      <c r="AH186" s="307">
        <f>AG186-AF186</f>
        <v>0</v>
      </c>
      <c r="AI186" s="612">
        <f>_xlfn.SUMIFS(Налоги!AH$26:AH$69,Налоги!$F$26:$F$69,$F186,Налоги!$H$26:$H$69,$G186)</f>
        <v>0</v>
      </c>
      <c r="AJ186" s="612">
        <f>_xlfn.SUMIFS(Налоги!AI$26:AI$69,Налоги!$F$26:$F$69,$F186,Налоги!$H$26:$H$69,$G186)</f>
        <v>0</v>
      </c>
      <c r="AK186" s="612">
        <f>_xlfn.SUMIFS(Налоги!AS$26:AS$69,Налоги!$F$26:$F$69,$F186,Налоги!$H$26:$H$69,$G186)</f>
        <v>0</v>
      </c>
      <c r="AL186" s="307">
        <f>IF(AI186=0,0,(AK186-AI186)/AI186*100)</f>
        <v>0</v>
      </c>
      <c r="AM186" s="1730"/>
      <c r="AN186" s="1730"/>
      <c r="AO186" s="1730"/>
      <c r="AP186" s="227"/>
      <c r="AQ186" s="227"/>
      <c r="AR186" s="1230" t="s">
        <v>1868</v>
      </c>
      <c r="AS186" s="1268" cm="1" t="str">
        <f t="array" ref="AS186:AS186">D186&amp;"::"&amp;IF(M186&lt;&gt;"",M186,"Неопределено")&amp;"::"&amp;IF(L186&lt;&gt;"",L186,"Неопределено")&amp;"::"&amp;IF(N186&lt;&gt;"",N186,"Неопределено")&amp;"::"&amp;IF(O186&lt;&gt;"",O186,"Неопределено")&amp;"::"&amp;IF(P186&lt;&gt;"",P186,"Неопределено")&amp;"::"&amp;IF(Q186&lt;&gt;"",Q186,"Неопределено")&amp;"::"&amp;IF(R186&lt;&gt;"",R186,"Неопределено")&amp;"::"&amp;IF(S186&lt;&gt;"",S186,"Неопределено")</f>
        <v>M10558::ТЭ.42.26824396.0005::1.0.93.::Неопределено::Неопределено::Неопределено::Неопределено::Неопределено::Неопределено</v>
      </c>
    </row>
    <row s="1619" customFormat="1" customHeight="1" ht="16.5">
      <c r="A187" s="1183"/>
      <c r="B187" s="924"/>
      <c r="C187" s="1298" t="s">
        <v>1798</v>
      </c>
      <c r="D187" s="1257" t="s">
        <v>1799</v>
      </c>
      <c r="E187" s="794">
        <v>17.1</v>
      </c>
      <c r="F187" s="919" cm="1" t="str">
        <f t="array" ref="F187:F187">OFFSET(G187,-1,-1)</f>
        <v>2</v>
      </c>
      <c r="G187" s="190" t="s">
        <v>1263</v>
      </c>
      <c r="H187" s="227"/>
      <c r="I187" s="227"/>
      <c r="J187" s="227"/>
      <c r="K187" s="227"/>
      <c r="L187" s="1286" t="s">
        <v>1869</v>
      </c>
      <c r="M187" s="1284" cm="1" t="str">
        <f t="array" ref="M187:M187">OFFSET(L187,-1,1)</f>
        <v>ТЭ.42.26824396.0005</v>
      </c>
      <c r="N187" s="1286"/>
      <c r="O187" s="1286"/>
      <c r="P187" s="1286"/>
      <c r="Q187" s="1286"/>
      <c r="R187" s="1286"/>
      <c r="S187" s="1286"/>
      <c r="T187" s="805" cm="1" t="str">
        <f t="array" ref="T187:T187">T186</f>
        <v>true</v>
      </c>
      <c r="U187" s="1461"/>
      <c r="V187" s="1461"/>
      <c r="W187" s="1461"/>
      <c r="X187" s="1461"/>
      <c r="Y187" s="1461"/>
      <c r="Z187" s="1461"/>
      <c r="AA187" s="227"/>
      <c r="AB187" s="856" t="s">
        <v>1870</v>
      </c>
      <c r="AC187" s="998" t="s">
        <v>1264</v>
      </c>
      <c r="AD187" s="856" t="s">
        <v>1019</v>
      </c>
      <c r="AE187" s="612">
        <f>_xlfn.SUMIFS(Налоги!AE$26:AE$69,Налоги!$F$26:$F$69,$F187,Налоги!$H$26:$H$69,$G187)</f>
        <v>0</v>
      </c>
      <c r="AF187" s="612">
        <f>_xlfn.SUMIFS(Налоги!AF$26:AF$69,Налоги!$F$26:$F$69,$F187,Налоги!$H$26:$H$69,$G187)</f>
        <v>0</v>
      </c>
      <c r="AG187" s="612">
        <f>_xlfn.SUMIFS(Налоги!AG$26:AG$69,Налоги!$F$26:$F$69,$F187,Налоги!$H$26:$H$69,$G187)</f>
        <v>0</v>
      </c>
      <c r="AH187" s="307">
        <f>AG187-AF187</f>
        <v>0</v>
      </c>
      <c r="AI187" s="612">
        <f>_xlfn.SUMIFS(Налоги!AH$26:AH$69,Налоги!$F$26:$F$69,$F187,Налоги!$H$26:$H$69,$G187)</f>
        <v>0</v>
      </c>
      <c r="AJ187" s="612">
        <f>_xlfn.SUMIFS(Налоги!AI$26:AI$69,Налоги!$F$26:$F$69,$F187,Налоги!$H$26:$H$69,$G187)</f>
        <v>0</v>
      </c>
      <c r="AK187" s="612">
        <f>_xlfn.SUMIFS(Налоги!AS$26:AS$69,Налоги!$F$26:$F$69,$F187,Налоги!$H$26:$H$69,$G187)</f>
        <v>0</v>
      </c>
      <c r="AL187" s="307">
        <f>IF(AI187=0,0,(AK187-AI187)/AI187*100)</f>
        <v>0</v>
      </c>
      <c r="AM187" s="1730"/>
      <c r="AN187" s="1730"/>
      <c r="AO187" s="1730"/>
      <c r="AP187" s="227"/>
      <c r="AQ187" s="227"/>
      <c r="AR187" s="1230" t="s">
        <v>1265</v>
      </c>
      <c r="AS187" s="1268" cm="1" t="str">
        <f t="array" ref="AS187:AS187">D187&amp;"::"&amp;IF(M187&lt;&gt;"",M187,"Неопределено")&amp;"::"&amp;IF(L187&lt;&gt;"",L187,"Неопределено")&amp;"::"&amp;IF(N187&lt;&gt;"",N187,"Неопределено")&amp;"::"&amp;IF(O187&lt;&gt;"",O187,"Неопределено")&amp;"::"&amp;IF(P187&lt;&gt;"",P187,"Неопределено")&amp;"::"&amp;IF(Q187&lt;&gt;"",Q187,"Неопределено")&amp;"::"&amp;IF(R187&lt;&gt;"",R187,"Неопределено")&amp;"::"&amp;IF(S187&lt;&gt;"",S187,"Неопределено")</f>
        <v>M10558::ТЭ.42.26824396.0005::1.0.6.::Неопределено::Неопределено::Неопределено::Неопределено::Неопределено::Неопределено</v>
      </c>
    </row>
    <row s="1619" customFormat="1" customHeight="1" ht="16.5">
      <c r="A188" s="1183"/>
      <c r="B188" s="924"/>
      <c r="C188" s="1298" t="s">
        <v>1798</v>
      </c>
      <c r="D188" s="1257" t="s">
        <v>1799</v>
      </c>
      <c r="E188" s="794">
        <v>17.1</v>
      </c>
      <c r="F188" s="919" cm="1" t="str">
        <f t="array" ref="F188:F188">OFFSET(G188,-1,-1)</f>
        <v>2</v>
      </c>
      <c r="G188" s="190" t="s">
        <v>1248</v>
      </c>
      <c r="H188" s="227"/>
      <c r="I188" s="227"/>
      <c r="J188" s="227"/>
      <c r="K188" s="227"/>
      <c r="L188" s="1286" t="s">
        <v>1871</v>
      </c>
      <c r="M188" s="1284" cm="1" t="str">
        <f t="array" ref="M188:M188">OFFSET(L188,-1,1)</f>
        <v>ТЭ.42.26824396.0005</v>
      </c>
      <c r="N188" s="1286"/>
      <c r="O188" s="1286"/>
      <c r="P188" s="1286"/>
      <c r="Q188" s="1286"/>
      <c r="R188" s="1286"/>
      <c r="S188" s="1286"/>
      <c r="T188" s="805" cm="1" t="str">
        <f t="array" ref="T188:T188">T187</f>
        <v>true</v>
      </c>
      <c r="U188" s="1461"/>
      <c r="V188" s="1461"/>
      <c r="W188" s="1461"/>
      <c r="X188" s="1461"/>
      <c r="Y188" s="1461"/>
      <c r="Z188" s="1461"/>
      <c r="AA188" s="227"/>
      <c r="AB188" s="856" t="s">
        <v>1872</v>
      </c>
      <c r="AC188" s="998" t="s">
        <v>1873</v>
      </c>
      <c r="AD188" s="856" t="s">
        <v>1019</v>
      </c>
      <c r="AE188" s="612">
        <f>_xlfn.SUMIFS(Налоги!AE$26:AE$69,Налоги!$F$26:$F$69,$F188,Налоги!$H$26:$H$69,$G188)</f>
        <v>0</v>
      </c>
      <c r="AF188" s="612">
        <f>_xlfn.SUMIFS(Налоги!AF$26:AF$69,Налоги!$F$26:$F$69,$F188,Налоги!$H$26:$H$69,$G188)</f>
        <v>0</v>
      </c>
      <c r="AG188" s="612">
        <f>_xlfn.SUMIFS(Налоги!AG$26:AG$69,Налоги!$F$26:$F$69,$F188,Налоги!$H$26:$H$69,$G188)</f>
        <v>0</v>
      </c>
      <c r="AH188" s="307">
        <f>AG188-AF188</f>
        <v>0</v>
      </c>
      <c r="AI188" s="612">
        <f>_xlfn.SUMIFS(Налоги!AH$26:AH$69,Налоги!$F$26:$F$69,$F188,Налоги!$H$26:$H$69,$G188)</f>
        <v>0</v>
      </c>
      <c r="AJ188" s="612">
        <f>_xlfn.SUMIFS(Налоги!AI$26:AI$69,Налоги!$F$26:$F$69,$F188,Налоги!$H$26:$H$69,$G188)</f>
        <v>0</v>
      </c>
      <c r="AK188" s="612">
        <f>_xlfn.SUMIFS(Налоги!AS$26:AS$69,Налоги!$F$26:$F$69,$F188,Налоги!$H$26:$H$69,$G188)</f>
        <v>0</v>
      </c>
      <c r="AL188" s="307">
        <f>IF(AI188=0,0,(AK188-AI188)/AI188*100)</f>
        <v>0</v>
      </c>
      <c r="AM188" s="1730"/>
      <c r="AN188" s="1730"/>
      <c r="AO188" s="1730"/>
      <c r="AP188" s="227"/>
      <c r="AQ188" s="227"/>
      <c r="AR188" s="1230" t="s">
        <v>1874</v>
      </c>
      <c r="AS188" s="1268" cm="1" t="str">
        <f t="array" ref="AS188:AS188">D188&amp;"::"&amp;IF(M188&lt;&gt;"",M188,"Неопределено")&amp;"::"&amp;IF(L188&lt;&gt;"",L188,"Неопределено")&amp;"::"&amp;IF(N188&lt;&gt;"",N188,"Неопределено")&amp;"::"&amp;IF(O188&lt;&gt;"",O188,"Неопределено")&amp;"::"&amp;IF(P188&lt;&gt;"",P188,"Неопределено")&amp;"::"&amp;IF(Q188&lt;&gt;"",Q188,"Неопределено")&amp;"::"&amp;IF(R188&lt;&gt;"",R188,"Неопределено")&amp;"::"&amp;IF(S188&lt;&gt;"",S188,"Неопределено")</f>
        <v>M10558::ТЭ.42.26824396.0005::1.0.52.::Неопределено::Неопределено::Неопределено::Неопределено::Неопределено::Неопределено</v>
      </c>
    </row>
    <row s="1619" customFormat="1" customHeight="1" ht="16.5">
      <c r="A189" s="1183"/>
      <c r="B189" s="924"/>
      <c r="C189" s="1298" t="s">
        <v>1798</v>
      </c>
      <c r="D189" s="1257" t="s">
        <v>1799</v>
      </c>
      <c r="E189" s="794">
        <v>17.1</v>
      </c>
      <c r="F189" s="919" cm="1" t="str">
        <f t="array" ref="F189:F189">OFFSET(G189,-1,-1)</f>
        <v>2</v>
      </c>
      <c r="G189" s="227"/>
      <c r="H189" s="227"/>
      <c r="I189" s="227"/>
      <c r="J189" s="227"/>
      <c r="K189" s="227"/>
      <c r="L189" s="1286" t="s">
        <v>1875</v>
      </c>
      <c r="M189" s="1284" cm="1" t="str">
        <f t="array" ref="M189:M189">OFFSET(L189,-1,1)</f>
        <v>ТЭ.42.26824396.0005</v>
      </c>
      <c r="N189" s="1286"/>
      <c r="O189" s="1286"/>
      <c r="P189" s="1286"/>
      <c r="Q189" s="1286"/>
      <c r="R189" s="1286"/>
      <c r="S189" s="1286"/>
      <c r="T189" s="805" cm="1" t="str">
        <f t="array" ref="T189:T189">T188</f>
        <v>true</v>
      </c>
      <c r="U189" s="1461"/>
      <c r="V189" s="1461"/>
      <c r="W189" s="1461"/>
      <c r="X189" s="1461"/>
      <c r="Y189" s="1461"/>
      <c r="Z189" s="1461"/>
      <c r="AA189" s="227"/>
      <c r="AB189" s="883">
        <v>2</v>
      </c>
      <c r="AC189" s="1000" t="s">
        <v>1876</v>
      </c>
      <c r="AD189" s="883" t="s">
        <v>1019</v>
      </c>
      <c r="AE189" s="612">
        <f>AE190+AE191+AE192+AE193</f>
        <v>0</v>
      </c>
      <c r="AF189" s="612">
        <f>AF190+AF191+AF192+AF193</f>
        <v>0</v>
      </c>
      <c r="AG189" s="612">
        <f>AG190+AG191+AG192+AG193</f>
        <v>0</v>
      </c>
      <c r="AH189" s="307">
        <f>AG189-AF189</f>
        <v>0</v>
      </c>
      <c r="AI189" s="612">
        <f>AI190+AI191+AI192+AI193</f>
        <v>0</v>
      </c>
      <c r="AJ189" s="612">
        <f>AJ190+AJ191+AJ192+AJ193</f>
        <v>0</v>
      </c>
      <c r="AK189" s="612">
        <f>AK190+AK191+AK192+AK193</f>
        <v>0</v>
      </c>
      <c r="AL189" s="307">
        <f>IF(AI189=0,0,(AK189-AI189)/AI189*100)</f>
        <v>0</v>
      </c>
      <c r="AM189" s="1730"/>
      <c r="AN189" s="1730"/>
      <c r="AO189" s="1730"/>
      <c r="AP189" s="227"/>
      <c r="AQ189" s="227"/>
      <c r="AR189" s="1230" t="s">
        <v>1877</v>
      </c>
      <c r="AS189" s="1268" cm="1" t="str">
        <f t="array" ref="AS189:AS189">D189&amp;"::"&amp;IF(M189&lt;&gt;"",M189,"Неопределено")&amp;"::"&amp;IF(L189&lt;&gt;"",L189,"Неопределено")&amp;"::"&amp;IF(N189&lt;&gt;"",N189,"Неопределено")&amp;"::"&amp;IF(O189&lt;&gt;"",O189,"Неопределено")&amp;"::"&amp;IF(P189&lt;&gt;"",P189,"Неопределено")&amp;"::"&amp;IF(Q189&lt;&gt;"",Q189,"Неопределено")&amp;"::"&amp;IF(R189&lt;&gt;"",R189,"Неопределено")&amp;"::"&amp;IF(S189&lt;&gt;"",S189,"Неопределено")</f>
        <v>M10558::ТЭ.42.26824396.0005::1.0.50.::Неопределено::Неопределено::Неопределено::Неопределено::Неопределено::Неопределено</v>
      </c>
    </row>
    <row s="1619" customFormat="1" customHeight="1" ht="43.5">
      <c r="A190" s="1183"/>
      <c r="B190" s="924"/>
      <c r="C190" s="1298" t="s">
        <v>1798</v>
      </c>
      <c r="D190" s="1257" t="s">
        <v>1799</v>
      </c>
      <c r="E190" s="794">
        <v>45</v>
      </c>
      <c r="F190" s="919" cm="1" t="str">
        <f t="array" ref="F190:F190">OFFSET(G190,-1,-1)</f>
        <v>2</v>
      </c>
      <c r="G190" s="227"/>
      <c r="H190" s="227"/>
      <c r="I190" s="227"/>
      <c r="J190" s="227"/>
      <c r="K190" s="227"/>
      <c r="L190" s="1286"/>
      <c r="M190" s="1284" cm="1" t="str">
        <f t="array" ref="M190:M190">OFFSET(L190,-1,1)</f>
        <v>ТЭ.42.26824396.0005</v>
      </c>
      <c r="N190" s="1286"/>
      <c r="O190" s="1286"/>
      <c r="P190" s="1286" t="s">
        <v>1878</v>
      </c>
      <c r="Q190" s="1286"/>
      <c r="R190" s="1286"/>
      <c r="S190" s="1286"/>
      <c r="T190" s="805" cm="1" t="str">
        <f t="array" ref="T190:T190">T189</f>
        <v>true</v>
      </c>
      <c r="U190" s="1461"/>
      <c r="V190" s="1461"/>
      <c r="W190" s="1461"/>
      <c r="X190" s="1461"/>
      <c r="Y190" s="1461"/>
      <c r="Z190" s="1461"/>
      <c r="AA190" s="227"/>
      <c r="AB190" s="856" t="s">
        <v>448</v>
      </c>
      <c r="AC190" s="1001" t="s">
        <v>1879</v>
      </c>
      <c r="AD190" s="856" t="s">
        <v>1019</v>
      </c>
      <c r="AE190" s="1903"/>
      <c r="AF190" s="1903"/>
      <c r="AG190" s="1903"/>
      <c r="AH190" s="307">
        <f>AG190-AF190</f>
        <v>0</v>
      </c>
      <c r="AI190" s="1903"/>
      <c r="AJ190" s="614"/>
      <c r="AK190" s="614"/>
      <c r="AL190" s="307">
        <f>IF(AI190=0,0,(AK190-AI190)/AI190*100)</f>
        <v>0</v>
      </c>
      <c r="AM190" s="1730"/>
      <c r="AN190" s="1730"/>
      <c r="AO190" s="1730"/>
      <c r="AP190" s="227"/>
      <c r="AQ190" s="227"/>
      <c r="AR190" s="1230" t="s">
        <v>1880</v>
      </c>
      <c r="AS190" s="1268" cm="1" t="str">
        <f t="array" ref="AS190:AS190">D190&amp;"::"&amp;IF(M190&lt;&gt;"",M190,"Неопределено")&amp;"::"&amp;IF(L190&lt;&gt;"",L190,"Неопределено")&amp;"::"&amp;IF(N190&lt;&gt;"",N190,"Неопределено")&amp;"::"&amp;IF(O190&lt;&gt;"",O190,"Неопределено")&amp;"::"&amp;IF(P190&lt;&gt;"",P190,"Неопределено")&amp;"::"&amp;IF(Q190&lt;&gt;"",Q190,"Неопределено")&amp;"::"&amp;IF(R190&lt;&gt;"",R190,"Неопределено")&amp;"::"&amp;IF(S190&lt;&gt;"",S190,"Неопределено")</f>
        <v>M10558::ТЭ.42.26824396.0005::Неопределено::Неопределено::Неопределено::306.0.3.::Неопределено::Неопределено::Неопределено</v>
      </c>
    </row>
    <row s="1619" customFormat="1" customHeight="1" ht="16.5">
      <c r="A191" s="1183"/>
      <c r="B191" s="924"/>
      <c r="C191" s="1298" t="s">
        <v>1798</v>
      </c>
      <c r="D191" s="1257" t="s">
        <v>1799</v>
      </c>
      <c r="E191" s="794">
        <v>17.1</v>
      </c>
      <c r="F191" s="919" cm="1" t="str">
        <f t="array" ref="F191:F191">OFFSET(G191,-1,-1)</f>
        <v>2</v>
      </c>
      <c r="G191" s="227"/>
      <c r="H191" s="227"/>
      <c r="I191" s="227"/>
      <c r="J191" s="227"/>
      <c r="K191" s="227"/>
      <c r="L191" s="1286"/>
      <c r="M191" s="1284" cm="1" t="str">
        <f t="array" ref="M191:M191">OFFSET(L191,-1,1)</f>
        <v>ТЭ.42.26824396.0005</v>
      </c>
      <c r="N191" s="1286" t="s">
        <v>1881</v>
      </c>
      <c r="O191" s="1286"/>
      <c r="P191" s="1286"/>
      <c r="Q191" s="1286"/>
      <c r="R191" s="1286"/>
      <c r="S191" s="1286"/>
      <c r="T191" s="805" cm="1" t="str">
        <f t="array" ref="T191:T191">T190</f>
        <v>true</v>
      </c>
      <c r="U191" s="1461"/>
      <c r="V191" s="1461"/>
      <c r="W191" s="1461"/>
      <c r="X191" s="1461"/>
      <c r="Y191" s="1461"/>
      <c r="Z191" s="1461"/>
      <c r="AA191" s="227"/>
      <c r="AB191" s="555" t="s">
        <v>475</v>
      </c>
      <c r="AC191" s="1002" t="s">
        <v>1367</v>
      </c>
      <c r="AD191" s="571" t="s">
        <v>1019</v>
      </c>
      <c r="AE191" s="1903"/>
      <c r="AF191" s="1903"/>
      <c r="AG191" s="1903"/>
      <c r="AH191" s="307">
        <f>AG191-AF191</f>
        <v>0</v>
      </c>
      <c r="AI191" s="1903"/>
      <c r="AJ191" s="614"/>
      <c r="AK191" s="614"/>
      <c r="AL191" s="307">
        <f>IF(AI191=0,0,(AK191-AI191)/AI191*100)</f>
        <v>0</v>
      </c>
      <c r="AM191" s="1730"/>
      <c r="AN191" s="1730"/>
      <c r="AO191" s="1730"/>
      <c r="AP191" s="227"/>
      <c r="AQ191" s="227"/>
      <c r="AR191" s="1230" t="s">
        <v>1882</v>
      </c>
      <c r="AS191" s="1268" cm="1" t="str">
        <f t="array" ref="AS191:AS191">D191&amp;"::"&amp;IF(M191&lt;&gt;"",M191,"Неопределено")&amp;"::"&amp;IF(L191&lt;&gt;"",L191,"Неопределено")&amp;"::"&amp;IF(N191&lt;&gt;"",N191,"Неопределено")&amp;"::"&amp;IF(O191&lt;&gt;"",O191,"Неопределено")&amp;"::"&amp;IF(P191&lt;&gt;"",P191,"Неопределено")&amp;"::"&amp;IF(Q191&lt;&gt;"",Q191,"Неопределено")&amp;"::"&amp;IF(R191&lt;&gt;"",R191,"Неопределено")&amp;"::"&amp;IF(S191&lt;&gt;"",S191,"Неопределено")</f>
        <v>M10558::ТЭ.42.26824396.0005::Неопределено::110.0.37.::Неопределено::Неопределено::Неопределено::Неопределено::Неопределено</v>
      </c>
    </row>
    <row s="1619" customFormat="1" customHeight="1" ht="33.75">
      <c r="A192" s="1183"/>
      <c r="B192" s="924"/>
      <c r="C192" s="1298" t="s">
        <v>1798</v>
      </c>
      <c r="D192" s="1257" t="s">
        <v>1799</v>
      </c>
      <c r="E192" s="794">
        <v>35</v>
      </c>
      <c r="F192" s="919" cm="1" t="str">
        <f t="array" ref="F192:F192">OFFSET(G192,-1,-1)</f>
        <v>2</v>
      </c>
      <c r="G192" s="227"/>
      <c r="H192" s="227"/>
      <c r="I192" s="227"/>
      <c r="J192" s="227"/>
      <c r="K192" s="227"/>
      <c r="L192" s="1286" t="s">
        <v>1883</v>
      </c>
      <c r="M192" s="1284" cm="1" t="str">
        <f t="array" ref="M192:M192">OFFSET(L192,-1,1)</f>
        <v>ТЭ.42.26824396.0005</v>
      </c>
      <c r="N192" s="1286"/>
      <c r="O192" s="1286"/>
      <c r="P192" s="1286"/>
      <c r="Q192" s="1286"/>
      <c r="R192" s="1286"/>
      <c r="S192" s="1286"/>
      <c r="T192" s="805" cm="1" t="str">
        <f t="array" ref="T192:T192">T191</f>
        <v>true</v>
      </c>
      <c r="U192" s="1461"/>
      <c r="V192" s="1461"/>
      <c r="W192" s="1461"/>
      <c r="X192" s="1461"/>
      <c r="Y192" s="1461"/>
      <c r="Z192" s="1461"/>
      <c r="AA192" s="227"/>
      <c r="AB192" s="485" t="s">
        <v>479</v>
      </c>
      <c r="AC192" s="1003" t="s">
        <v>1379</v>
      </c>
      <c r="AD192" s="572" t="s">
        <v>1019</v>
      </c>
      <c r="AE192" s="1903"/>
      <c r="AF192" s="1903"/>
      <c r="AG192" s="1903"/>
      <c r="AH192" s="307">
        <f>AG192-AF192</f>
        <v>0</v>
      </c>
      <c r="AI192" s="1903"/>
      <c r="AJ192" s="614"/>
      <c r="AK192" s="614"/>
      <c r="AL192" s="307">
        <f>IF(AI192=0,0,(AK192-AI192)/AI192*100)</f>
        <v>0</v>
      </c>
      <c r="AM192" s="1730"/>
      <c r="AN192" s="1730"/>
      <c r="AO192" s="1730"/>
      <c r="AP192" s="227"/>
      <c r="AQ192" s="227"/>
      <c r="AR192" s="1230" t="s">
        <v>1884</v>
      </c>
      <c r="AS192" s="1268" cm="1" t="str">
        <f t="array" ref="AS192:AS192">D192&amp;"::"&amp;IF(M192&lt;&gt;"",M192,"Неопределено")&amp;"::"&amp;IF(L192&lt;&gt;"",L192,"Неопределено")&amp;"::"&amp;IF(N192&lt;&gt;"",N192,"Неопределено")&amp;"::"&amp;IF(O192&lt;&gt;"",O192,"Неопределено")&amp;"::"&amp;IF(P192&lt;&gt;"",P192,"Неопределено")&amp;"::"&amp;IF(Q192&lt;&gt;"",Q192,"Неопределено")&amp;"::"&amp;IF(R192&lt;&gt;"",R192,"Неопределено")&amp;"::"&amp;IF(S192&lt;&gt;"",S192,"Неопределено")</f>
        <v>M10558::ТЭ.42.26824396.0005::1.0.89.::Неопределено::Неопределено::Неопределено::Неопределено::Неопределено::Неопределено</v>
      </c>
    </row>
    <row s="1619" customFormat="1" customHeight="1" ht="16.5">
      <c r="A193" s="1183"/>
      <c r="B193" s="924"/>
      <c r="C193" s="1298" t="s">
        <v>1798</v>
      </c>
      <c r="D193" s="1257" t="s">
        <v>1799</v>
      </c>
      <c r="E193" s="794">
        <v>17.1</v>
      </c>
      <c r="F193" s="919" cm="1" t="str">
        <f t="array" ref="F193:F193">OFFSET(G193,-1,-1)</f>
        <v>2</v>
      </c>
      <c r="G193" s="227"/>
      <c r="H193" s="227"/>
      <c r="I193" s="227"/>
      <c r="J193" s="227"/>
      <c r="K193" s="227"/>
      <c r="L193" s="1286"/>
      <c r="M193" s="1284" cm="1" t="str">
        <f t="array" ref="M193:M193">OFFSET(L193,-1,1)</f>
        <v>ТЭ.42.26824396.0005</v>
      </c>
      <c r="N193" s="1276" t="s">
        <v>1885</v>
      </c>
      <c r="O193" s="1286"/>
      <c r="P193" s="1286"/>
      <c r="Q193" s="1286"/>
      <c r="R193" s="1286"/>
      <c r="S193" s="1286"/>
      <c r="T193" s="805" cm="1" t="str">
        <f t="array" ref="T193:T193">T192</f>
        <v>true</v>
      </c>
      <c r="U193" s="1461"/>
      <c r="V193" s="1461"/>
      <c r="W193" s="1461"/>
      <c r="X193" s="1461"/>
      <c r="Y193" s="1461"/>
      <c r="Z193" s="1461"/>
      <c r="AA193" s="227"/>
      <c r="AB193" s="485" t="s">
        <v>483</v>
      </c>
      <c r="AC193" s="1003" t="s">
        <v>1886</v>
      </c>
      <c r="AD193" s="572" t="s">
        <v>1019</v>
      </c>
      <c r="AE193" s="612">
        <f>AE194+AE195</f>
        <v>0</v>
      </c>
      <c r="AF193" s="612">
        <f>AF194+AF195</f>
        <v>0</v>
      </c>
      <c r="AG193" s="612">
        <f>AG194+AG195</f>
        <v>0</v>
      </c>
      <c r="AH193" s="307">
        <f>AG193-AF193</f>
        <v>0</v>
      </c>
      <c r="AI193" s="612">
        <f>AI194+AI195</f>
        <v>0</v>
      </c>
      <c r="AJ193" s="612">
        <f>AJ194+AJ195</f>
        <v>0</v>
      </c>
      <c r="AK193" s="612">
        <f>AK194+AK195</f>
        <v>0</v>
      </c>
      <c r="AL193" s="307">
        <f>IF(AI193=0,0,(AK193-AI193)/AI193*100)</f>
        <v>0</v>
      </c>
      <c r="AM193" s="1730"/>
      <c r="AN193" s="1730"/>
      <c r="AO193" s="1730"/>
      <c r="AP193" s="227"/>
      <c r="AQ193" s="227"/>
      <c r="AR193" s="1230" t="s">
        <v>1887</v>
      </c>
      <c r="AS193" s="1268" cm="1" t="str">
        <f t="array" ref="AS193:AS193">D193&amp;"::"&amp;IF(M193&lt;&gt;"",M193,"Неопределено")&amp;"::"&amp;IF(L193&lt;&gt;"",L193,"Неопределено")&amp;"::"&amp;IF(N193&lt;&gt;"",N193,"Неопределено")&amp;"::"&amp;IF(O193&lt;&gt;"",O193,"Неопределено")&amp;"::"&amp;IF(P193&lt;&gt;"",P193,"Неопределено")&amp;"::"&amp;IF(Q193&lt;&gt;"",Q193,"Неопределено")&amp;"::"&amp;IF(R193&lt;&gt;"",R193,"Неопределено")&amp;"::"&amp;IF(S193&lt;&gt;"",S193,"Неопределено")</f>
        <v>M10558::ТЭ.42.26824396.0005::Неопределено::110.0.32.::Неопределено::Неопределено::Неопределено::Неопределено::Неопределено</v>
      </c>
    </row>
    <row s="1619" customFormat="1" customHeight="1" ht="16.5">
      <c r="A194" s="1183"/>
      <c r="B194" s="924"/>
      <c r="C194" s="1298" t="s">
        <v>1798</v>
      </c>
      <c r="D194" s="1257" t="s">
        <v>1799</v>
      </c>
      <c r="E194" s="794">
        <v>17.1</v>
      </c>
      <c r="F194" s="919" cm="1" t="str">
        <f t="array" ref="F194:F194">OFFSET(G194,-1,-1)</f>
        <v>2</v>
      </c>
      <c r="G194" s="227"/>
      <c r="H194" s="227"/>
      <c r="I194" s="227"/>
      <c r="J194" s="227"/>
      <c r="K194" s="227"/>
      <c r="L194" s="1286" t="s">
        <v>1888</v>
      </c>
      <c r="M194" s="1284" cm="1" t="str">
        <f t="array" ref="M194:M194">OFFSET(L194,-1,1)</f>
        <v>ТЭ.42.26824396.0005</v>
      </c>
      <c r="N194" s="1286"/>
      <c r="O194" s="1286"/>
      <c r="P194" s="1286"/>
      <c r="Q194" s="1286"/>
      <c r="R194" s="1286"/>
      <c r="S194" s="1286"/>
      <c r="T194" s="805" cm="1" t="str">
        <f t="array" ref="T194:T194">T193</f>
        <v>true</v>
      </c>
      <c r="U194" s="1461"/>
      <c r="V194" s="1461"/>
      <c r="W194" s="1461"/>
      <c r="X194" s="1461"/>
      <c r="Y194" s="1461"/>
      <c r="Z194" s="1461"/>
      <c r="AA194" s="227"/>
      <c r="AB194" s="496" t="s">
        <v>1889</v>
      </c>
      <c r="AC194" s="1005" t="s">
        <v>1890</v>
      </c>
      <c r="AD194" s="651" t="s">
        <v>1019</v>
      </c>
      <c r="AE194" s="1903"/>
      <c r="AF194" s="1903"/>
      <c r="AG194" s="1903"/>
      <c r="AH194" s="307">
        <f>AG194-AF194</f>
        <v>0</v>
      </c>
      <c r="AI194" s="1903"/>
      <c r="AJ194" s="614"/>
      <c r="AK194" s="614"/>
      <c r="AL194" s="307">
        <f>IF(AI194=0,0,(AK194-AI194)/AI194*100)</f>
        <v>0</v>
      </c>
      <c r="AM194" s="1730"/>
      <c r="AN194" s="1730"/>
      <c r="AO194" s="1730"/>
      <c r="AP194" s="227"/>
      <c r="AQ194" s="227"/>
      <c r="AR194" s="1230" t="s">
        <v>1891</v>
      </c>
      <c r="AS194" s="1268" cm="1" t="str">
        <f t="array" ref="AS194:AS194">D194&amp;"::"&amp;IF(M194&lt;&gt;"",M194,"Неопределено")&amp;"::"&amp;IF(L194&lt;&gt;"",L194,"Неопределено")&amp;"::"&amp;IF(N194&lt;&gt;"",N194,"Неопределено")&amp;"::"&amp;IF(O194&lt;&gt;"",O194,"Неопределено")&amp;"::"&amp;IF(P194&lt;&gt;"",P194,"Неопределено")&amp;"::"&amp;IF(Q194&lt;&gt;"",Q194,"Неопределено")&amp;"::"&amp;IF(R194&lt;&gt;"",R194,"Неопределено")&amp;"::"&amp;IF(S194&lt;&gt;"",S194,"Неопределено")</f>
        <v>M10558::ТЭ.42.26824396.0005::1.0.96.::Неопределено::Неопределено::Неопределено::Неопределено::Неопределено::Неопределено</v>
      </c>
    </row>
    <row s="1619" customFormat="1" customHeight="1" ht="16.5">
      <c r="A195" s="1183"/>
      <c r="B195" s="924"/>
      <c r="C195" s="1298" t="s">
        <v>1798</v>
      </c>
      <c r="D195" s="1257" t="s">
        <v>1799</v>
      </c>
      <c r="E195" s="794">
        <v>17.1</v>
      </c>
      <c r="F195" s="919" cm="1" t="str">
        <f t="array" ref="F195:F195">OFFSET(G195,-1,-1)</f>
        <v>2</v>
      </c>
      <c r="G195" s="227"/>
      <c r="H195" s="227"/>
      <c r="I195" s="227"/>
      <c r="J195" s="227"/>
      <c r="K195" s="227"/>
      <c r="L195" s="1286"/>
      <c r="M195" s="1284" cm="1" t="str">
        <f t="array" ref="M195:M195">OFFSET(L195,-1,1)</f>
        <v>ТЭ.42.26824396.0005</v>
      </c>
      <c r="N195" s="1286" t="s">
        <v>1892</v>
      </c>
      <c r="O195" s="1286"/>
      <c r="P195" s="1286"/>
      <c r="Q195" s="1286"/>
      <c r="R195" s="1286"/>
      <c r="S195" s="1286"/>
      <c r="T195" s="805" cm="1" t="str">
        <f t="array" ref="T195:T195">T194</f>
        <v>true</v>
      </c>
      <c r="U195" s="1461"/>
      <c r="V195" s="1461"/>
      <c r="W195" s="1461"/>
      <c r="X195" s="1461"/>
      <c r="Y195" s="1461"/>
      <c r="Z195" s="1461"/>
      <c r="AA195" s="227"/>
      <c r="AB195" s="856" t="s">
        <v>1893</v>
      </c>
      <c r="AC195" s="1001" t="s">
        <v>1894</v>
      </c>
      <c r="AD195" s="856" t="s">
        <v>1019</v>
      </c>
      <c r="AE195" s="1903"/>
      <c r="AF195" s="1903"/>
      <c r="AG195" s="1903"/>
      <c r="AH195" s="307">
        <f>AG195-AF195</f>
        <v>0</v>
      </c>
      <c r="AI195" s="1903"/>
      <c r="AJ195" s="614"/>
      <c r="AK195" s="614"/>
      <c r="AL195" s="307">
        <f>IF(AI195=0,0,(AK195-AI195)/AI195*100)</f>
        <v>0</v>
      </c>
      <c r="AM195" s="1730"/>
      <c r="AN195" s="1730"/>
      <c r="AO195" s="1730"/>
      <c r="AP195" s="227"/>
      <c r="AQ195" s="227"/>
      <c r="AR195" s="1230" t="s">
        <v>1895</v>
      </c>
      <c r="AS195" s="1268" cm="1" t="str">
        <f t="array" ref="AS195:AS195">D195&amp;"::"&amp;IF(M195&lt;&gt;"",M195,"Неопределено")&amp;"::"&amp;IF(L195&lt;&gt;"",L195,"Неопределено")&amp;"::"&amp;IF(N195&lt;&gt;"",N195,"Неопределено")&amp;"::"&amp;IF(O195&lt;&gt;"",O195,"Неопределено")&amp;"::"&amp;IF(P195&lt;&gt;"",P195,"Неопределено")&amp;"::"&amp;IF(Q195&lt;&gt;"",Q195,"Неопределено")&amp;"::"&amp;IF(R195&lt;&gt;"",R195,"Неопределено")&amp;"::"&amp;IF(S195&lt;&gt;"",S195,"Неопределено")</f>
        <v>M10558::ТЭ.42.26824396.0005::Неопределено::110.0.39.::Неопределено::Неопределено::Неопределено::Неопределено::Неопределено</v>
      </c>
    </row>
    <row s="1619" customFormat="1" customHeight="1" ht="33.75">
      <c r="A196" s="1183"/>
      <c r="B196" s="924"/>
      <c r="C196" s="1298" t="s">
        <v>1798</v>
      </c>
      <c r="D196" s="1257" t="s">
        <v>1799</v>
      </c>
      <c r="E196" s="794">
        <v>35</v>
      </c>
      <c r="F196" s="919" cm="1" t="str">
        <f t="array" ref="F196:F196">OFFSET(G196,-1,-1)</f>
        <v>2</v>
      </c>
      <c r="G196" s="227"/>
      <c r="H196" s="227"/>
      <c r="I196" s="227"/>
      <c r="J196" s="227"/>
      <c r="K196" s="227"/>
      <c r="L196" s="1286"/>
      <c r="M196" s="1284" cm="1" t="str">
        <f t="array" ref="M196:M196">OFFSET(L196,-1,1)</f>
        <v>ТЭ.42.26824396.0005</v>
      </c>
      <c r="N196" s="1286" t="s">
        <v>1896</v>
      </c>
      <c r="O196" s="1286"/>
      <c r="P196" s="1286"/>
      <c r="Q196" s="1286"/>
      <c r="R196" s="1286"/>
      <c r="S196" s="1286"/>
      <c r="T196" s="805" cm="1" t="str">
        <f t="array" ref="T196:T196">T195</f>
        <v>true</v>
      </c>
      <c r="U196" s="1461"/>
      <c r="V196" s="1461"/>
      <c r="W196" s="1461"/>
      <c r="X196" s="1461"/>
      <c r="Y196" s="1461"/>
      <c r="Z196" s="1461"/>
      <c r="AA196" s="227"/>
      <c r="AB196" s="883">
        <v>3</v>
      </c>
      <c r="AC196" s="1007" t="s">
        <v>1897</v>
      </c>
      <c r="AD196" s="883" t="s">
        <v>1019</v>
      </c>
      <c r="AE196" s="612">
        <f>AE197+AE198+AE199+AE200</f>
        <v>0</v>
      </c>
      <c r="AF196" s="612">
        <f>AF197+AF198+AF199+AF200</f>
        <v>0</v>
      </c>
      <c r="AG196" s="612">
        <f>AG197+AG198+AG199+AG200</f>
        <v>0</v>
      </c>
      <c r="AH196" s="307">
        <f>AG196-AF196</f>
        <v>0</v>
      </c>
      <c r="AI196" s="612">
        <f>AI197+AI198+AI199+AI200</f>
        <v>0</v>
      </c>
      <c r="AJ196" s="612">
        <f>AJ197+AJ198+AJ199+AJ200</f>
        <v>0</v>
      </c>
      <c r="AK196" s="612">
        <f>AK197+AK198+AK199+AK200</f>
        <v>0</v>
      </c>
      <c r="AL196" s="307">
        <f>IF(AI196=0,0,(AK196-AI196)/AI196*100)</f>
        <v>0</v>
      </c>
      <c r="AM196" s="1730"/>
      <c r="AN196" s="1730"/>
      <c r="AO196" s="1730"/>
      <c r="AP196" s="227"/>
      <c r="AQ196" s="227"/>
      <c r="AR196" s="1230" t="s">
        <v>1898</v>
      </c>
      <c r="AS196" s="1268" cm="1" t="str">
        <f t="array" ref="AS196:AS196">D196&amp;"::"&amp;IF(M196&lt;&gt;"",M196,"Неопределено")&amp;"::"&amp;IF(L196&lt;&gt;"",L196,"Неопределено")&amp;"::"&amp;IF(N196&lt;&gt;"",N196,"Неопределено")&amp;"::"&amp;IF(O196&lt;&gt;"",O196,"Неопределено")&amp;"::"&amp;IF(P196&lt;&gt;"",P196,"Неопределено")&amp;"::"&amp;IF(Q196&lt;&gt;"",Q196,"Неопределено")&amp;"::"&amp;IF(R196&lt;&gt;"",R196,"Неопределено")&amp;"::"&amp;IF(S196&lt;&gt;"",S196,"Неопределено")</f>
        <v>M10558::ТЭ.42.26824396.0005::Неопределено::110.0.46.::Неопределено::Неопределено::Неопределено::Неопределено::Неопределено</v>
      </c>
    </row>
    <row s="1619" customFormat="1" customHeight="1" ht="16.5">
      <c r="A197" s="1183"/>
      <c r="B197" s="924"/>
      <c r="C197" s="1298" t="s">
        <v>1798</v>
      </c>
      <c r="D197" s="1257" t="s">
        <v>1799</v>
      </c>
      <c r="E197" s="794">
        <v>17.1</v>
      </c>
      <c r="F197" s="919" cm="1" t="str">
        <f t="array" ref="F197:F197">OFFSET(G197,-1,-1)</f>
        <v>2</v>
      </c>
      <c r="G197" s="227"/>
      <c r="H197" s="227"/>
      <c r="I197" s="227"/>
      <c r="J197" s="227"/>
      <c r="K197" s="227"/>
      <c r="L197" s="1286"/>
      <c r="M197" s="1284" cm="1" t="str">
        <f t="array" ref="M197:M197">OFFSET(L197,-1,1)</f>
        <v>ТЭ.42.26824396.0005</v>
      </c>
      <c r="N197" s="1286" t="s">
        <v>1899</v>
      </c>
      <c r="O197" s="1286"/>
      <c r="P197" s="1286"/>
      <c r="Q197" s="1286"/>
      <c r="R197" s="1286"/>
      <c r="S197" s="1286"/>
      <c r="T197" s="805" cm="1" t="str">
        <f t="array" ref="T197:T197">T196</f>
        <v>true</v>
      </c>
      <c r="U197" s="1461"/>
      <c r="V197" s="1461"/>
      <c r="W197" s="1461"/>
      <c r="X197" s="1461"/>
      <c r="Y197" s="1461"/>
      <c r="Z197" s="1461"/>
      <c r="AA197" s="227"/>
      <c r="AB197" s="856" t="s">
        <v>710</v>
      </c>
      <c r="AC197" s="998" t="s">
        <v>1900</v>
      </c>
      <c r="AD197" s="856" t="s">
        <v>1019</v>
      </c>
      <c r="AE197" s="1903"/>
      <c r="AF197" s="1903"/>
      <c r="AG197" s="1903"/>
      <c r="AH197" s="307">
        <f>AG197-AF197</f>
        <v>0</v>
      </c>
      <c r="AI197" s="1903"/>
      <c r="AJ197" s="614"/>
      <c r="AK197" s="614"/>
      <c r="AL197" s="307">
        <f>IF(AI197=0,0,(AK197-AI197)/AI197*100)</f>
        <v>0</v>
      </c>
      <c r="AM197" s="1730"/>
      <c r="AN197" s="1730"/>
      <c r="AO197" s="1730"/>
      <c r="AP197" s="227"/>
      <c r="AQ197" s="227"/>
      <c r="AR197" s="1230" t="s">
        <v>1901</v>
      </c>
      <c r="AS197" s="1268" cm="1" t="str">
        <f t="array" ref="AS197:AS197">D197&amp;"::"&amp;IF(M197&lt;&gt;"",M197,"Неопределено")&amp;"::"&amp;IF(L197&lt;&gt;"",L197,"Неопределено")&amp;"::"&amp;IF(N197&lt;&gt;"",N197,"Неопределено")&amp;"::"&amp;IF(O197&lt;&gt;"",O197,"Неопределено")&amp;"::"&amp;IF(P197&lt;&gt;"",P197,"Неопределено")&amp;"::"&amp;IF(Q197&lt;&gt;"",Q197,"Неопределено")&amp;"::"&amp;IF(R197&lt;&gt;"",R197,"Неопределено")&amp;"::"&amp;IF(S197&lt;&gt;"",S197,"Неопределено")</f>
        <v>M10558::ТЭ.42.26824396.0005::Неопределено::110.0.21.::Неопределено::Неопределено::Неопределено::Неопределено::Неопределено</v>
      </c>
    </row>
    <row s="1619" customFormat="1" customHeight="1" ht="16.5">
      <c r="A198" s="1183"/>
      <c r="B198" s="924"/>
      <c r="C198" s="1298" t="s">
        <v>1798</v>
      </c>
      <c r="D198" s="1257" t="s">
        <v>1799</v>
      </c>
      <c r="E198" s="794">
        <v>17.1</v>
      </c>
      <c r="F198" s="919" cm="1" t="str">
        <f t="array" ref="F198:F198">OFFSET(G198,-1,-1)</f>
        <v>2</v>
      </c>
      <c r="G198" s="227"/>
      <c r="H198" s="227"/>
      <c r="I198" s="227"/>
      <c r="J198" s="227"/>
      <c r="K198" s="227"/>
      <c r="L198" s="1286"/>
      <c r="M198" s="1284" cm="1" t="str">
        <f t="array" ref="M198:M198">OFFSET(L198,-1,1)</f>
        <v>ТЭ.42.26824396.0005</v>
      </c>
      <c r="N198" s="1286" t="s">
        <v>1902</v>
      </c>
      <c r="O198" s="1286"/>
      <c r="P198" s="1286"/>
      <c r="Q198" s="1286"/>
      <c r="R198" s="1286"/>
      <c r="S198" s="1286"/>
      <c r="T198" s="805" cm="1" t="str">
        <f t="array" ref="T198:T198">T197</f>
        <v>true</v>
      </c>
      <c r="U198" s="1461"/>
      <c r="V198" s="1461"/>
      <c r="W198" s="1461"/>
      <c r="X198" s="1461"/>
      <c r="Y198" s="1461"/>
      <c r="Z198" s="1461"/>
      <c r="AA198" s="227"/>
      <c r="AB198" s="856" t="s">
        <v>713</v>
      </c>
      <c r="AC198" s="998" t="s">
        <v>1903</v>
      </c>
      <c r="AD198" s="856" t="s">
        <v>1019</v>
      </c>
      <c r="AE198" s="1903"/>
      <c r="AF198" s="1903"/>
      <c r="AG198" s="1903"/>
      <c r="AH198" s="307">
        <f>AG198-AF198</f>
        <v>0</v>
      </c>
      <c r="AI198" s="1903"/>
      <c r="AJ198" s="614"/>
      <c r="AK198" s="614"/>
      <c r="AL198" s="307">
        <f>IF(AI198=0,0,(AK198-AI198)/AI198*100)</f>
        <v>0</v>
      </c>
      <c r="AM198" s="1730"/>
      <c r="AN198" s="1730"/>
      <c r="AO198" s="1730"/>
      <c r="AP198" s="227"/>
      <c r="AQ198" s="227"/>
      <c r="AR198" s="1230" t="s">
        <v>1904</v>
      </c>
      <c r="AS198" s="1268" cm="1" t="str">
        <f t="array" ref="AS198:AS198">D198&amp;"::"&amp;IF(M198&lt;&gt;"",M198,"Неопределено")&amp;"::"&amp;IF(L198&lt;&gt;"",L198,"Неопределено")&amp;"::"&amp;IF(N198&lt;&gt;"",N198,"Неопределено")&amp;"::"&amp;IF(O198&lt;&gt;"",O198,"Неопределено")&amp;"::"&amp;IF(P198&lt;&gt;"",P198,"Неопределено")&amp;"::"&amp;IF(Q198&lt;&gt;"",Q198,"Неопределено")&amp;"::"&amp;IF(R198&lt;&gt;"",R198,"Неопределено")&amp;"::"&amp;IF(S198&lt;&gt;"",S198,"Неопределено")</f>
        <v>M10558::ТЭ.42.26824396.0005::Неопределено::110.0.42.::Неопределено::Неопределено::Неопределено::Неопределено::Неопределено</v>
      </c>
    </row>
    <row s="1619" customFormat="1" customHeight="1" ht="16.5">
      <c r="A199" s="1183"/>
      <c r="B199" s="924"/>
      <c r="C199" s="1298" t="s">
        <v>1798</v>
      </c>
      <c r="D199" s="1257" t="s">
        <v>1799</v>
      </c>
      <c r="E199" s="794">
        <v>17.1</v>
      </c>
      <c r="F199" s="919" cm="1" t="str">
        <f t="array" ref="F199:F199">OFFSET(G199,-1,-1)</f>
        <v>2</v>
      </c>
      <c r="G199" s="227"/>
      <c r="H199" s="227"/>
      <c r="I199" s="227"/>
      <c r="J199" s="227"/>
      <c r="K199" s="227"/>
      <c r="L199" s="1286"/>
      <c r="M199" s="1284" cm="1" t="str">
        <f t="array" ref="M199:M199">OFFSET(L199,-1,1)</f>
        <v>ТЭ.42.26824396.0005</v>
      </c>
      <c r="N199" s="1286"/>
      <c r="O199" s="1286"/>
      <c r="P199" s="1286"/>
      <c r="Q199" s="1286" t="s">
        <v>1905</v>
      </c>
      <c r="R199" s="1286"/>
      <c r="S199" s="1286"/>
      <c r="T199" s="805" cm="1" t="str">
        <f t="array" ref="T199:T199">T198</f>
        <v>true</v>
      </c>
      <c r="U199" s="1461"/>
      <c r="V199" s="1461"/>
      <c r="W199" s="1461"/>
      <c r="X199" s="1461"/>
      <c r="Y199" s="1461"/>
      <c r="Z199" s="1461"/>
      <c r="AA199" s="227"/>
      <c r="AB199" s="856" t="s">
        <v>1906</v>
      </c>
      <c r="AC199" s="998" t="s">
        <v>1907</v>
      </c>
      <c r="AD199" s="856" t="s">
        <v>1019</v>
      </c>
      <c r="AE199" s="1903"/>
      <c r="AF199" s="1903"/>
      <c r="AG199" s="1903"/>
      <c r="AH199" s="307">
        <f>AG199-AF199</f>
        <v>0</v>
      </c>
      <c r="AI199" s="1903"/>
      <c r="AJ199" s="614"/>
      <c r="AK199" s="614"/>
      <c r="AL199" s="307">
        <f>IF(AI199=0,0,(AK199-AI199)/AI199*100)</f>
        <v>0</v>
      </c>
      <c r="AM199" s="1730"/>
      <c r="AN199" s="1730"/>
      <c r="AO199" s="1730"/>
      <c r="AP199" s="227"/>
      <c r="AQ199" s="227"/>
      <c r="AR199" s="1230" t="s">
        <v>1908</v>
      </c>
      <c r="AS199" s="1268" cm="1" t="str">
        <f t="array" ref="AS199:AS199">D199&amp;"::"&amp;IF(M199&lt;&gt;"",M199,"Неопределено")&amp;"::"&amp;IF(L199&lt;&gt;"",L199,"Неопределено")&amp;"::"&amp;IF(N199&lt;&gt;"",N199,"Неопределено")&amp;"::"&amp;IF(O199&lt;&gt;"",O199,"Неопределено")&amp;"::"&amp;IF(P199&lt;&gt;"",P199,"Неопределено")&amp;"::"&amp;IF(Q199&lt;&gt;"",Q199,"Неопределено")&amp;"::"&amp;IF(R199&lt;&gt;"",R199,"Неопределено")&amp;"::"&amp;IF(S199&lt;&gt;"",S199,"Неопределено")</f>
        <v>M10558::ТЭ.42.26824396.0005::Неопределено::Неопределено::Неопределено::Неопределено::2.0.48.::Неопределено::Неопределено</v>
      </c>
    </row>
    <row s="1619" customFormat="1" customHeight="1" ht="16.5">
      <c r="A200" s="1183"/>
      <c r="B200" s="924"/>
      <c r="C200" s="1298" t="s">
        <v>1798</v>
      </c>
      <c r="D200" s="1257" t="s">
        <v>1799</v>
      </c>
      <c r="E200" s="794">
        <v>17.1</v>
      </c>
      <c r="F200" s="919" cm="1" t="str">
        <f t="array" ref="F200:F200">OFFSET(G200,-1,-1)</f>
        <v>2</v>
      </c>
      <c r="G200" s="227"/>
      <c r="H200" s="227"/>
      <c r="I200" s="227"/>
      <c r="J200" s="227"/>
      <c r="K200" s="227"/>
      <c r="L200" s="1286" t="s">
        <v>1858</v>
      </c>
      <c r="M200" s="1284" cm="1" t="str">
        <f t="array" ref="M200:M200">OFFSET(L200,-1,1)</f>
        <v>ТЭ.42.26824396.0005</v>
      </c>
      <c r="N200" s="1286" t="s">
        <v>1885</v>
      </c>
      <c r="O200" s="1286"/>
      <c r="P200" s="1286"/>
      <c r="Q200" s="1286"/>
      <c r="R200" s="1286"/>
      <c r="S200" s="1286"/>
      <c r="T200" s="805" cm="1" t="str">
        <f t="array" ref="T200:T200">T199</f>
        <v>true</v>
      </c>
      <c r="U200" s="1461"/>
      <c r="V200" s="1461"/>
      <c r="W200" s="1461"/>
      <c r="X200" s="1461"/>
      <c r="Y200" s="1461"/>
      <c r="Z200" s="1461"/>
      <c r="AA200" s="227"/>
      <c r="AB200" s="856" t="s">
        <v>1909</v>
      </c>
      <c r="AC200" s="998" t="s">
        <v>1267</v>
      </c>
      <c r="AD200" s="856" t="s">
        <v>1019</v>
      </c>
      <c r="AE200" s="1903"/>
      <c r="AF200" s="1903"/>
      <c r="AG200" s="1903"/>
      <c r="AH200" s="307">
        <f>AG200-AF200</f>
        <v>0</v>
      </c>
      <c r="AI200" s="1903"/>
      <c r="AJ200" s="614"/>
      <c r="AK200" s="614"/>
      <c r="AL200" s="307">
        <f>IF(AI200=0,0,(AK200-AI200)/AI200*100)</f>
        <v>0</v>
      </c>
      <c r="AM200" s="1730"/>
      <c r="AN200" s="1730"/>
      <c r="AO200" s="1730"/>
      <c r="AP200" s="227"/>
      <c r="AQ200" s="227"/>
      <c r="AR200" s="1230" t="s">
        <v>1910</v>
      </c>
      <c r="AS200" s="1268" cm="1" t="str">
        <f t="array" ref="AS200:AS200">D200&amp;"::"&amp;IF(M200&lt;&gt;"",M200,"Неопределено")&amp;"::"&amp;IF(L200&lt;&gt;"",L200,"Неопределено")&amp;"::"&amp;IF(N200&lt;&gt;"",N200,"Неопределено")&amp;"::"&amp;IF(O200&lt;&gt;"",O200,"Неопределено")&amp;"::"&amp;IF(P200&lt;&gt;"",P200,"Неопределено")&amp;"::"&amp;IF(Q200&lt;&gt;"",Q200,"Неопределено")&amp;"::"&amp;IF(R200&lt;&gt;"",R200,"Неопределено")&amp;"::"&amp;IF(S200&lt;&gt;"",S200,"Неопределено")</f>
        <v>M10558::ТЭ.42.26824396.0005::1.0.49.::110.0.32.::Неопределено::Неопределено::Неопределено::Неопределено::Неопределено</v>
      </c>
    </row>
    <row s="1619" customFormat="1" customHeight="1" ht="16.5">
      <c r="A201" s="1183"/>
      <c r="B201" s="924"/>
      <c r="C201" s="1298" t="s">
        <v>1798</v>
      </c>
      <c r="D201" s="1257" t="s">
        <v>1799</v>
      </c>
      <c r="E201" s="794">
        <v>17.1</v>
      </c>
      <c r="F201" s="919" cm="1" t="str">
        <f t="array" ref="F201:F201">OFFSET(G201,-1,-1)</f>
        <v>2</v>
      </c>
      <c r="G201" s="736" t="s">
        <v>1261</v>
      </c>
      <c r="H201" s="227"/>
      <c r="I201" s="227"/>
      <c r="J201" s="227"/>
      <c r="K201" s="227"/>
      <c r="L201" s="1286" t="s">
        <v>1911</v>
      </c>
      <c r="M201" s="1284" cm="1" t="str">
        <f t="array" ref="M201:M201">OFFSET(L201,-1,1)</f>
        <v>ТЭ.42.26824396.0005</v>
      </c>
      <c r="N201" s="1286"/>
      <c r="O201" s="1286"/>
      <c r="P201" s="1286"/>
      <c r="Q201" s="1286"/>
      <c r="R201" s="1286"/>
      <c r="S201" s="1286"/>
      <c r="T201" s="805" cm="1" t="str">
        <f t="array" ref="T201:T201">T200</f>
        <v>true</v>
      </c>
      <c r="U201" s="1461"/>
      <c r="V201" s="1461"/>
      <c r="W201" s="1461"/>
      <c r="X201" s="1461"/>
      <c r="Y201" s="1461"/>
      <c r="Z201" s="1461"/>
      <c r="AA201" s="227"/>
      <c r="AB201" s="883">
        <v>4</v>
      </c>
      <c r="AC201" s="1007" t="s">
        <v>1376</v>
      </c>
      <c r="AD201" s="883" t="s">
        <v>1019</v>
      </c>
      <c r="AE201" s="612">
        <f>_xlfn.SUMIFS(Налоги!AE$26:AE$69,Налоги!$F$26:$F$69,$F201,Налоги!$G$26:$G$69,$G201)</f>
        <v>0</v>
      </c>
      <c r="AF201" s="612">
        <f>_xlfn.SUMIFS(Налоги!AF$26:AF$69,Налоги!$F$26:$F$69,$F201,Налоги!$G$26:$G$69,$G201)</f>
        <v>0</v>
      </c>
      <c r="AG201" s="612">
        <f>_xlfn.SUMIFS(Налоги!AG$26:AG$69,Налоги!$F$26:$F$69,$F201,Налоги!$G$26:$G$69,$G201)</f>
        <v>0</v>
      </c>
      <c r="AH201" s="307">
        <f>AG201-AF201</f>
        <v>0</v>
      </c>
      <c r="AI201" s="612">
        <f>_xlfn.SUMIFS(Налоги!AH$26:AH$69,Налоги!$F$26:$F$69,$F201,Налоги!$G$26:$G$69,$G201)</f>
        <v>0</v>
      </c>
      <c r="AJ201" s="612">
        <f>_xlfn.SUMIFS(Налоги!AI$26:AI$69,Налоги!$F$26:$F$69,$F201,Налоги!$G$26:$G$69,$G201)</f>
        <v>0</v>
      </c>
      <c r="AK201" s="612">
        <f>_xlfn.SUMIFS(Налоги!AS$26:AS$69,Налоги!$F$26:$F$69,$F201,Налоги!$G$26:$G$69,$G201)</f>
        <v>0</v>
      </c>
      <c r="AL201" s="307">
        <f>IF(AI201=0,0,(AK201-AI201)/AI201*100)</f>
        <v>0</v>
      </c>
      <c r="AM201" s="1730"/>
      <c r="AN201" s="1730"/>
      <c r="AO201" s="1730"/>
      <c r="AP201" s="227"/>
      <c r="AQ201" s="227"/>
      <c r="AR201" s="1230" t="s">
        <v>571</v>
      </c>
      <c r="AS201" s="1268" cm="1" t="str">
        <f t="array" ref="AS201:AS201">D201&amp;"::"&amp;IF(M201&lt;&gt;"",M201,"Неопределено")&amp;"::"&amp;IF(L201&lt;&gt;"",L201,"Неопределено")&amp;"::"&amp;IF(N201&lt;&gt;"",N201,"Неопределено")&amp;"::"&amp;IF(O201&lt;&gt;"",O201,"Неопределено")&amp;"::"&amp;IF(P201&lt;&gt;"",P201,"Неопределено")&amp;"::"&amp;IF(Q201&lt;&gt;"",Q201,"Неопределено")&amp;"::"&amp;IF(R201&lt;&gt;"",R201,"Неопределено")&amp;"::"&amp;IF(S201&lt;&gt;"",S201,"Неопределено")</f>
        <v>M10558::ТЭ.42.26824396.0005::1.0.91.::Неопределено::Неопределено::Неопределено::Неопределено::Неопределено::Неопределено</v>
      </c>
    </row>
    <row s="1619" customFormat="1" customHeight="1" ht="33.75">
      <c r="A202" s="1183"/>
      <c r="B202" s="924"/>
      <c r="C202" s="1298" t="s">
        <v>1665</v>
      </c>
      <c r="D202" s="1257" t="s">
        <v>1666</v>
      </c>
      <c r="E202" s="794">
        <v>35</v>
      </c>
      <c r="F202" s="919" cm="1" t="str">
        <f t="array" ref="F202:F202">OFFSET(G202,-1,-1)</f>
        <v>2</v>
      </c>
      <c r="G202" s="227"/>
      <c r="H202" s="227"/>
      <c r="I202" s="227"/>
      <c r="J202" s="227"/>
      <c r="K202" s="227"/>
      <c r="L202" s="1286"/>
      <c r="M202" s="1284" cm="1" t="str">
        <f t="array" ref="M202:M202">OFFSET(L202,-1,1)</f>
        <v>ТЭ.42.26824396.0005</v>
      </c>
      <c r="N202" s="1286" t="s">
        <v>1912</v>
      </c>
      <c r="O202" s="1286"/>
      <c r="P202" s="1286"/>
      <c r="Q202" s="1286"/>
      <c r="R202" s="1286"/>
      <c r="S202" s="1286"/>
      <c r="T202" s="805" cm="1" t="str">
        <f t="array" ref="T202:T202">T201</f>
        <v>true</v>
      </c>
      <c r="U202" s="1461"/>
      <c r="V202" s="1461"/>
      <c r="W202" s="1461"/>
      <c r="X202" s="1461"/>
      <c r="Y202" s="1461"/>
      <c r="Z202" s="1461"/>
      <c r="AA202" s="227"/>
      <c r="AB202" s="883">
        <v>5</v>
      </c>
      <c r="AC202" s="1007" t="s">
        <v>1913</v>
      </c>
      <c r="AD202" s="883" t="s">
        <v>1019</v>
      </c>
      <c r="AE202" s="1903"/>
      <c r="AF202" s="1903"/>
      <c r="AG202" s="1903"/>
      <c r="AH202" s="307">
        <f>AG202-AF202</f>
        <v>0</v>
      </c>
      <c r="AI202" s="1903"/>
      <c r="AJ202" s="614"/>
      <c r="AK202" s="614"/>
      <c r="AL202" s="307">
        <f>IF(AI202=0,0,(AK202-AI202)/AI202*100)</f>
        <v>0</v>
      </c>
      <c r="AM202" s="1730"/>
      <c r="AN202" s="1730"/>
      <c r="AO202" s="1730"/>
      <c r="AP202" s="227"/>
      <c r="AQ202" s="227"/>
      <c r="AR202" s="1230" t="s">
        <v>1507</v>
      </c>
      <c r="AS202" s="1268" cm="1" t="str">
        <f t="array" ref="AS202:AS202">D202&amp;"::"&amp;IF(M202&lt;&gt;"",M202,"Неопределено")&amp;"::"&amp;IF(L202&lt;&gt;"",L202,"Неопределено")&amp;"::"&amp;IF(N202&lt;&gt;"",N202,"Неопределено")&amp;"::"&amp;IF(O202&lt;&gt;"",O202,"Неопределено")&amp;"::"&amp;IF(P202&lt;&gt;"",P202,"Неопределено")&amp;"::"&amp;IF(Q202&lt;&gt;"",Q202,"Неопределено")&amp;"::"&amp;IF(R202&lt;&gt;"",R202,"Неопределено")&amp;"::"&amp;IF(S202&lt;&gt;"",S202,"Неопределено")</f>
        <v>M11281::ТЭ.42.26824396.0005::Неопределено::110.0.5.::Неопределено::Неопределено::Неопределено::Неопределено::Неопределено</v>
      </c>
    </row>
    <row s="1619" customFormat="1" customHeight="1" ht="16.5">
      <c r="A203" s="1183"/>
      <c r="B203" s="924"/>
      <c r="C203" s="1298" t="s">
        <v>1798</v>
      </c>
      <c r="D203" s="1257" t="s">
        <v>1799</v>
      </c>
      <c r="E203" s="794">
        <v>17.1</v>
      </c>
      <c r="F203" s="919" cm="1" t="str">
        <f t="array" ref="F203:F203">OFFSET(G203,-1,-1)</f>
        <v>2</v>
      </c>
      <c r="G203" s="227"/>
      <c r="H203" s="227"/>
      <c r="I203" s="227"/>
      <c r="J203" s="227"/>
      <c r="K203" s="227"/>
      <c r="L203" s="1286"/>
      <c r="M203" s="1284" cm="1" t="str">
        <f t="array" ref="M203:M203">OFFSET(L203,-1,1)</f>
        <v>ТЭ.42.26824396.0005</v>
      </c>
      <c r="N203" s="1286" t="s">
        <v>1914</v>
      </c>
      <c r="O203" s="1286"/>
      <c r="P203" s="1286"/>
      <c r="Q203" s="1286"/>
      <c r="R203" s="1286"/>
      <c r="S203" s="1286"/>
      <c r="T203" s="805" cm="1" t="str">
        <f t="array" ref="T203:T203">T202</f>
        <v>true</v>
      </c>
      <c r="U203" s="1461"/>
      <c r="V203" s="1461"/>
      <c r="W203" s="1461"/>
      <c r="X203" s="1461"/>
      <c r="Y203" s="1461"/>
      <c r="Z203" s="1461"/>
      <c r="AA203" s="227"/>
      <c r="AB203" s="883">
        <v>6</v>
      </c>
      <c r="AC203" s="1007" t="s">
        <v>1915</v>
      </c>
      <c r="AD203" s="883" t="s">
        <v>1019</v>
      </c>
      <c r="AE203" s="1903"/>
      <c r="AF203" s="1903"/>
      <c r="AG203" s="1903"/>
      <c r="AH203" s="307">
        <f>AG203-AF203</f>
        <v>0</v>
      </c>
      <c r="AI203" s="1903"/>
      <c r="AJ203" s="614"/>
      <c r="AK203" s="614"/>
      <c r="AL203" s="307">
        <f>IF(AI203=0,0,(AK203-AI203)/AI203*100)</f>
        <v>0</v>
      </c>
      <c r="AM203" s="1730"/>
      <c r="AN203" s="1730"/>
      <c r="AO203" s="1730"/>
      <c r="AP203" s="227"/>
      <c r="AQ203" s="227"/>
      <c r="AR203" s="1230" t="s">
        <v>1378</v>
      </c>
      <c r="AS203" s="1268" cm="1" t="str">
        <f t="array" ref="AS203:AS203">D203&amp;"::"&amp;IF(M203&lt;&gt;"",M203,"Неопределено")&amp;"::"&amp;IF(L203&lt;&gt;"",L203,"Неопределено")&amp;"::"&amp;IF(N203&lt;&gt;"",N203,"Неопределено")&amp;"::"&amp;IF(O203&lt;&gt;"",O203,"Неопределено")&amp;"::"&amp;IF(P203&lt;&gt;"",P203,"Неопределено")&amp;"::"&amp;IF(Q203&lt;&gt;"",Q203,"Неопределено")&amp;"::"&amp;IF(R203&lt;&gt;"",R203,"Неопределено")&amp;"::"&amp;IF(S203&lt;&gt;"",S203,"Неопределено")</f>
        <v>M10558::ТЭ.42.26824396.0005::Неопределено::110.0.22.::Неопределено::Неопределено::Неопределено::Неопределено::Неопределено</v>
      </c>
    </row>
    <row s="1619" customFormat="1" customHeight="1" ht="16.5">
      <c r="A204" s="1183"/>
      <c r="B204" s="924"/>
      <c r="C204" s="1298" t="s">
        <v>1693</v>
      </c>
      <c r="D204" s="1257" t="s">
        <v>1694</v>
      </c>
      <c r="E204" s="794">
        <v>17.1</v>
      </c>
      <c r="F204" s="919" cm="1" t="str">
        <f t="array" ref="F204:F204">OFFSET(G204,-1,-1)</f>
        <v>2</v>
      </c>
      <c r="G204" s="227"/>
      <c r="H204" s="227"/>
      <c r="I204" s="227"/>
      <c r="J204" s="227"/>
      <c r="K204" s="227"/>
      <c r="L204" s="1286"/>
      <c r="M204" s="1284" cm="1" t="str">
        <f t="array" ref="M204:M204">OFFSET(L204,-1,1)</f>
        <v>ТЭ.42.26824396.0005</v>
      </c>
      <c r="N204" s="1286"/>
      <c r="O204" s="1286"/>
      <c r="P204" s="1286"/>
      <c r="Q204" s="1286"/>
      <c r="R204" s="1286"/>
      <c r="S204" s="1286"/>
      <c r="T204" s="805" cm="1" t="str">
        <f t="array" ref="T204:T204">T203</f>
        <v>true</v>
      </c>
      <c r="U204" s="1461"/>
      <c r="V204" s="1461"/>
      <c r="W204" s="1461"/>
      <c r="X204" s="1461"/>
      <c r="Y204" s="1461"/>
      <c r="Z204" s="1461"/>
      <c r="AA204" s="227"/>
      <c r="AB204" s="1008" t="s">
        <v>651</v>
      </c>
      <c r="AC204" s="1009" t="s">
        <v>1696</v>
      </c>
      <c r="AD204" s="1010" t="s">
        <v>1019</v>
      </c>
      <c r="AE204" s="612">
        <f>AE162+AE189+AE196+AE201+AE202+AE203</f>
        <v>0</v>
      </c>
      <c r="AF204" s="612">
        <f>AF162+AF189+AF196+AF201+AF202+AF203</f>
        <v>0</v>
      </c>
      <c r="AG204" s="612">
        <f>AG162+AG189+AG196+AG201+AG202+AG203</f>
        <v>0</v>
      </c>
      <c r="AH204" s="307">
        <f>AG204-AF204</f>
        <v>0</v>
      </c>
      <c r="AI204" s="612">
        <f>AI162+AI189+AI196+AI201+AI202+AI203</f>
        <v>0</v>
      </c>
      <c r="AJ204" s="612">
        <f>AJ162+AJ189+AJ196+AJ201+AJ202+AJ203</f>
        <v>6569.9999135</v>
      </c>
      <c r="AK204" s="612">
        <f>AK162+AK189+AK196+AK201+AK202+AK203</f>
        <v>5198.0440014893</v>
      </c>
      <c r="AL204" s="307">
        <f>IF(AI204=0,0,(AK204-AI204)/AI204*100)</f>
        <v>0</v>
      </c>
      <c r="AM204" s="1730"/>
      <c r="AN204" s="1730"/>
      <c r="AO204" s="1730"/>
      <c r="AP204" s="227"/>
      <c r="AQ204" s="227"/>
      <c r="AR204" s="1230" t="s">
        <v>1916</v>
      </c>
      <c r="AS204" s="1268" cm="1" t="str">
        <f t="array" ref="AS204:AS204">D204&amp;"::"&amp;IF(M204&lt;&gt;"",M204,"Неопределено")&amp;"::"&amp;IF(L204&lt;&gt;"",L204,"Неопределено")&amp;"::"&amp;IF(N204&lt;&gt;"",N204,"Неопределено")&amp;"::"&amp;IF(O204&lt;&gt;"",O204,"Неопределено")&amp;"::"&amp;IF(P204&lt;&gt;"",P204,"Неопределено")&amp;"::"&amp;IF(Q204&lt;&gt;"",Q204,"Неопределено")&amp;"::"&amp;IF(R204&lt;&gt;"",R204,"Неопределено")&amp;"::"&amp;IF(S204&lt;&gt;"",S204,"Неопределено")</f>
        <v>M10655::ТЭ.42.26824396.0005::Неопределено::Неопределено::Неопределено::Неопределено::Неопределено::Неопределено::Неопределено</v>
      </c>
    </row>
    <row s="1619" customFormat="1" customHeight="1" ht="48.75">
      <c r="A205" s="1183"/>
      <c r="B205" s="924"/>
      <c r="C205" s="1298" t="s">
        <v>1698</v>
      </c>
      <c r="D205" s="1257" t="s">
        <v>1699</v>
      </c>
      <c r="E205" s="794">
        <v>50</v>
      </c>
      <c r="F205" s="919" cm="1" t="str">
        <f t="array" ref="F205:F205">OFFSET(G205,-1,-1)</f>
        <v>2</v>
      </c>
      <c r="G205" s="227"/>
      <c r="H205" s="227"/>
      <c r="I205" s="227"/>
      <c r="J205" s="227"/>
      <c r="K205" s="227"/>
      <c r="L205" s="1286"/>
      <c r="M205" s="1284" cm="1" t="str">
        <f t="array" ref="M205:M205">OFFSET(L205,-1,1)</f>
        <v>ТЭ.42.26824396.0005</v>
      </c>
      <c r="N205" s="1286"/>
      <c r="O205" s="1286"/>
      <c r="P205" s="1286"/>
      <c r="Q205" s="1286"/>
      <c r="R205" s="1286"/>
      <c r="S205" s="1286"/>
      <c r="T205" s="805" cm="1" t="str">
        <f t="array" ref="T205:T205">T204</f>
        <v>true</v>
      </c>
      <c r="U205" s="1461"/>
      <c r="V205" s="1461"/>
      <c r="W205" s="1461"/>
      <c r="X205" s="1461"/>
      <c r="Y205" s="1461"/>
      <c r="Z205" s="1461"/>
      <c r="AA205" s="227"/>
      <c r="AB205" s="1011" t="s">
        <v>656</v>
      </c>
      <c r="AC205" s="1083" t="s">
        <v>1698</v>
      </c>
      <c r="AD205" s="856" t="s">
        <v>1019</v>
      </c>
      <c r="AE205" s="1903"/>
      <c r="AF205" s="1903"/>
      <c r="AG205" s="1903"/>
      <c r="AH205" s="307">
        <f>AG205-AF205</f>
        <v>0</v>
      </c>
      <c r="AI205" s="1903"/>
      <c r="AJ205" s="614"/>
      <c r="AK205" s="614"/>
      <c r="AL205" s="307">
        <f>IF(AI205=0,0,(AK205-AI205)/AI205*100)</f>
        <v>0</v>
      </c>
      <c r="AM205" s="1730"/>
      <c r="AN205" s="1730"/>
      <c r="AO205" s="1730"/>
      <c r="AP205" s="227"/>
      <c r="AQ205" s="227"/>
      <c r="AR205" s="1230" t="s">
        <v>1917</v>
      </c>
      <c r="AS205" s="1268" cm="1" t="str">
        <f t="array" ref="AS205:AS205">D205&amp;"::"&amp;IF(M205&lt;&gt;"",M205,"Неопределено")&amp;"::"&amp;IF(L205&lt;&gt;"",L205,"Неопределено")&amp;"::"&amp;IF(N205&lt;&gt;"",N205,"Неопределено")&amp;"::"&amp;IF(O205&lt;&gt;"",O205,"Неопределено")&amp;"::"&amp;IF(P205&lt;&gt;"",P205,"Неопределено")&amp;"::"&amp;IF(Q205&lt;&gt;"",Q205,"Неопределено")&amp;"::"&amp;IF(R205&lt;&gt;"",R205,"Неопределено")&amp;"::"&amp;IF(S205&lt;&gt;"",S205,"Неопределено")</f>
        <v>M11579::ТЭ.42.26824396.0005::Неопределено::Неопределено::Неопределено::Неопределено::Неопределено::Неопределено::Неопределено</v>
      </c>
    </row>
    <row s="1619" customFormat="1" customHeight="1" ht="16.5">
      <c r="A206" s="1183"/>
      <c r="B206" s="924"/>
      <c r="C206" s="1298" t="s">
        <v>1702</v>
      </c>
      <c r="D206" s="1257" t="s">
        <v>1703</v>
      </c>
      <c r="E206" s="794">
        <v>17.1</v>
      </c>
      <c r="F206" s="919" cm="1" t="str">
        <f t="array" ref="F206:F206">OFFSET(G206,-1,-1)</f>
        <v>2</v>
      </c>
      <c r="G206" s="227"/>
      <c r="H206" s="227"/>
      <c r="I206" s="227"/>
      <c r="J206" s="227"/>
      <c r="K206" s="227"/>
      <c r="L206" s="1286"/>
      <c r="M206" s="1284" cm="1" t="str">
        <f t="array" ref="M206:M206">OFFSET(L206,-1,1)</f>
        <v>ТЭ.42.26824396.0005</v>
      </c>
      <c r="N206" s="1286"/>
      <c r="O206" s="1286"/>
      <c r="P206" s="1286"/>
      <c r="Q206" s="1286"/>
      <c r="R206" s="1286"/>
      <c r="S206" s="1286"/>
      <c r="T206" s="805" cm="1" t="str">
        <f t="array" ref="T206:T206">T205</f>
        <v>true</v>
      </c>
      <c r="U206" s="1461"/>
      <c r="V206" s="1461"/>
      <c r="W206" s="1461"/>
      <c r="X206" s="1461"/>
      <c r="Y206" s="1461"/>
      <c r="Z206" s="1461"/>
      <c r="AA206" s="227"/>
      <c r="AB206" s="646" t="s">
        <v>664</v>
      </c>
      <c r="AC206" s="1070" t="s">
        <v>1706</v>
      </c>
      <c r="AD206" s="1012" t="s">
        <v>1019</v>
      </c>
      <c r="AE206" s="612">
        <f>AE204+AE205</f>
        <v>0</v>
      </c>
      <c r="AF206" s="612">
        <f>AF204+AF205</f>
        <v>0</v>
      </c>
      <c r="AG206" s="612">
        <f>AG204+AG205</f>
        <v>0</v>
      </c>
      <c r="AH206" s="307">
        <f>AG206-AF206</f>
        <v>0</v>
      </c>
      <c r="AI206" s="612">
        <f>AI204+AI205</f>
        <v>0</v>
      </c>
      <c r="AJ206" s="612">
        <f>AJ204+AJ205</f>
        <v>6569.9999135</v>
      </c>
      <c r="AK206" s="612">
        <f>AK204+AK205</f>
        <v>5198.0440014893</v>
      </c>
      <c r="AL206" s="307">
        <f>IF(AI206=0,0,(AK206-AI206)/AI206*100)</f>
        <v>0</v>
      </c>
      <c r="AM206" s="1730"/>
      <c r="AN206" s="1730"/>
      <c r="AO206" s="1730"/>
      <c r="AP206" s="227"/>
      <c r="AQ206" s="227"/>
      <c r="AR206" s="1230" t="s">
        <v>1918</v>
      </c>
      <c r="AS206" s="1268" cm="1" t="str">
        <f t="array" ref="AS206:AS206">D206&amp;"::"&amp;IF(M206&lt;&gt;"",M206,"Неопределено")&amp;"::"&amp;IF(L206&lt;&gt;"",L206,"Неопределено")&amp;"::"&amp;IF(N206&lt;&gt;"",N206,"Неопределено")&amp;"::"&amp;IF(O206&lt;&gt;"",O206,"Неопределено")&amp;"::"&amp;IF(P206&lt;&gt;"",P206,"Неопределено")&amp;"::"&amp;IF(Q206&lt;&gt;"",Q206,"Неопределено")&amp;"::"&amp;IF(R206&lt;&gt;"",R206,"Неопределено")&amp;"::"&amp;IF(S206&lt;&gt;"",S206,"Неопределено")</f>
        <v>M11580::ТЭ.42.26824396.0005::Неопределено::Неопределено::Неопределено::Неопределено::Неопределено::Неопределено::Неопределено</v>
      </c>
    </row>
    <row s="1619" customFormat="1" customHeight="1" ht="16.5" hidden="1">
      <c r="A207" s="1183"/>
      <c r="B207" s="924"/>
      <c r="C207" s="1298" t="s">
        <v>1708</v>
      </c>
      <c r="D207" s="1257" t="s">
        <v>1709</v>
      </c>
      <c r="E207" s="794">
        <v>17.1</v>
      </c>
      <c r="F207" s="919" cm="1" t="str">
        <f t="array" ref="F207:F207">OFFSET(G207,-1,-1)</f>
        <v>2</v>
      </c>
      <c r="G207" s="227"/>
      <c r="H207" s="190" cm="1" t="str">
        <f t="array" ref="H207:H207">G161</f>
        <v>одноставочный</v>
      </c>
      <c r="I207" s="227"/>
      <c r="J207" s="227"/>
      <c r="K207" s="227"/>
      <c r="L207" s="1286"/>
      <c r="M207" s="1284" cm="1" t="str">
        <f t="array" ref="M207:M207">OFFSET(L207,-1,1)</f>
        <v>ТЭ.42.26824396.0005</v>
      </c>
      <c r="N207" s="1286"/>
      <c r="O207" s="1286"/>
      <c r="P207" s="1286"/>
      <c r="Q207" s="1286"/>
      <c r="R207" s="1286"/>
      <c r="S207" s="1286"/>
      <c r="T207" s="805">
        <f>AND(F207&gt;0,H207="двухставочный")</f>
        <v>0</v>
      </c>
      <c r="U207" s="1461"/>
      <c r="V207" s="1461"/>
      <c r="W207" s="1461"/>
      <c r="X207" s="1461"/>
      <c r="Y207" s="1461"/>
      <c r="Z207" s="1461"/>
      <c r="AA207" s="227"/>
      <c r="AB207" s="660" t="str">
        <f>AB206&amp;".1"</f>
        <v>9.1</v>
      </c>
      <c r="AC207" s="616" t="s">
        <v>1711</v>
      </c>
      <c r="AD207" s="309" t="s">
        <v>805</v>
      </c>
      <c r="AE207" s="121"/>
      <c r="AF207" s="121"/>
      <c r="AG207" s="121"/>
      <c r="AH207" s="307">
        <f>AG207-AF207</f>
        <v>0</v>
      </c>
      <c r="AI207" s="121"/>
      <c r="AJ207" s="614"/>
      <c r="AK207" s="614"/>
      <c r="AL207" s="307">
        <f>IF(AI207=0,0,(AK207-AI207)/AI207*100)</f>
        <v>0</v>
      </c>
      <c r="AM207" s="73"/>
      <c r="AN207" s="73"/>
      <c r="AO207" s="73"/>
      <c r="AP207" s="227"/>
      <c r="AQ207" s="227"/>
      <c r="AR207" s="1230" t="s">
        <v>1919</v>
      </c>
      <c r="AS207" s="1268" cm="1" t="str">
        <f t="array" ref="AS207:AS207">D207&amp;"::"&amp;IF(M207&lt;&gt;"",M207,"Неопределено")&amp;"::"&amp;IF(L207&lt;&gt;"",L207,"Неопределено")&amp;"::"&amp;IF(N207&lt;&gt;"",N207,"Неопределено")&amp;"::"&amp;IF(O207&lt;&gt;"",O207,"Неопределено")&amp;"::"&amp;IF(P207&lt;&gt;"",P207,"Неопределено")&amp;"::"&amp;IF(Q207&lt;&gt;"",Q207,"Неопределено")&amp;"::"&amp;IF(R207&lt;&gt;"",R207,"Неопределено")&amp;"::"&amp;IF(S207&lt;&gt;"",S207,"Неопределено")</f>
        <v>M11581::ТЭ.42.26824396.0005::Неопределено::Неопределено::Неопределено::Неопределено::Неопределено::Неопределено::Неопределено</v>
      </c>
    </row>
    <row s="1619" customFormat="1" customHeight="1" ht="16.5" hidden="1">
      <c r="A208" s="1183"/>
      <c r="B208" s="924"/>
      <c r="C208" s="1298" t="s">
        <v>1713</v>
      </c>
      <c r="D208" s="1257" t="s">
        <v>1714</v>
      </c>
      <c r="E208" s="794">
        <v>17.1</v>
      </c>
      <c r="F208" s="919" cm="1" t="str">
        <f t="array" ref="F208:F208">OFFSET(G208,-1,-1)</f>
        <v>2</v>
      </c>
      <c r="G208" s="227"/>
      <c r="H208" s="190" cm="1" t="str">
        <f t="array" ref="H208:H208">G161</f>
        <v>одноставочный</v>
      </c>
      <c r="I208" s="227"/>
      <c r="J208" s="227"/>
      <c r="K208" s="227"/>
      <c r="L208" s="1286"/>
      <c r="M208" s="1284" cm="1" t="str">
        <f t="array" ref="M208:M208">OFFSET(L208,-1,1)</f>
        <v>ТЭ.42.26824396.0005</v>
      </c>
      <c r="N208" s="1286"/>
      <c r="O208" s="1286"/>
      <c r="P208" s="1286"/>
      <c r="Q208" s="1286"/>
      <c r="R208" s="1286"/>
      <c r="S208" s="1286"/>
      <c r="T208" s="805">
        <f>AND(F208&gt;0,H208="двухставочный")</f>
        <v>0</v>
      </c>
      <c r="U208" s="1461"/>
      <c r="V208" s="1461"/>
      <c r="W208" s="1461"/>
      <c r="X208" s="1461"/>
      <c r="Y208" s="1461"/>
      <c r="Z208" s="1461"/>
      <c r="AA208" s="227"/>
      <c r="AB208" s="660" t="str">
        <f>AB206&amp;".2"</f>
        <v>9.2</v>
      </c>
      <c r="AC208" s="616" t="s">
        <v>1713</v>
      </c>
      <c r="AD208" s="309" t="s">
        <v>805</v>
      </c>
      <c r="AE208" s="612">
        <f>AE206-AE207</f>
        <v>0</v>
      </c>
      <c r="AF208" s="612">
        <f>AF206-AF207</f>
        <v>0</v>
      </c>
      <c r="AG208" s="612">
        <f>AG206-AG207</f>
        <v>0</v>
      </c>
      <c r="AH208" s="307">
        <f>AG208-AF208</f>
        <v>0</v>
      </c>
      <c r="AI208" s="612">
        <f>AI206-AI207</f>
        <v>0</v>
      </c>
      <c r="AJ208" s="612">
        <f>AJ206-AJ207</f>
        <v>6569.9999135</v>
      </c>
      <c r="AK208" s="612">
        <f>AK206-AK207</f>
        <v>5198.0440014893</v>
      </c>
      <c r="AL208" s="307">
        <f>IF(AI208=0,0,(AK208-AI208)/AI208*100)</f>
        <v>0</v>
      </c>
      <c r="AM208" s="73"/>
      <c r="AN208" s="73"/>
      <c r="AO208" s="73"/>
      <c r="AP208" s="227"/>
      <c r="AQ208" s="227"/>
      <c r="AR208" s="1230" t="s">
        <v>1920</v>
      </c>
      <c r="AS208" s="1268" cm="1" t="str">
        <f t="array" ref="AS208:AS208">D208&amp;"::"&amp;IF(M208&lt;&gt;"",M208,"Неопределено")&amp;"::"&amp;IF(L208&lt;&gt;"",L208,"Неопределено")&amp;"::"&amp;IF(N208&lt;&gt;"",N208,"Неопределено")&amp;"::"&amp;IF(O208&lt;&gt;"",O208,"Неопределено")&amp;"::"&amp;IF(P208&lt;&gt;"",P208,"Неопределено")&amp;"::"&amp;IF(Q208&lt;&gt;"",Q208,"Неопределено")&amp;"::"&amp;IF(R208&lt;&gt;"",R208,"Неопределено")&amp;"::"&amp;IF(S208&lt;&gt;"",S208,"Неопределено")</f>
        <v>M11582::ТЭ.42.26824396.0005::Неопределено::Неопределено::Неопределено::Неопределено::Неопределено::Неопределено::Неопределено</v>
      </c>
    </row>
    <row s="1619" customFormat="1" customHeight="1" ht="16.5">
      <c r="A209" s="1183"/>
      <c r="B209" s="924"/>
      <c r="C209" s="1298" t="s">
        <v>1716</v>
      </c>
      <c r="D209" s="1257" t="s">
        <v>1717</v>
      </c>
      <c r="E209" s="794">
        <v>17.1</v>
      </c>
      <c r="F209" s="919" cm="1" t="str">
        <f t="array" ref="F209:F209">OFFSET(G209,-1,-1)</f>
        <v>2</v>
      </c>
      <c r="G209" s="227"/>
      <c r="H209" s="227"/>
      <c r="I209" s="227"/>
      <c r="J209" s="227"/>
      <c r="K209" s="227"/>
      <c r="L209" s="1286"/>
      <c r="M209" s="1284" cm="1" t="str">
        <f t="array" ref="M209:M209">OFFSET(L209,-1,1)</f>
        <v>ТЭ.42.26824396.0005</v>
      </c>
      <c r="N209" s="1286"/>
      <c r="O209" s="1286"/>
      <c r="P209" s="1286"/>
      <c r="Q209" s="1286"/>
      <c r="R209" s="1286"/>
      <c r="S209" s="1286"/>
      <c r="T209" s="805" cm="1" t="str">
        <f t="array" ref="T209:T209">T206</f>
        <v>true</v>
      </c>
      <c r="U209" s="1461"/>
      <c r="V209" s="1461"/>
      <c r="W209" s="1461"/>
      <c r="X209" s="1461"/>
      <c r="Y209" s="1461"/>
      <c r="Z209" s="1461"/>
      <c r="AA209" s="227"/>
      <c r="AB209" s="314" t="s">
        <v>688</v>
      </c>
      <c r="AC209" s="310" t="s">
        <v>1719</v>
      </c>
      <c r="AD209" s="315" t="s">
        <v>591</v>
      </c>
      <c r="AE209" s="307">
        <f>IF($K161="передача тепловой энергии",_xlfn.SUMIFS('Баланс Тр'!AE$27:AE$50,'Баланс Тр'!$F$27:$F$50,$F209,'Баланс Тр'!$AB$27:$AB$50,"3"),_xlfn.SUMIFS('Баланс Пр'!AE$27:AE$233,'Баланс Пр'!$F$27:$F$233,$F209,'Баланс Пр'!$AB$27:$AB$233,"9.1"))</f>
        <v>0</v>
      </c>
      <c r="AF209" s="613"/>
      <c r="AG209" s="613"/>
      <c r="AH209" s="374"/>
      <c r="AI209" s="307">
        <f>IF($K161="передача тепловой энергии",_xlfn.SUMIFS('Баланс Тр'!AH$27:AH$50,'Баланс Тр'!$F$27:$F$50,$F209,'Баланс Тр'!$AB$27:$AB$50,"3"),_xlfn.SUMIFS('Баланс Пр'!AH$27:AH$233,'Баланс Пр'!$F$27:$F$233,$F209,'Баланс Пр'!$AB$27:$AB$233,"9.1"))</f>
        <v>0</v>
      </c>
      <c r="AJ209" s="307">
        <f>IF($K161="передача тепловой энергии",_xlfn.SUMIFS('Баланс Тр'!AI$27:AI$50,'Баланс Тр'!$F$27:$F$50,$F209,'Баланс Тр'!$AB$27:$AB$50,"3"),_xlfn.SUMIFS('Баланс Пр'!AI$27:AI$233,'Баланс Пр'!$F$27:$F$233,$F209,'Баланс Пр'!$AB$27:$AB$233,"9.1"))</f>
        <v>1370</v>
      </c>
      <c r="AK209" s="307">
        <f>IF($K161="передача тепловой энергии",_xlfn.SUMIFS('Баланс Тр'!AS$27:AS$50,'Баланс Тр'!$F$27:$F$50,$F209,'Баланс Тр'!$AB$27:$AB$50,"3"),_xlfn.SUMIFS('Баланс Пр'!AS$27:AS$233,'Баланс Пр'!$F$27:$F$233,$F209,'Баланс Пр'!$AB$27:$AB$233,"9.1"))</f>
        <v>1370</v>
      </c>
      <c r="AL209" s="307">
        <f>IF(AI209=0,0,(AK209-AI209)/AI209*100)</f>
        <v>0</v>
      </c>
      <c r="AM209" s="1730"/>
      <c r="AN209" s="1730"/>
      <c r="AO209" s="1730"/>
      <c r="AP209" s="227"/>
      <c r="AQ209" s="227"/>
      <c r="AR209" s="1230" t="s">
        <v>1720</v>
      </c>
      <c r="AS209" s="1268" cm="1" t="str">
        <f t="array" ref="AS209:AS209">D209&amp;"::"&amp;IF(M209&lt;&gt;"",M209,"Неопределено")&amp;"::"&amp;IF(L209&lt;&gt;"",L209,"Неопределено")&amp;"::"&amp;IF(N209&lt;&gt;"",N209,"Неопределено")&amp;"::"&amp;IF(O209&lt;&gt;"",O209,"Неопределено")&amp;"::"&amp;IF(P209&lt;&gt;"",P209,"Неопределено")&amp;"::"&amp;IF(Q209&lt;&gt;"",Q209,"Неопределено")&amp;"::"&amp;IF(R209&lt;&gt;"",R209,"Неопределено")&amp;"::"&amp;IF(S209&lt;&gt;"",S209,"Неопределено")</f>
        <v>M10502::ТЭ.42.26824396.0005::Неопределено::Неопределено::Неопределено::Неопределено::Неопределено::Неопределено::Неопределено</v>
      </c>
    </row>
    <row s="1952" customFormat="1" customHeight="1" ht="16.5">
      <c r="A210" s="232"/>
      <c r="B210" s="232"/>
      <c r="C210" s="1298" t="s">
        <v>1721</v>
      </c>
      <c r="D210" s="1257" t="s">
        <v>1722</v>
      </c>
      <c r="E210" s="794">
        <v>17.1</v>
      </c>
      <c r="F210" s="919" cm="1" t="str">
        <f t="array" ref="F210:F210">OFFSET(G210,-1,-1)</f>
        <v>2</v>
      </c>
      <c r="G210" s="190" t="s">
        <v>1723</v>
      </c>
      <c r="H210" s="232"/>
      <c r="I210" s="232"/>
      <c r="J210" s="232"/>
      <c r="K210" s="232"/>
      <c r="L210" s="1294"/>
      <c r="M210" s="1284" cm="1" t="str">
        <f t="array" ref="M210:M210">OFFSET(L210,-1,1)</f>
        <v>ТЭ.42.26824396.0005</v>
      </c>
      <c r="N210" s="1294"/>
      <c r="O210" s="1294"/>
      <c r="P210" s="1294"/>
      <c r="Q210" s="1286"/>
      <c r="R210" s="1286"/>
      <c r="S210" s="1286" t="s">
        <v>1724</v>
      </c>
      <c r="T210" s="805" cm="1" t="str">
        <f t="array" ref="T210:T210">T209</f>
        <v>true</v>
      </c>
      <c r="U210" s="232"/>
      <c r="V210" s="232"/>
      <c r="W210" s="232"/>
      <c r="X210" s="232"/>
      <c r="Y210" s="232"/>
      <c r="Z210" s="232"/>
      <c r="AA210" s="232"/>
      <c r="AB210" s="660" t="str">
        <f>AB209&amp;".1"</f>
        <v>10.1</v>
      </c>
      <c r="AC210" s="286" t="s">
        <v>1725</v>
      </c>
      <c r="AD210" s="309" t="s">
        <v>591</v>
      </c>
      <c r="AE210" s="1903"/>
      <c r="AF210" s="613"/>
      <c r="AG210" s="613"/>
      <c r="AH210" s="374"/>
      <c r="AI210" s="1903"/>
      <c r="AJ210" s="614"/>
      <c r="AK210" s="614"/>
      <c r="AL210" s="307">
        <f>IF(AI210=0,0,(AK210-AI210)/AI210*100)</f>
        <v>0</v>
      </c>
      <c r="AM210" s="1730"/>
      <c r="AN210" s="1730"/>
      <c r="AO210" s="1730"/>
      <c r="AP210" s="232"/>
      <c r="AQ210" s="232"/>
      <c r="AR210" s="1230" t="s">
        <v>1726</v>
      </c>
      <c r="AS210" s="1268" cm="1" t="str">
        <f t="array" ref="AS210:AS210">D210&amp;"::"&amp;IF(M210&lt;&gt;"",M210,"Неопределено")&amp;"::"&amp;IF(L210&lt;&gt;"",L210,"Неопределено")&amp;"::"&amp;IF(N210&lt;&gt;"",N210,"Неопределено")&amp;"::"&amp;IF(O210&lt;&gt;"",O210,"Неопределено")&amp;"::"&amp;IF(P210&lt;&gt;"",P210,"Неопределено")&amp;"::"&amp;IF(Q210&lt;&gt;"",Q210,"Неопределено")&amp;"::"&amp;IF(R210&lt;&gt;"",R210,"Неопределено")&amp;"::"&amp;IF(S210&lt;&gt;"",S210,"Неопределено")</f>
        <v>M10670::ТЭ.42.26824396.0005::Неопределено::Неопределено::Неопределено::Неопределено::Неопределено::Неопределено::8.0.3.</v>
      </c>
    </row>
    <row s="1953" customFormat="1" customHeight="1" ht="16.5">
      <c r="A211" s="232"/>
      <c r="B211" s="232"/>
      <c r="C211" s="1298" t="s">
        <v>1727</v>
      </c>
      <c r="D211" s="1257" t="s">
        <v>1728</v>
      </c>
      <c r="E211" s="794">
        <v>17.1</v>
      </c>
      <c r="F211" s="919" cm="1" t="str">
        <f t="array" ref="F211:F211">OFFSET(G211,-1,-1)</f>
        <v>2</v>
      </c>
      <c r="G211" s="736" t="s">
        <v>1729</v>
      </c>
      <c r="H211" s="232"/>
      <c r="I211" s="232"/>
      <c r="J211" s="232"/>
      <c r="K211" s="232"/>
      <c r="L211" s="1294"/>
      <c r="M211" s="1284" cm="1" t="str">
        <f t="array" ref="M211:M211">OFFSET(L211,-1,1)</f>
        <v>ТЭ.42.26824396.0005</v>
      </c>
      <c r="N211" s="1294"/>
      <c r="O211" s="1294"/>
      <c r="P211" s="1294"/>
      <c r="Q211" s="1286"/>
      <c r="R211" s="1286"/>
      <c r="S211" s="1286" t="s">
        <v>1724</v>
      </c>
      <c r="T211" s="805" cm="1" t="str">
        <f t="array" ref="T211:T211">T210</f>
        <v>true</v>
      </c>
      <c r="U211" s="232"/>
      <c r="V211" s="232"/>
      <c r="W211" s="232"/>
      <c r="X211" s="232"/>
      <c r="Y211" s="232"/>
      <c r="Z211" s="232"/>
      <c r="AA211" s="232"/>
      <c r="AB211" s="660" t="str">
        <f>AB209&amp;".2"</f>
        <v>10.2</v>
      </c>
      <c r="AC211" s="286" t="s">
        <v>1730</v>
      </c>
      <c r="AD211" s="309" t="s">
        <v>895</v>
      </c>
      <c r="AE211" s="1903"/>
      <c r="AF211" s="613"/>
      <c r="AG211" s="613"/>
      <c r="AH211" s="374"/>
      <c r="AI211" s="1903"/>
      <c r="AJ211" s="614"/>
      <c r="AK211" s="614"/>
      <c r="AL211" s="307">
        <f>IF(AI211=0,0,(AK211-AI211)/AI211*100)</f>
        <v>0</v>
      </c>
      <c r="AM211" s="1730"/>
      <c r="AN211" s="1730"/>
      <c r="AO211" s="1730"/>
      <c r="AP211" s="232"/>
      <c r="AQ211" s="232"/>
      <c r="AR211" s="1230" t="s">
        <v>1731</v>
      </c>
      <c r="AS211" s="1268" cm="1" t="str">
        <f t="array" ref="AS211:AS211">D211&amp;"::"&amp;IF(M211&lt;&gt;"",M211,"Неопределено")&amp;"::"&amp;IF(L211&lt;&gt;"",L211,"Неопределено")&amp;"::"&amp;IF(N211&lt;&gt;"",N211,"Неопределено")&amp;"::"&amp;IF(O211&lt;&gt;"",O211,"Неопределено")&amp;"::"&amp;IF(P211&lt;&gt;"",P211,"Неопределено")&amp;"::"&amp;IF(Q211&lt;&gt;"",Q211,"Неопределено")&amp;"::"&amp;IF(R211&lt;&gt;"",R211,"Неопределено")&amp;"::"&amp;IF(S211&lt;&gt;"",S211,"Неопределено")</f>
        <v>M10546::ТЭ.42.26824396.0005::Неопределено::Неопределено::Неопределено::Неопределено::Неопределено::Неопределено::8.0.3.</v>
      </c>
    </row>
    <row s="1619" customFormat="1" customHeight="1" ht="16.5">
      <c r="A212" s="1183"/>
      <c r="B212" s="924"/>
      <c r="C212" s="1298" t="s">
        <v>1721</v>
      </c>
      <c r="D212" s="1257" t="s">
        <v>1722</v>
      </c>
      <c r="E212" s="794">
        <v>17.1</v>
      </c>
      <c r="F212" s="919" cm="1" t="str">
        <f t="array" ref="F212:F212">OFFSET(G212,-1,-1)</f>
        <v>2</v>
      </c>
      <c r="G212" s="190" t="s">
        <v>1732</v>
      </c>
      <c r="H212" s="227"/>
      <c r="I212" s="227"/>
      <c r="J212" s="227"/>
      <c r="K212" s="227"/>
      <c r="L212" s="1286"/>
      <c r="M212" s="1284" cm="1" t="str">
        <f t="array" ref="M212:M212">OFFSET(L212,-1,1)</f>
        <v>ТЭ.42.26824396.0005</v>
      </c>
      <c r="N212" s="1286"/>
      <c r="O212" s="1286"/>
      <c r="P212" s="1286"/>
      <c r="Q212" s="1286"/>
      <c r="R212" s="1286"/>
      <c r="S212" s="1286" t="s">
        <v>1733</v>
      </c>
      <c r="T212" s="805" cm="1" t="str">
        <f t="array" ref="T212:T212">T211</f>
        <v>true</v>
      </c>
      <c r="U212" s="1461"/>
      <c r="V212" s="1461"/>
      <c r="W212" s="1461"/>
      <c r="X212" s="1461"/>
      <c r="Y212" s="1461"/>
      <c r="Z212" s="1461"/>
      <c r="AA212" s="227"/>
      <c r="AB212" s="660" t="str">
        <f>AB209&amp;".3"</f>
        <v>10.3</v>
      </c>
      <c r="AC212" s="286" t="s">
        <v>1734</v>
      </c>
      <c r="AD212" s="309" t="s">
        <v>591</v>
      </c>
      <c r="AE212" s="1018">
        <f>AE209-AE210</f>
        <v>0</v>
      </c>
      <c r="AF212" s="613"/>
      <c r="AG212" s="613"/>
      <c r="AH212" s="374"/>
      <c r="AI212" s="1018">
        <f>AI209-AI210</f>
        <v>0</v>
      </c>
      <c r="AJ212" s="1018">
        <f>AJ209-AJ210</f>
        <v>1370</v>
      </c>
      <c r="AK212" s="1018">
        <f>AK209-AK210</f>
        <v>1370</v>
      </c>
      <c r="AL212" s="307">
        <f>IF(AI212=0,0,(AK212-AI212)/AI212*100)</f>
        <v>0</v>
      </c>
      <c r="AM212" s="1741"/>
      <c r="AN212" s="1741"/>
      <c r="AO212" s="1741"/>
      <c r="AP212" s="227"/>
      <c r="AQ212" s="227"/>
      <c r="AR212" s="1230" t="s">
        <v>1735</v>
      </c>
      <c r="AS212" s="1268" cm="1" t="str">
        <f t="array" ref="AS212:AS212">D212&amp;"::"&amp;IF(M212&lt;&gt;"",M212,"Неопределено")&amp;"::"&amp;IF(L212&lt;&gt;"",L212,"Неопределено")&amp;"::"&amp;IF(N212&lt;&gt;"",N212,"Неопределено")&amp;"::"&amp;IF(O212&lt;&gt;"",O212,"Неопределено")&amp;"::"&amp;IF(P212&lt;&gt;"",P212,"Неопределено")&amp;"::"&amp;IF(Q212&lt;&gt;"",Q212,"Неопределено")&amp;"::"&amp;IF(R212&lt;&gt;"",R212,"Неопределено")&amp;"::"&amp;IF(S212&lt;&gt;"",S212,"Неопределено")</f>
        <v>M10670::ТЭ.42.26824396.0005::Неопределено::Неопределено::Неопределено::Неопределено::Неопределено::Неопределено::8.0.5.</v>
      </c>
    </row>
    <row s="1619" customFormat="1" customHeight="1" ht="16.5">
      <c r="A213" s="1183"/>
      <c r="B213" s="924"/>
      <c r="C213" s="1298" t="s">
        <v>1727</v>
      </c>
      <c r="D213" s="1257" t="s">
        <v>1728</v>
      </c>
      <c r="E213" s="794">
        <v>17.1</v>
      </c>
      <c r="F213" s="919" cm="1" t="str">
        <f t="array" ref="F213:F213">OFFSET(G213,-1,-1)</f>
        <v>2</v>
      </c>
      <c r="G213" s="736" t="s">
        <v>1736</v>
      </c>
      <c r="H213" s="227"/>
      <c r="I213" s="227"/>
      <c r="J213" s="227"/>
      <c r="K213" s="227"/>
      <c r="L213" s="1286"/>
      <c r="M213" s="1284" cm="1" t="str">
        <f t="array" ref="M213:M213">OFFSET(L213,-1,1)</f>
        <v>ТЭ.42.26824396.0005</v>
      </c>
      <c r="N213" s="1286"/>
      <c r="O213" s="1286"/>
      <c r="P213" s="1286"/>
      <c r="Q213" s="1286"/>
      <c r="R213" s="1286"/>
      <c r="S213" s="1286" t="s">
        <v>1733</v>
      </c>
      <c r="T213" s="805" cm="1" t="str">
        <f t="array" ref="T213:T213">T212</f>
        <v>true</v>
      </c>
      <c r="U213" s="1461"/>
      <c r="V213" s="1461"/>
      <c r="W213" s="1461"/>
      <c r="X213" s="1461"/>
      <c r="Y213" s="1461"/>
      <c r="Z213" s="1461"/>
      <c r="AA213" s="227"/>
      <c r="AB213" s="660" t="str">
        <f>AB209&amp;".4"</f>
        <v>10.4</v>
      </c>
      <c r="AC213" s="286" t="s">
        <v>1737</v>
      </c>
      <c r="AD213" s="309" t="s">
        <v>895</v>
      </c>
      <c r="AE213" s="1903">
        <f>_xlfn.IFERROR((AE206*1000-AE210*AE211)/AE212,0)</f>
        <v>0</v>
      </c>
      <c r="AF213" s="613"/>
      <c r="AG213" s="613"/>
      <c r="AH213" s="374"/>
      <c r="AI213" s="1903">
        <f>_xlfn.IFERROR((AI206*1000-AI210*AI211)/AI212,0)</f>
        <v>0</v>
      </c>
      <c r="AJ213" s="614">
        <f>_xlfn.IFERROR((AJ206*1000-AJ210*AJ211)/AJ212,0)</f>
        <v>4795.62037481752</v>
      </c>
      <c r="AK213" s="614">
        <f>_xlfn.IFERROR((AK206*1000-AK210*AK211)/AK212,0)</f>
        <v>3794.19270181701</v>
      </c>
      <c r="AL213" s="307">
        <f>IF(AI213=0,0,(AK213-AI213)/AI213*100)</f>
        <v>0</v>
      </c>
      <c r="AM213" s="1742"/>
      <c r="AN213" s="1742"/>
      <c r="AO213" s="1742"/>
      <c r="AP213" s="227"/>
      <c r="AQ213" s="227"/>
      <c r="AR213" s="1230" t="s">
        <v>1738</v>
      </c>
      <c r="AS213" s="1268" cm="1" t="str">
        <f t="array" ref="AS213:AS213">D213&amp;"::"&amp;IF(M213&lt;&gt;"",M213,"Неопределено")&amp;"::"&amp;IF(L213&lt;&gt;"",L213,"Неопределено")&amp;"::"&amp;IF(N213&lt;&gt;"",N213,"Неопределено")&amp;"::"&amp;IF(O213&lt;&gt;"",O213,"Неопределено")&amp;"::"&amp;IF(P213&lt;&gt;"",P213,"Неопределено")&amp;"::"&amp;IF(Q213&lt;&gt;"",Q213,"Неопределено")&amp;"::"&amp;IF(R213&lt;&gt;"",R213,"Неопределено")&amp;"::"&amp;IF(S213&lt;&gt;"",S213,"Неопределено")</f>
        <v>M10546::ТЭ.42.26824396.0005::Неопределено::Неопределено::Неопределено::Неопределено::Неопределено::Неопределено::8.0.5.</v>
      </c>
    </row>
    <row s="1954" customFormat="1" customHeight="1" ht="16.5">
      <c r="A214" s="643"/>
      <c r="B214" s="643"/>
      <c r="C214" s="1298" t="s">
        <v>1739</v>
      </c>
      <c r="D214" s="1257" t="s">
        <v>1740</v>
      </c>
      <c r="E214" s="794">
        <v>17.1</v>
      </c>
      <c r="F214" s="919" cm="1" t="str">
        <f t="array" ref="F214:F214">OFFSET(G214,-1,-1)</f>
        <v>2</v>
      </c>
      <c r="G214" s="643"/>
      <c r="H214" s="643"/>
      <c r="I214" s="643"/>
      <c r="J214" s="643"/>
      <c r="K214" s="643"/>
      <c r="L214" s="1286"/>
      <c r="M214" s="1284" cm="1" t="str">
        <f t="array" ref="M214:M214">OFFSET(L214,-1,1)</f>
        <v>ТЭ.42.26824396.0005</v>
      </c>
      <c r="N214" s="1286"/>
      <c r="O214" s="1286"/>
      <c r="P214" s="1286"/>
      <c r="Q214" s="1286"/>
      <c r="R214" s="1286"/>
      <c r="S214" s="1286"/>
      <c r="T214" s="805" cm="1" t="str">
        <f t="array" ref="T214:T214">T213</f>
        <v>true</v>
      </c>
      <c r="U214" s="643"/>
      <c r="V214" s="643"/>
      <c r="W214" s="643"/>
      <c r="X214" s="643"/>
      <c r="Y214" s="643"/>
      <c r="Z214" s="643"/>
      <c r="AA214" s="643"/>
      <c r="AB214" s="660" t="str">
        <f>AB209&amp;".5"</f>
        <v>10.5</v>
      </c>
      <c r="AC214" s="312" t="s">
        <v>1741</v>
      </c>
      <c r="AD214" s="309" t="s">
        <v>490</v>
      </c>
      <c r="AE214" s="662">
        <f>_xlfn.IFERROR(AE213/AE211,0)</f>
        <v>0</v>
      </c>
      <c r="AF214" s="613"/>
      <c r="AG214" s="613"/>
      <c r="AH214" s="374"/>
      <c r="AI214" s="662">
        <f>_xlfn.IFERROR(AI213/AI211,0)</f>
        <v>0</v>
      </c>
      <c r="AJ214" s="662">
        <f>_xlfn.IFERROR(AJ213/AJ211,0)</f>
        <v>0</v>
      </c>
      <c r="AK214" s="662">
        <f>_xlfn.IFERROR(AK213/AK211,0)</f>
        <v>0</v>
      </c>
      <c r="AL214" s="307">
        <f>IF(AI214=0,0,(AK214-AI214)/AI214*100)</f>
        <v>0</v>
      </c>
      <c r="AM214" s="839"/>
      <c r="AN214" s="839"/>
      <c r="AO214" s="839"/>
      <c r="AP214" s="643"/>
      <c r="AQ214" s="643"/>
      <c r="AR214" s="1230" t="s">
        <v>1742</v>
      </c>
      <c r="AS214" s="1268" cm="1" t="str">
        <f t="array" ref="AS214:AS214">D214&amp;"::"&amp;IF(M214&lt;&gt;"",M214,"Неопределено")&amp;"::"&amp;IF(L214&lt;&gt;"",L214,"Неопределено")&amp;"::"&amp;IF(N214&lt;&gt;"",N214,"Неопределено")&amp;"::"&amp;IF(O214&lt;&gt;"",O214,"Неопределено")&amp;"::"&amp;IF(P214&lt;&gt;"",P214,"Неопределено")&amp;"::"&amp;IF(Q214&lt;&gt;"",Q214,"Неопределено")&amp;"::"&amp;IF(R214&lt;&gt;"",R214,"Неопределено")&amp;"::"&amp;IF(S214&lt;&gt;"",S214,"Неопределено")</f>
        <v>M11244::ТЭ.42.26824396.0005::Неопределено::Неопределено::Неопределено::Неопределено::Неопределено::Неопределено::Неопределено</v>
      </c>
    </row>
    <row s="1619" customFormat="1" customHeight="1" ht="16.5">
      <c r="A215" s="1183"/>
      <c r="B215" s="924"/>
      <c r="C215" s="1298" t="s">
        <v>1743</v>
      </c>
      <c r="D215" s="1257" t="s">
        <v>1744</v>
      </c>
      <c r="E215" s="794">
        <v>17.1</v>
      </c>
      <c r="F215" s="919" cm="1" t="str">
        <f t="array" ref="F215:F215">OFFSET(G215,-1,-1)</f>
        <v>2</v>
      </c>
      <c r="G215" s="227"/>
      <c r="H215" s="227"/>
      <c r="I215" s="227"/>
      <c r="J215" s="227"/>
      <c r="K215" s="227"/>
      <c r="L215" s="1286"/>
      <c r="M215" s="1284" cm="1" t="str">
        <f t="array" ref="M215:M215">OFFSET(L215,-1,1)</f>
        <v>ТЭ.42.26824396.0005</v>
      </c>
      <c r="N215" s="1286"/>
      <c r="O215" s="1286"/>
      <c r="P215" s="1286"/>
      <c r="Q215" s="1286"/>
      <c r="R215" s="1286"/>
      <c r="S215" s="1286"/>
      <c r="T215" s="805" cm="1" t="str">
        <f t="array" ref="T215:T215">T214</f>
        <v>true</v>
      </c>
      <c r="U215" s="1461"/>
      <c r="V215" s="1461"/>
      <c r="W215" s="1461"/>
      <c r="X215" s="1461"/>
      <c r="Y215" s="1461"/>
      <c r="Z215" s="1461"/>
      <c r="AA215" s="227"/>
      <c r="AB215" s="660" t="str">
        <f>AB209&amp;".6"</f>
        <v>10.6</v>
      </c>
      <c r="AC215" s="312" t="s">
        <v>1745</v>
      </c>
      <c r="AD215" s="309" t="s">
        <v>895</v>
      </c>
      <c r="AE215" s="1018">
        <f>_xlfn.IFERROR(AE206/AE209*1000,0)</f>
        <v>0</v>
      </c>
      <c r="AF215" s="613"/>
      <c r="AG215" s="613"/>
      <c r="AH215" s="374"/>
      <c r="AI215" s="1018">
        <f>_xlfn.IFERROR(AI206/AI209*1000,0)</f>
        <v>0</v>
      </c>
      <c r="AJ215" s="1018">
        <f>_xlfn.IFERROR(AJ206/AJ209*1000,0)</f>
        <v>4795.62037481752</v>
      </c>
      <c r="AK215" s="1018">
        <f>_xlfn.IFERROR(AK206/AK209*1000,0)</f>
        <v>3794.19270181701</v>
      </c>
      <c r="AL215" s="307">
        <f>IF(AI215=0,0,(AK215-AI215)/AI215*100)</f>
        <v>0</v>
      </c>
      <c r="AM215" s="1742"/>
      <c r="AN215" s="1742"/>
      <c r="AO215" s="1742"/>
      <c r="AP215" s="227"/>
      <c r="AQ215" s="227"/>
      <c r="AR215" s="1230" t="s">
        <v>1746</v>
      </c>
      <c r="AS215" s="1268" cm="1" t="str">
        <f t="array" ref="AS215:AS215">D215&amp;"::"&amp;IF(M215&lt;&gt;"",M215,"Неопределено")&amp;"::"&amp;IF(L215&lt;&gt;"",L215,"Неопределено")&amp;"::"&amp;IF(N215&lt;&gt;"",N215,"Неопределено")&amp;"::"&amp;IF(O215&lt;&gt;"",O215,"Неопределено")&amp;"::"&amp;IF(P215&lt;&gt;"",P215,"Неопределено")&amp;"::"&amp;IF(Q215&lt;&gt;"",Q215,"Неопределено")&amp;"::"&amp;IF(R215&lt;&gt;"",R215,"Неопределено")&amp;"::"&amp;IF(S215&lt;&gt;"",S215,"Неопределено")</f>
        <v>M10552::ТЭ.42.26824396.0005::Неопределено::Неопределено::Неопределено::Неопределено::Неопределено::Неопределено::Неопределено</v>
      </c>
    </row>
    <row s="1955" customFormat="1" customHeight="1" ht="16.5" hidden="1">
      <c r="A216" s="643"/>
      <c r="B216" s="643"/>
      <c r="C216" s="1298" t="s">
        <v>1747</v>
      </c>
      <c r="D216" s="1257" t="s">
        <v>1748</v>
      </c>
      <c r="E216" s="794">
        <v>17.1</v>
      </c>
      <c r="F216" s="919" cm="1" t="str">
        <f t="array" ref="F216:F216">OFFSET(G216,-1,-1)</f>
        <v>2</v>
      </c>
      <c r="G216" s="643"/>
      <c r="H216" s="190" cm="1" t="str">
        <f t="array" ref="H216:H216">G161</f>
        <v>одноставочный</v>
      </c>
      <c r="I216" s="643"/>
      <c r="J216" s="643"/>
      <c r="K216" s="643"/>
      <c r="L216" s="1286"/>
      <c r="M216" s="1284" cm="1" t="str">
        <f t="array" ref="M216:M216">OFFSET(L216,-1,1)</f>
        <v>ТЭ.42.26824396.0005</v>
      </c>
      <c r="N216" s="1286"/>
      <c r="O216" s="1286"/>
      <c r="P216" s="1286"/>
      <c r="Q216" s="1286"/>
      <c r="R216" s="1286"/>
      <c r="S216" s="1286"/>
      <c r="T216" s="805">
        <f>AND(F216&gt;0,H216="двухставочный")</f>
        <v>0</v>
      </c>
      <c r="U216" s="643"/>
      <c r="V216" s="643"/>
      <c r="W216" s="643"/>
      <c r="X216" s="643"/>
      <c r="Y216" s="643"/>
      <c r="Z216" s="643"/>
      <c r="AA216" s="643"/>
      <c r="AB216" s="314" t="s">
        <v>696</v>
      </c>
      <c r="AC216" s="886" t="s">
        <v>1750</v>
      </c>
      <c r="AD216" s="664" t="s">
        <v>690</v>
      </c>
      <c r="AE216" s="98">
        <f>_xlfn.SUMIFS('Баланс Пр'!AE$27:AE$233,'Баланс Пр'!$F$27:$F$233,$F216,'Баланс Пр'!$AB$27:$AB$233,"10")</f>
        <v>0</v>
      </c>
      <c r="AF216" s="613"/>
      <c r="AG216" s="613"/>
      <c r="AH216" s="374"/>
      <c r="AI216" s="98">
        <f>_xlfn.SUMIFS('Баланс Пр'!AH$27:AH$233,'Баланс Пр'!$F$27:$F$233,$F216,'Баланс Пр'!$AB$27:$AB$233,"10")</f>
        <v>0</v>
      </c>
      <c r="AJ216" s="308">
        <f>_xlfn.SUMIFS('Баланс Пр'!AI$27:AI$233,'Баланс Пр'!$F$27:$F$233,$F216,'Баланс Пр'!$AB$27:$AB$233,"10")</f>
        <v>0</v>
      </c>
      <c r="AK216" s="308">
        <f>_xlfn.SUMIFS('Баланс Пр'!AS$27:AS$233,'Баланс Пр'!$F$27:$F$233,$F216,'Баланс Пр'!$AB$27:$AB$233,"10")</f>
        <v>0</v>
      </c>
      <c r="AL216" s="307">
        <f>IF(AI216=0,0,(AK216-AI216)/AI216*100)</f>
        <v>0</v>
      </c>
      <c r="AM216" s="1103"/>
      <c r="AN216" s="1103"/>
      <c r="AO216" s="1098"/>
      <c r="AP216" s="643"/>
      <c r="AQ216" s="643"/>
      <c r="AR216" s="1230" t="s">
        <v>691</v>
      </c>
      <c r="AS216" s="1268" cm="1" t="str">
        <f t="array" ref="AS216:AS216">D216&amp;"::"&amp;IF(M216&lt;&gt;"",M216,"Неопределено")&amp;"::"&amp;IF(L216&lt;&gt;"",L216,"Неопределено")&amp;"::"&amp;IF(N216&lt;&gt;"",N216,"Неопределено")&amp;"::"&amp;IF(O216&lt;&gt;"",O216,"Неопределено")&amp;"::"&amp;IF(P216&lt;&gt;"",P216,"Неопределено")&amp;"::"&amp;IF(Q216&lt;&gt;"",Q216,"Неопределено")&amp;"::"&amp;IF(R216&lt;&gt;"",R216,"Неопределено")&amp;"::"&amp;IF(S216&lt;&gt;"",S216,"Неопределено")</f>
        <v>M10476::ТЭ.42.26824396.0005::Неопределено::Неопределено::Неопределено::Неопределено::Неопределено::Неопределено::Неопределено</v>
      </c>
    </row>
    <row s="1619" customFormat="1" customHeight="1" ht="16.5" hidden="1">
      <c r="A217" s="1183"/>
      <c r="B217" s="924"/>
      <c r="C217" s="1298" t="s">
        <v>1747</v>
      </c>
      <c r="D217" s="1257" t="s">
        <v>1748</v>
      </c>
      <c r="E217" s="794">
        <v>17.1</v>
      </c>
      <c r="F217" s="919" cm="1" t="str">
        <f t="array" ref="F217:F217">OFFSET(G217,-1,-1)</f>
        <v>2</v>
      </c>
      <c r="G217" s="227"/>
      <c r="H217" s="190" cm="1" t="str">
        <f t="array" ref="H217:H217">G161</f>
        <v>одноставочный</v>
      </c>
      <c r="I217" s="227"/>
      <c r="J217" s="227"/>
      <c r="K217" s="227"/>
      <c r="L217" s="1286"/>
      <c r="M217" s="1284" cm="1" t="str">
        <f t="array" ref="M217:M217">OFFSET(L217,-1,1)</f>
        <v>ТЭ.42.26824396.0005</v>
      </c>
      <c r="N217" s="1286"/>
      <c r="O217" s="1286"/>
      <c r="P217" s="1286"/>
      <c r="Q217" s="1286"/>
      <c r="R217" s="1286"/>
      <c r="S217" s="1286" t="s">
        <v>1724</v>
      </c>
      <c r="T217" s="805">
        <f>AND(F217&gt;0,H217="двухставочный")</f>
        <v>0</v>
      </c>
      <c r="U217" s="1461"/>
      <c r="V217" s="1461"/>
      <c r="W217" s="1461"/>
      <c r="X217" s="1461"/>
      <c r="Y217" s="1461"/>
      <c r="Z217" s="1461"/>
      <c r="AA217" s="227"/>
      <c r="AB217" s="660" t="str">
        <f>AB216&amp;".1"</f>
        <v>11.1</v>
      </c>
      <c r="AC217" s="720" t="s">
        <v>1752</v>
      </c>
      <c r="AD217" s="620" t="s">
        <v>690</v>
      </c>
      <c r="AE217" s="129" cm="1" t="str">
        <f t="array" ref="AE217:AE217">AE216</f>
        <v>0</v>
      </c>
      <c r="AF217" s="613"/>
      <c r="AG217" s="613"/>
      <c r="AH217" s="374"/>
      <c r="AI217" s="129" cm="1" t="str">
        <f t="array" ref="AI217:AI217">AI216</f>
        <v>0</v>
      </c>
      <c r="AJ217" s="638" cm="1" t="str">
        <f t="array" ref="AJ217:AJ217">AJ216</f>
        <v>0</v>
      </c>
      <c r="AK217" s="638" cm="1" t="str">
        <f t="array" ref="AK217:AK217">AK216</f>
        <v>0</v>
      </c>
      <c r="AL217" s="307">
        <f>IF(AI217=0,0,(AK217-AI217)/AI217*100)</f>
        <v>0</v>
      </c>
      <c r="AM217" s="80"/>
      <c r="AN217" s="80"/>
      <c r="AO217" s="80"/>
      <c r="AP217" s="227"/>
      <c r="AQ217" s="227"/>
      <c r="AR217" s="1230" t="s">
        <v>1753</v>
      </c>
      <c r="AS217" s="1268" cm="1" t="str">
        <f t="array" ref="AS217:AS217">D217&amp;"::"&amp;IF(M217&lt;&gt;"",M217,"Неопределено")&amp;"::"&amp;IF(L217&lt;&gt;"",L217,"Неопределено")&amp;"::"&amp;IF(N217&lt;&gt;"",N217,"Неопределено")&amp;"::"&amp;IF(O217&lt;&gt;"",O217,"Неопределено")&amp;"::"&amp;IF(P217&lt;&gt;"",P217,"Неопределено")&amp;"::"&amp;IF(Q217&lt;&gt;"",Q217,"Неопределено")&amp;"::"&amp;IF(R217&lt;&gt;"",R217,"Неопределено")&amp;"::"&amp;IF(S217&lt;&gt;"",S217,"Неопределено")</f>
        <v>M10476::ТЭ.42.26824396.0005::Неопределено::Неопределено::Неопределено::Неопределено::Неопределено::Неопределено::8.0.3.</v>
      </c>
    </row>
    <row s="1619" customFormat="1" customHeight="1" ht="16.5" hidden="1">
      <c r="A218" s="1183"/>
      <c r="B218" s="924"/>
      <c r="C218" s="1298" t="s">
        <v>1747</v>
      </c>
      <c r="D218" s="1257" t="s">
        <v>1748</v>
      </c>
      <c r="E218" s="794">
        <v>17.1</v>
      </c>
      <c r="F218" s="919" cm="1" t="str">
        <f t="array" ref="F218:F218">OFFSET(G218,-1,-1)</f>
        <v>2</v>
      </c>
      <c r="G218" s="227"/>
      <c r="H218" s="190" cm="1" t="str">
        <f t="array" ref="H218:H218">G161</f>
        <v>одноставочный</v>
      </c>
      <c r="I218" s="227"/>
      <c r="J218" s="227"/>
      <c r="K218" s="227"/>
      <c r="L218" s="1286"/>
      <c r="M218" s="1284" cm="1" t="str">
        <f t="array" ref="M218:M218">OFFSET(L218,-1,1)</f>
        <v>ТЭ.42.26824396.0005</v>
      </c>
      <c r="N218" s="1286"/>
      <c r="O218" s="1286"/>
      <c r="P218" s="1286"/>
      <c r="Q218" s="1286"/>
      <c r="R218" s="1286"/>
      <c r="S218" s="1286" t="s">
        <v>1733</v>
      </c>
      <c r="T218" s="805">
        <f>AND(F218&gt;0,H218="двухставочный")</f>
        <v>0</v>
      </c>
      <c r="U218" s="1461"/>
      <c r="V218" s="1461"/>
      <c r="W218" s="1461"/>
      <c r="X218" s="1461"/>
      <c r="Y218" s="1461"/>
      <c r="Z218" s="1461"/>
      <c r="AA218" s="227"/>
      <c r="AB218" s="660" t="str">
        <f>AB216&amp;".2"</f>
        <v>11.2</v>
      </c>
      <c r="AC218" s="720" t="s">
        <v>1755</v>
      </c>
      <c r="AD218" s="620" t="s">
        <v>690</v>
      </c>
      <c r="AE218" s="129" cm="1" t="str">
        <f t="array" ref="AE218:AE218">AE216</f>
        <v>0</v>
      </c>
      <c r="AF218" s="613"/>
      <c r="AG218" s="613"/>
      <c r="AH218" s="374"/>
      <c r="AI218" s="129" cm="1" t="str">
        <f t="array" ref="AI218:AI218">AI216</f>
        <v>0</v>
      </c>
      <c r="AJ218" s="638" cm="1" t="str">
        <f t="array" ref="AJ218:AJ218">AJ216</f>
        <v>0</v>
      </c>
      <c r="AK218" s="638" cm="1" t="str">
        <f t="array" ref="AK218:AK218">AK216</f>
        <v>0</v>
      </c>
      <c r="AL218" s="307">
        <f>IF(AI218=0,0,(AK218-AI218)/AI218*100)</f>
        <v>0</v>
      </c>
      <c r="AM218" s="80"/>
      <c r="AN218" s="80"/>
      <c r="AO218" s="80"/>
      <c r="AP218" s="227"/>
      <c r="AQ218" s="227"/>
      <c r="AR218" s="1230" t="s">
        <v>1756</v>
      </c>
      <c r="AS218" s="1268" cm="1" t="str">
        <f t="array" ref="AS218:AS218">D218&amp;"::"&amp;IF(M218&lt;&gt;"",M218,"Неопределено")&amp;"::"&amp;IF(L218&lt;&gt;"",L218,"Неопределено")&amp;"::"&amp;IF(N218&lt;&gt;"",N218,"Неопределено")&amp;"::"&amp;IF(O218&lt;&gt;"",O218,"Неопределено")&amp;"::"&amp;IF(P218&lt;&gt;"",P218,"Неопределено")&amp;"::"&amp;IF(Q218&lt;&gt;"",Q218,"Неопределено")&amp;"::"&amp;IF(R218&lt;&gt;"",R218,"Неопределено")&amp;"::"&amp;IF(S218&lt;&gt;"",S218,"Неопределено")</f>
        <v>M10476::ТЭ.42.26824396.0005::Неопределено::Неопределено::Неопределено::Неопределено::Неопределено::Неопределено::8.0.5.</v>
      </c>
    </row>
    <row s="1619" customFormat="1" customHeight="1" ht="16.5" hidden="1">
      <c r="A219" s="1183"/>
      <c r="B219" s="924"/>
      <c r="C219" s="1298"/>
      <c r="D219" s="1257"/>
      <c r="E219" s="794">
        <v>17.1</v>
      </c>
      <c r="F219" s="919" cm="1" t="str">
        <f t="array" ref="F219:F219">OFFSET(G219,-1,-1)</f>
        <v>2</v>
      </c>
      <c r="G219" s="227"/>
      <c r="H219" s="190" cm="1" t="str">
        <f t="array" ref="H219:H219">G161</f>
        <v>одноставочный</v>
      </c>
      <c r="I219" s="227"/>
      <c r="J219" s="227"/>
      <c r="K219" s="227"/>
      <c r="L219" s="1286"/>
      <c r="M219" s="1284" cm="1" t="str">
        <f t="array" ref="M219:M219">OFFSET(L219,-1,1)</f>
        <v>ТЭ.42.26824396.0005</v>
      </c>
      <c r="N219" s="1286"/>
      <c r="O219" s="1286"/>
      <c r="P219" s="1286"/>
      <c r="Q219" s="1286"/>
      <c r="R219" s="1286"/>
      <c r="S219" s="1286"/>
      <c r="T219" s="805">
        <f>AND(F219&gt;0,H219="двухставочный")</f>
        <v>0</v>
      </c>
      <c r="U219" s="1461"/>
      <c r="V219" s="1461"/>
      <c r="W219" s="1461"/>
      <c r="X219" s="1461"/>
      <c r="Y219" s="1461"/>
      <c r="Z219" s="1461"/>
      <c r="AA219" s="227"/>
      <c r="AB219" s="659" t="s">
        <v>1695</v>
      </c>
      <c r="AC219" s="160" t="s">
        <v>1758</v>
      </c>
      <c r="AD219" s="710"/>
      <c r="AE219" s="735"/>
      <c r="AF219" s="613"/>
      <c r="AG219" s="613"/>
      <c r="AH219" s="374"/>
      <c r="AI219" s="735"/>
      <c r="AJ219" s="735"/>
      <c r="AK219" s="735"/>
      <c r="AL219" s="374"/>
      <c r="AM219" s="73"/>
      <c r="AN219" s="73"/>
      <c r="AO219" s="73"/>
      <c r="AP219" s="227"/>
      <c r="AQ219" s="227"/>
      <c r="AR219" s="1230" t="s">
        <v>1759</v>
      </c>
      <c r="AS219" s="1336" cm="1" t="str">
        <f t="array" ref="AS219:AS219">"M11407"&amp;"::"&amp;IF(M219&lt;&gt;"",M219,"Неопределено")&amp;"::"&amp;IF(L219&lt;&gt;"",L219,"Неопределено")&amp;"::"&amp;IF(N219&lt;&gt;"",N219,"Неопределено")&amp;"::"&amp;IF(O219&lt;&gt;"",O219,"Неопределено")&amp;"::"&amp;IF(P219&lt;&gt;"",P219,"Неопределено")&amp;"::"&amp;IF(Q219&lt;&gt;"",Q219,"Неопределено")&amp;"::"&amp;IF(R219&lt;&gt;"",R219,"Неопределено")&amp;"::"&amp;IF(S219&lt;&gt;"",S219,"Неопределено")</f>
        <v>M11407::ТЭ.42.26824396.0005::Неопределено::Неопределено::Неопределено::Неопределено::Неопределено::Неопределено::Неопределено</v>
      </c>
    </row>
    <row s="1619" customFormat="1" customHeight="1" ht="16.5" hidden="1">
      <c r="A220" s="1183"/>
      <c r="B220" s="924"/>
      <c r="C220" s="1298" t="s">
        <v>1760</v>
      </c>
      <c r="D220" s="1257" t="s">
        <v>1761</v>
      </c>
      <c r="E220" s="794">
        <v>17.1</v>
      </c>
      <c r="F220" s="919" cm="1" t="str">
        <f t="array" ref="F220:F220">OFFSET(G220,-1,-1)</f>
        <v>2</v>
      </c>
      <c r="G220" s="736" t="s">
        <v>1762</v>
      </c>
      <c r="H220" s="190" cm="1" t="str">
        <f t="array" ref="H220:H220">G161</f>
        <v>одноставочный</v>
      </c>
      <c r="I220" s="227"/>
      <c r="J220" s="227"/>
      <c r="K220" s="227"/>
      <c r="L220" s="1286"/>
      <c r="M220" s="1284" cm="1" t="str">
        <f t="array" ref="M220:M220">OFFSET(L220,-1,1)</f>
        <v>ТЭ.42.26824396.0005</v>
      </c>
      <c r="N220" s="1286"/>
      <c r="O220" s="1286"/>
      <c r="P220" s="1286"/>
      <c r="Q220" s="1286"/>
      <c r="R220" s="1286"/>
      <c r="S220" s="1286" t="s">
        <v>1724</v>
      </c>
      <c r="T220" s="805">
        <f>AND(F220&gt;0,H220="двухставочный")</f>
        <v>0</v>
      </c>
      <c r="U220" s="1461"/>
      <c r="V220" s="1461"/>
      <c r="W220" s="1461"/>
      <c r="X220" s="1461"/>
      <c r="Y220" s="1461"/>
      <c r="Z220" s="1461"/>
      <c r="AA220" s="227"/>
      <c r="AB220" s="660" t="str">
        <f>AB219&amp;".1"</f>
        <v>12.1</v>
      </c>
      <c r="AC220" s="1346" t="s">
        <v>1763</v>
      </c>
      <c r="AD220" s="517" t="s">
        <v>895</v>
      </c>
      <c r="AE220" s="129"/>
      <c r="AF220" s="613"/>
      <c r="AG220" s="613"/>
      <c r="AH220" s="374"/>
      <c r="AI220" s="129"/>
      <c r="AJ220" s="638"/>
      <c r="AK220" s="638"/>
      <c r="AL220" s="307">
        <f>IF(AI220=0,0,(AK220-AI220)/AI220*100)</f>
        <v>0</v>
      </c>
      <c r="AM220" s="73"/>
      <c r="AN220" s="73"/>
      <c r="AO220" s="73"/>
      <c r="AP220" s="227"/>
      <c r="AQ220" s="227"/>
      <c r="AR220" s="1230" t="s">
        <v>1764</v>
      </c>
      <c r="AS220" s="1268" cm="1" t="str">
        <f t="array" ref="AS220:AS220">D220&amp;"::"&amp;IF(M220&lt;&gt;"",M220,"Неопределено")&amp;"::"&amp;IF(L220&lt;&gt;"",L220,"Неопределено")&amp;"::"&amp;IF(N220&lt;&gt;"",N220,"Неопределено")&amp;"::"&amp;IF(O220&lt;&gt;"",O220,"Неопределено")&amp;"::"&amp;IF(P220&lt;&gt;"",P220,"Неопределено")&amp;"::"&amp;IF(Q220&lt;&gt;"",Q220,"Неопределено")&amp;"::"&amp;IF(R220&lt;&gt;"",R220,"Неопределено")&amp;"::"&amp;IF(S220&lt;&gt;"",S220,"Неопределено")</f>
        <v>M11407::ТЭ.42.26824396.0005::Неопределено::Неопределено::Неопределено::Неопределено::Неопределено::Неопределено::8.0.3.</v>
      </c>
    </row>
    <row s="1619" customFormat="1" customHeight="1" ht="16.5" hidden="1">
      <c r="A221" s="1183"/>
      <c r="B221" s="924"/>
      <c r="C221" s="1298" t="s">
        <v>1760</v>
      </c>
      <c r="D221" s="1257" t="s">
        <v>1761</v>
      </c>
      <c r="E221" s="794">
        <v>17.1</v>
      </c>
      <c r="F221" s="919" cm="1" t="str">
        <f t="array" ref="F221:F221">OFFSET(G221,-1,-1)</f>
        <v>2</v>
      </c>
      <c r="G221" s="736" t="s">
        <v>1765</v>
      </c>
      <c r="H221" s="190" cm="1" t="str">
        <f t="array" ref="H221:H221">G161</f>
        <v>одноставочный</v>
      </c>
      <c r="I221" s="227"/>
      <c r="J221" s="227"/>
      <c r="K221" s="227"/>
      <c r="L221" s="1286"/>
      <c r="M221" s="1284" cm="1" t="str">
        <f t="array" ref="M221:M221">OFFSET(L221,-1,1)</f>
        <v>ТЭ.42.26824396.0005</v>
      </c>
      <c r="N221" s="1286"/>
      <c r="O221" s="1286"/>
      <c r="P221" s="1286"/>
      <c r="Q221" s="1286"/>
      <c r="R221" s="1286"/>
      <c r="S221" s="1286" t="s">
        <v>1733</v>
      </c>
      <c r="T221" s="805">
        <f>AND(F221&gt;0,H221="двухставочный")</f>
        <v>0</v>
      </c>
      <c r="U221" s="1461"/>
      <c r="V221" s="1461"/>
      <c r="W221" s="1461"/>
      <c r="X221" s="1461"/>
      <c r="Y221" s="1461"/>
      <c r="Z221" s="1461"/>
      <c r="AA221" s="227"/>
      <c r="AB221" s="660" t="str">
        <f>AB219&amp;".2"</f>
        <v>12.2</v>
      </c>
      <c r="AC221" s="1346" t="s">
        <v>1766</v>
      </c>
      <c r="AD221" s="517" t="s">
        <v>895</v>
      </c>
      <c r="AE221" s="612">
        <f>_xlfn.IFERROR((AE207*1000-AE210*AE220)/AE212,0)</f>
        <v>0</v>
      </c>
      <c r="AF221" s="613"/>
      <c r="AG221" s="613"/>
      <c r="AH221" s="374"/>
      <c r="AI221" s="612">
        <f>_xlfn.IFERROR((AI207*1000-AI210*AI220)/AI212,0)</f>
        <v>0</v>
      </c>
      <c r="AJ221" s="612">
        <f>_xlfn.IFERROR((AJ207*1000-AJ210*AJ220)/AJ212,0)</f>
        <v>0</v>
      </c>
      <c r="AK221" s="612">
        <f>_xlfn.IFERROR((AK207*1000-AK210*AK220)/AK212,0)</f>
        <v>0</v>
      </c>
      <c r="AL221" s="307">
        <f>IF(AI221=0,0,(AK221-AI221)/AI221*100)</f>
        <v>0</v>
      </c>
      <c r="AM221" s="73"/>
      <c r="AN221" s="73"/>
      <c r="AO221" s="73"/>
      <c r="AP221" s="227"/>
      <c r="AQ221" s="227"/>
      <c r="AR221" s="1230" t="s">
        <v>1767</v>
      </c>
      <c r="AS221" s="1268" cm="1" t="str">
        <f t="array" ref="AS221:AS221">D221&amp;"::"&amp;IF(M221&lt;&gt;"",M221,"Неопределено")&amp;"::"&amp;IF(L221&lt;&gt;"",L221,"Неопределено")&amp;"::"&amp;IF(N221&lt;&gt;"",N221,"Неопределено")&amp;"::"&amp;IF(O221&lt;&gt;"",O221,"Неопределено")&amp;"::"&amp;IF(P221&lt;&gt;"",P221,"Неопределено")&amp;"::"&amp;IF(Q221&lt;&gt;"",Q221,"Неопределено")&amp;"::"&amp;IF(R221&lt;&gt;"",R221,"Неопределено")&amp;"::"&amp;IF(S221&lt;&gt;"",S221,"Неопределено")</f>
        <v>M11407::ТЭ.42.26824396.0005::Неопределено::Неопределено::Неопределено::Неопределено::Неопределено::Неопределено::8.0.5.</v>
      </c>
    </row>
    <row s="1619" customFormat="1" customHeight="1" ht="16.5" hidden="1">
      <c r="A222" s="1183"/>
      <c r="B222" s="924"/>
      <c r="C222" s="1298" t="s">
        <v>1768</v>
      </c>
      <c r="D222" s="1257" t="s">
        <v>1769</v>
      </c>
      <c r="E222" s="794">
        <v>17.1</v>
      </c>
      <c r="F222" s="919" cm="1" t="str">
        <f t="array" ref="F222:F222">OFFSET(G222,-1,-1)</f>
        <v>2</v>
      </c>
      <c r="G222" s="227"/>
      <c r="H222" s="190" cm="1" t="str">
        <f t="array" ref="H222:H222">G161</f>
        <v>одноставочный</v>
      </c>
      <c r="I222" s="227"/>
      <c r="J222" s="227"/>
      <c r="K222" s="227"/>
      <c r="L222" s="1286" t="s">
        <v>1921</v>
      </c>
      <c r="M222" s="1284" cm="1" t="str">
        <f t="array" ref="M222:M222">OFFSET(L222,-1,1)</f>
        <v>ТЭ.42.26824396.0005</v>
      </c>
      <c r="N222" s="1286"/>
      <c r="O222" s="1286"/>
      <c r="P222" s="1286"/>
      <c r="Q222" s="1286"/>
      <c r="R222" s="1286"/>
      <c r="S222" s="1286"/>
      <c r="T222" s="805">
        <f>AND(F222&gt;0,H222="двухставочный")</f>
        <v>0</v>
      </c>
      <c r="U222" s="1461"/>
      <c r="V222" s="1461"/>
      <c r="W222" s="1461"/>
      <c r="X222" s="1461"/>
      <c r="Y222" s="1461"/>
      <c r="Z222" s="1461"/>
      <c r="AA222" s="227"/>
      <c r="AB222" s="660" t="str">
        <f>AB219&amp;".3"</f>
        <v>12.3</v>
      </c>
      <c r="AC222" s="312" t="s">
        <v>1771</v>
      </c>
      <c r="AD222" s="517" t="s">
        <v>490</v>
      </c>
      <c r="AE222" s="662">
        <f>_xlfn.IFERROR(AE221/AE220,0)</f>
        <v>0</v>
      </c>
      <c r="AF222" s="613"/>
      <c r="AG222" s="613"/>
      <c r="AH222" s="613"/>
      <c r="AI222" s="662">
        <f>_xlfn.IFERROR(AI221/AI220,0)</f>
        <v>0</v>
      </c>
      <c r="AJ222" s="662">
        <f>_xlfn.IFERROR(AJ221/AJ220,0)</f>
        <v>0</v>
      </c>
      <c r="AK222" s="662">
        <f>_xlfn.IFERROR(AK221/AK220,0)</f>
        <v>0</v>
      </c>
      <c r="AL222" s="374"/>
      <c r="AM222" s="73"/>
      <c r="AN222" s="73"/>
      <c r="AO222" s="73"/>
      <c r="AP222" s="227"/>
      <c r="AQ222" s="227"/>
      <c r="AR222" s="1230" t="s">
        <v>1772</v>
      </c>
      <c r="AS222" s="1268" cm="1" t="str">
        <f t="array" ref="AS222:AS222">D222&amp;"::"&amp;IF(M222&lt;&gt;"",M222,"Неопределено")&amp;"::"&amp;IF(L222&lt;&gt;"",L222,"Неопределено")&amp;"::"&amp;IF(N222&lt;&gt;"",N222,"Неопределено")&amp;"::"&amp;IF(O222&lt;&gt;"",O222,"Неопределено")&amp;"::"&amp;IF(P222&lt;&gt;"",P222,"Неопределено")&amp;"::"&amp;IF(Q222&lt;&gt;"",Q222,"Неопределено")&amp;"::"&amp;IF(R222&lt;&gt;"",R222,"Неопределено")&amp;"::"&amp;IF(S222&lt;&gt;"",S222,"Неопределено")</f>
        <v>M10444::ТЭ.42.26824396.0005::1.0.84.::Неопределено::Неопределено::Неопределено::Неопределено::Неопределено::Неопределено</v>
      </c>
    </row>
    <row s="1619" customFormat="1" customHeight="1" ht="33.75" hidden="1">
      <c r="A223" s="1183"/>
      <c r="B223" s="924"/>
      <c r="C223" s="1298"/>
      <c r="D223" s="1257"/>
      <c r="E223" s="794">
        <v>35</v>
      </c>
      <c r="F223" s="919" cm="1" t="str">
        <f t="array" ref="F223:F223">OFFSET(G223,-1,-1)</f>
        <v>2</v>
      </c>
      <c r="G223" s="227"/>
      <c r="H223" s="190" cm="1" t="str">
        <f t="array" ref="H223:H223">G161</f>
        <v>одноставочный</v>
      </c>
      <c r="I223" s="227"/>
      <c r="J223" s="227"/>
      <c r="K223" s="227"/>
      <c r="L223" s="1286"/>
      <c r="M223" s="1284" cm="1" t="str">
        <f t="array" ref="M223:M223">OFFSET(L223,-1,1)</f>
        <v>ТЭ.42.26824396.0005</v>
      </c>
      <c r="N223" s="1286"/>
      <c r="O223" s="1286"/>
      <c r="P223" s="1286"/>
      <c r="Q223" s="1286"/>
      <c r="R223" s="1286"/>
      <c r="S223" s="1286"/>
      <c r="T223" s="805">
        <f>AND(F223&gt;0,H223="двухставочный")</f>
        <v>0</v>
      </c>
      <c r="U223" s="1461"/>
      <c r="V223" s="1461"/>
      <c r="W223" s="1461"/>
      <c r="X223" s="1461"/>
      <c r="Y223" s="1461"/>
      <c r="Z223" s="1461"/>
      <c r="AA223" s="227"/>
      <c r="AB223" s="283" t="s">
        <v>1700</v>
      </c>
      <c r="AC223" s="160" t="s">
        <v>1773</v>
      </c>
      <c r="AD223" s="619"/>
      <c r="AE223" s="735"/>
      <c r="AF223" s="613"/>
      <c r="AG223" s="613"/>
      <c r="AH223" s="613"/>
      <c r="AI223" s="735"/>
      <c r="AJ223" s="735"/>
      <c r="AK223" s="735"/>
      <c r="AL223" s="374"/>
      <c r="AM223" s="73"/>
      <c r="AN223" s="73"/>
      <c r="AO223" s="73"/>
      <c r="AP223" s="227"/>
      <c r="AQ223" s="227"/>
      <c r="AR223" s="1230" t="s">
        <v>1774</v>
      </c>
      <c r="AS223" s="1336" cm="1" t="str">
        <f t="array" ref="AS223:AS223">"M11397"&amp;"::"&amp;IF(M223&lt;&gt;"",M223,"Неопределено")&amp;"::"&amp;IF(L223&lt;&gt;"",L223,"Неопределено")&amp;"::"&amp;IF(N223&lt;&gt;"",N223,"Неопределено")&amp;"::"&amp;IF(O223&lt;&gt;"",O223,"Неопределено")&amp;"::"&amp;IF(P223&lt;&gt;"",P223,"Неопределено")&amp;"::"&amp;IF(Q223&lt;&gt;"",Q223,"Неопределено")&amp;"::"&amp;IF(R223&lt;&gt;"",R223,"Неопределено")&amp;"::"&amp;IF(S223&lt;&gt;"",S223,"Неопределено")</f>
        <v>M11397::ТЭ.42.26824396.0005::Неопределено::Неопределено::Неопределено::Неопределено::Неопределено::Неопределено::Неопределено</v>
      </c>
    </row>
    <row s="1619" customFormat="1" customHeight="1" ht="16.5" hidden="1">
      <c r="A224" s="1183"/>
      <c r="B224" s="924"/>
      <c r="C224" s="1298" t="s">
        <v>1775</v>
      </c>
      <c r="D224" s="1257" t="s">
        <v>1776</v>
      </c>
      <c r="E224" s="794">
        <v>17.1</v>
      </c>
      <c r="F224" s="919" cm="1" t="str">
        <f t="array" ref="F224:F224">OFFSET(G224,-1,-1)</f>
        <v>2</v>
      </c>
      <c r="G224" s="736" t="s">
        <v>1777</v>
      </c>
      <c r="H224" s="190" cm="1" t="str">
        <f t="array" ref="H224:H224">G161</f>
        <v>одноставочный</v>
      </c>
      <c r="I224" s="227"/>
      <c r="J224" s="227"/>
      <c r="K224" s="227"/>
      <c r="L224" s="1286"/>
      <c r="M224" s="1284" cm="1" t="str">
        <f t="array" ref="M224:M224">OFFSET(L224,-1,1)</f>
        <v>ТЭ.42.26824396.0005</v>
      </c>
      <c r="N224" s="1286"/>
      <c r="O224" s="1286"/>
      <c r="P224" s="1286"/>
      <c r="Q224" s="1286"/>
      <c r="R224" s="1286"/>
      <c r="S224" s="1286"/>
      <c r="T224" s="805">
        <f>AND(F224&gt;0,H224="двухставочный")</f>
        <v>0</v>
      </c>
      <c r="U224" s="1461"/>
      <c r="V224" s="1461"/>
      <c r="W224" s="1461"/>
      <c r="X224" s="1461"/>
      <c r="Y224" s="1461"/>
      <c r="Z224" s="1461"/>
      <c r="AA224" s="227"/>
      <c r="AB224" s="660" t="str">
        <f>AB223&amp;".1"</f>
        <v>13.1</v>
      </c>
      <c r="AC224" s="161" t="s">
        <v>1778</v>
      </c>
      <c r="AD224" s="517" t="s">
        <v>1779</v>
      </c>
      <c r="AE224" s="98"/>
      <c r="AF224" s="613"/>
      <c r="AG224" s="613"/>
      <c r="AH224" s="374"/>
      <c r="AI224" s="98"/>
      <c r="AJ224" s="308"/>
      <c r="AK224" s="308"/>
      <c r="AL224" s="307">
        <f>IF(AI224=0,0,(AK224-AI224)/AI224*100)</f>
        <v>0</v>
      </c>
      <c r="AM224" s="73"/>
      <c r="AN224" s="73"/>
      <c r="AO224" s="73"/>
      <c r="AP224" s="227"/>
      <c r="AQ224" s="227"/>
      <c r="AR224" s="1230" t="s">
        <v>1780</v>
      </c>
      <c r="AS224" s="1268" cm="1" t="str">
        <f t="array" ref="AS224:AS224">D224&amp;"::"&amp;IF(M224&lt;&gt;"",M224,"Неопределено")&amp;"::"&amp;IF(L224&lt;&gt;"",L224,"Неопределено")&amp;"::"&amp;IF(N224&lt;&gt;"",N224,"Неопределено")&amp;"::"&amp;IF(O224&lt;&gt;"",O224,"Неопределено")&amp;"::"&amp;IF(P224&lt;&gt;"",P224,"Неопределено")&amp;"::"&amp;IF(Q224&lt;&gt;"",Q224,"Неопределено")&amp;"::"&amp;IF(R224&lt;&gt;"",R224,"Неопределено")&amp;"::"&amp;IF(S224&lt;&gt;"",S224,"Неопределено")</f>
        <v>M11397::ТЭ.42.26824396.0005::Неопределено::Неопределено::Неопределено::Неопределено::Неопределено::Неопределено::Неопределено</v>
      </c>
    </row>
    <row s="1619" customFormat="1" customHeight="1" ht="16.5" hidden="1">
      <c r="A225" s="1183"/>
      <c r="B225" s="924"/>
      <c r="C225" s="1298" t="s">
        <v>1775</v>
      </c>
      <c r="D225" s="1257" t="s">
        <v>1776</v>
      </c>
      <c r="E225" s="794">
        <v>17.1</v>
      </c>
      <c r="F225" s="919" cm="1" t="str">
        <f t="array" ref="F225:F225">OFFSET(G225,-1,-1)</f>
        <v>2</v>
      </c>
      <c r="G225" s="736" t="s">
        <v>1781</v>
      </c>
      <c r="H225" s="190" cm="1" t="str">
        <f t="array" ref="H225:H225">G161</f>
        <v>одноставочный</v>
      </c>
      <c r="I225" s="227"/>
      <c r="J225" s="227"/>
      <c r="K225" s="227"/>
      <c r="L225" s="1286"/>
      <c r="M225" s="1284" cm="1" t="str">
        <f t="array" ref="M225:M225">OFFSET(L225,-1,1)</f>
        <v>ТЭ.42.26824396.0005</v>
      </c>
      <c r="N225" s="1286"/>
      <c r="O225" s="1286"/>
      <c r="P225" s="1286"/>
      <c r="Q225" s="1286"/>
      <c r="R225" s="1286"/>
      <c r="S225" s="1286"/>
      <c r="T225" s="805">
        <f>AND(F225&gt;0,H225="двухставочный")</f>
        <v>0</v>
      </c>
      <c r="U225" s="1461"/>
      <c r="V225" s="1461"/>
      <c r="W225" s="1461"/>
      <c r="X225" s="1461"/>
      <c r="Y225" s="1461"/>
      <c r="Z225" s="1461"/>
      <c r="AA225" s="227"/>
      <c r="AB225" s="660" t="str">
        <f>AB223&amp;".2"</f>
        <v>13.2</v>
      </c>
      <c r="AC225" s="161" t="s">
        <v>1782</v>
      </c>
      <c r="AD225" s="517" t="s">
        <v>1779</v>
      </c>
      <c r="AE225" s="307">
        <f>_xlfn.IFERROR((AE208-AE217*6*AE224)/AE218/6,0)</f>
        <v>0</v>
      </c>
      <c r="AF225" s="613"/>
      <c r="AG225" s="613"/>
      <c r="AH225" s="374"/>
      <c r="AI225" s="307">
        <f>_xlfn.IFERROR((AI208-AI217*6*AI224)/AI218/6,0)</f>
        <v>0</v>
      </c>
      <c r="AJ225" s="307">
        <f>_xlfn.IFERROR((AJ208-AJ217*IF(god=2026,9,6)*AJ224)/AJ218/IF(god=2026,3,6),0)</f>
        <v>0</v>
      </c>
      <c r="AK225" s="307">
        <f>_xlfn.IFERROR((AK208-AK217*IF(god=2026,9,6)*AK224)/AK218/IF(god=2026,3,6),0)</f>
        <v>0</v>
      </c>
      <c r="AL225" s="307">
        <f>IF(AI225=0,0,(AK225-AI225)/AI225*100)</f>
        <v>0</v>
      </c>
      <c r="AM225" s="73"/>
      <c r="AN225" s="73"/>
      <c r="AO225" s="73"/>
      <c r="AP225" s="227"/>
      <c r="AQ225" s="227"/>
      <c r="AR225" s="1230" t="s">
        <v>1783</v>
      </c>
      <c r="AS225" s="1268" cm="1" t="str">
        <f t="array" ref="AS225:AS225">D225&amp;"::"&amp;IF(M225&lt;&gt;"",M225,"Неопределено")&amp;"::"&amp;IF(L225&lt;&gt;"",L225,"Неопределено")&amp;"::"&amp;IF(N225&lt;&gt;"",N225,"Неопределено")&amp;"::"&amp;IF(O225&lt;&gt;"",O225,"Неопределено")&amp;"::"&amp;IF(P225&lt;&gt;"",P225,"Неопределено")&amp;"::"&amp;IF(Q225&lt;&gt;"",Q225,"Неопределено")&amp;"::"&amp;IF(R225&lt;&gt;"",R225,"Неопределено")&amp;"::"&amp;IF(S225&lt;&gt;"",S225,"Неопределено")</f>
        <v>M11397::ТЭ.42.26824396.0005::Неопределено::Неопределено::Неопределено::Неопределено::Неопределено::Неопределено::Неопределено</v>
      </c>
    </row>
    <row s="1619" customFormat="1" customHeight="1" ht="16.5" hidden="1">
      <c r="A226" s="1183"/>
      <c r="B226" s="924"/>
      <c r="C226" s="1298" t="s">
        <v>1768</v>
      </c>
      <c r="D226" s="1257" t="s">
        <v>1769</v>
      </c>
      <c r="E226" s="794">
        <v>17.1</v>
      </c>
      <c r="F226" s="919" cm="1" t="str">
        <f t="array" ref="F226:F226">OFFSET(G226,-1,-1)</f>
        <v>2</v>
      </c>
      <c r="G226" s="227"/>
      <c r="H226" s="190" cm="1" t="str">
        <f t="array" ref="H226:H226">G161</f>
        <v>одноставочный</v>
      </c>
      <c r="I226" s="227"/>
      <c r="J226" s="227"/>
      <c r="K226" s="227"/>
      <c r="L226" s="1286"/>
      <c r="M226" s="1284" cm="1" t="str">
        <f t="array" ref="M226:M226">OFFSET(L226,-1,1)</f>
        <v>ТЭ.42.26824396.0005</v>
      </c>
      <c r="N226" s="1286"/>
      <c r="O226" s="1286"/>
      <c r="P226" s="1286"/>
      <c r="Q226" s="1286"/>
      <c r="R226" s="1286" t="s">
        <v>1784</v>
      </c>
      <c r="S226" s="1286"/>
      <c r="T226" s="805">
        <f>AND(F226&gt;0,H226="двухставочный")</f>
        <v>0</v>
      </c>
      <c r="U226" s="1461"/>
      <c r="V226" s="1461"/>
      <c r="W226" s="1461"/>
      <c r="X226" s="1461"/>
      <c r="Y226" s="1461"/>
      <c r="Z226" s="1461"/>
      <c r="AA226" s="227"/>
      <c r="AB226" s="660" t="str">
        <f>AB223&amp;".3"</f>
        <v>13.3</v>
      </c>
      <c r="AC226" s="312" t="s">
        <v>1785</v>
      </c>
      <c r="AD226" s="517" t="s">
        <v>490</v>
      </c>
      <c r="AE226" s="662">
        <f>_xlfn.IFERROR(AE225/AE224,0)</f>
        <v>0</v>
      </c>
      <c r="AF226" s="1019"/>
      <c r="AG226" s="613"/>
      <c r="AH226" s="613"/>
      <c r="AI226" s="662">
        <f>_xlfn.IFERROR(AI225/AI224,0)</f>
        <v>0</v>
      </c>
      <c r="AJ226" s="662">
        <f>_xlfn.IFERROR(AJ225/AJ224,0)</f>
        <v>0</v>
      </c>
      <c r="AK226" s="662">
        <f>_xlfn.IFERROR(AK225/AK224,0)</f>
        <v>0</v>
      </c>
      <c r="AL226" s="374"/>
      <c r="AM226" s="73"/>
      <c r="AN226" s="73"/>
      <c r="AO226" s="73"/>
      <c r="AP226" s="227"/>
      <c r="AQ226" s="227"/>
      <c r="AR226" s="1230" t="s">
        <v>1786</v>
      </c>
      <c r="AS226" s="1268" cm="1" t="str">
        <f t="array" ref="AS226:AS226">D226&amp;"::"&amp;IF(M226&lt;&gt;"",M226,"Неопределено")&amp;"::"&amp;IF(L226&lt;&gt;"",L226,"Неопределено")&amp;"::"&amp;IF(N226&lt;&gt;"",N226,"Неопределено")&amp;"::"&amp;IF(O226&lt;&gt;"",O226,"Неопределено")&amp;"::"&amp;IF(P226&lt;&gt;"",P226,"Неопределено")&amp;"::"&amp;IF(Q226&lt;&gt;"",Q226,"Неопределено")&amp;"::"&amp;IF(R226&lt;&gt;"",R226,"Неопределено")&amp;"::"&amp;IF(S226&lt;&gt;"",S226,"Неопределено")</f>
        <v>M10444::ТЭ.42.26824396.0005::Неопределено::Неопределено::Неопределено::Неопределено::Неопределено::225.0.1.::Неопределено</v>
      </c>
    </row>
    <row s="1619" customFormat="1" customHeight="1" ht="29.25">
      <c r="A227" s="1183"/>
      <c r="B227" s="924"/>
      <c r="C227" s="1298" t="s">
        <v>1787</v>
      </c>
      <c r="D227" s="1257" t="s">
        <v>1788</v>
      </c>
      <c r="E227" s="794">
        <v>30</v>
      </c>
      <c r="F227" s="919" cm="1" t="str">
        <f t="array" ref="F227:F227">OFFSET(G227,-1,-1)</f>
        <v>2</v>
      </c>
      <c r="G227" s="227"/>
      <c r="H227" s="227"/>
      <c r="I227" s="227"/>
      <c r="J227" s="227"/>
      <c r="K227" s="227"/>
      <c r="L227" s="1286"/>
      <c r="M227" s="1284" cm="1" t="str">
        <f t="array" ref="M227:M227">OFFSET(L227,-1,1)</f>
        <v>ТЭ.42.26824396.0005</v>
      </c>
      <c r="N227" s="1286"/>
      <c r="O227" s="1286"/>
      <c r="P227" s="1286"/>
      <c r="Q227" s="1286"/>
      <c r="R227" s="1286"/>
      <c r="S227" s="1286"/>
      <c r="T227" s="805" cm="1" t="str">
        <f t="array" ref="T227:T227">T206</f>
        <v>true</v>
      </c>
      <c r="U227" s="1461"/>
      <c r="V227" s="1461"/>
      <c r="W227" s="1461"/>
      <c r="X227" s="1461"/>
      <c r="Y227" s="1461"/>
      <c r="Z227" s="1461"/>
      <c r="AA227" s="227"/>
      <c r="AB227" s="285" t="s">
        <v>1705</v>
      </c>
      <c r="AC227" s="1059" t="s">
        <v>1790</v>
      </c>
      <c r="AD227" s="577" t="s">
        <v>1019</v>
      </c>
      <c r="AE227" s="1785"/>
      <c r="AF227" s="1903"/>
      <c r="AG227" s="1903"/>
      <c r="AH227" s="307">
        <f>AG227-AF227</f>
        <v>0</v>
      </c>
      <c r="AI227" s="1785"/>
      <c r="AJ227" s="308"/>
      <c r="AK227" s="308"/>
      <c r="AL227" s="307">
        <f>IF(AI227=0,0,(AK227-AI227)/AI227*100)</f>
        <v>0</v>
      </c>
      <c r="AM227" s="1730"/>
      <c r="AN227" s="1730"/>
      <c r="AO227" s="1730"/>
      <c r="AP227" s="227"/>
      <c r="AQ227" s="227"/>
      <c r="AR227" s="1230" t="s">
        <v>1791</v>
      </c>
      <c r="AS227" s="1268" cm="1" t="str">
        <f t="array" ref="AS227:AS227">D227&amp;"::"&amp;IF(M227&lt;&gt;"",M227,"Неопределено")&amp;"::"&amp;IF(L227&lt;&gt;"",L227,"Неопределено")&amp;"::"&amp;IF(N227&lt;&gt;"",N227,"Неопределено")&amp;"::"&amp;IF(O227&lt;&gt;"",O227,"Неопределено")&amp;"::"&amp;IF(P227&lt;&gt;"",P227,"Неопределено")&amp;"::"&amp;IF(Q227&lt;&gt;"",Q227,"Неопределено")&amp;"::"&amp;IF(R227&lt;&gt;"",R227,"Неопределено")&amp;"::"&amp;IF(S227&lt;&gt;"",S227,"Неопределено")</f>
        <v>M10591::ТЭ.42.26824396.0005::Неопределено::Неопределено::Неопределено::Неопределено::Неопределено::Неопределено::Неопределено</v>
      </c>
    </row>
    <row customHeight="1" ht="9.945">
      <c r="E228" s="794">
        <v>10.2</v>
      </c>
      <c r="U228" s="176" t="s">
        <v>235</v>
      </c>
      <c r="V228" s="168" t="s">
        <v>1922</v>
      </c>
      <c r="AJ228" s="227"/>
      <c r="AK228" s="227"/>
      <c r="AL228" s="227"/>
    </row>
    <row customHeight="1" ht="11.25" hidden="1">
      <c r="E229" s="794">
        <v>0</v>
      </c>
      <c r="AJ229" s="227"/>
      <c r="AK229" s="227"/>
      <c r="AL229" s="227"/>
    </row>
    <row customHeight="1" ht="14.625">
      <c r="E230" s="794">
        <v>15</v>
      </c>
      <c r="AB230" s="1527" t="s">
        <v>700</v>
      </c>
      <c r="AC230" s="1527"/>
      <c r="AD230" s="1527"/>
      <c r="AE230" s="1527"/>
      <c r="AF230" s="1527"/>
      <c r="AG230" s="1527"/>
      <c r="AH230" s="1527"/>
      <c r="AI230" s="1527"/>
      <c r="AJ230" s="1527"/>
      <c r="AK230" s="1527"/>
      <c r="AL230" s="1527"/>
      <c r="AM230" s="1527"/>
      <c r="AN230" s="1527"/>
      <c r="AO230" s="1527"/>
    </row>
    <row customHeight="1" ht="14.625">
      <c r="E231" s="794">
        <v>15</v>
      </c>
      <c r="AA231" s="918"/>
      <c r="AB231" s="1540"/>
      <c r="AC231" s="1541"/>
      <c r="AD231" s="1541"/>
      <c r="AE231" s="1541"/>
      <c r="AF231" s="1541"/>
      <c r="AG231" s="1541"/>
      <c r="AH231" s="1541"/>
      <c r="AI231" s="1541"/>
      <c r="AJ231" s="1541"/>
      <c r="AK231" s="1541"/>
      <c r="AL231" s="1541"/>
      <c r="AM231" s="1541"/>
      <c r="AN231" s="1541"/>
      <c r="AO231" s="1541"/>
    </row>
    <row customHeight="1" ht="14.625" hidden="1">
      <c r="A232" s="1183"/>
      <c r="B232" s="924"/>
      <c r="C232" s="1303"/>
      <c r="D232" s="1263"/>
      <c r="E232" s="794">
        <v>15</v>
      </c>
      <c r="F232" s="225"/>
      <c r="G232" s="227"/>
      <c r="H232" s="227"/>
      <c r="I232" s="227"/>
      <c r="J232" s="227"/>
      <c r="K232" s="227"/>
      <c r="L232" s="1328"/>
      <c r="M232" s="1328"/>
      <c r="N232" s="1328"/>
      <c r="O232" s="1328"/>
      <c r="P232" s="1328"/>
      <c r="Q232" s="1328"/>
      <c r="R232" s="1328"/>
      <c r="S232" s="1328"/>
      <c r="T232" s="805">
        <f>ROW(W232)&gt;ROW(W$232)</f>
        <v>0</v>
      </c>
      <c r="U232" s="1461"/>
      <c r="V232" s="1461"/>
      <c r="W232" s="172" t="s">
        <v>233</v>
      </c>
      <c r="X232" s="1461"/>
      <c r="Y232" s="1461"/>
      <c r="Z232" s="1461"/>
      <c r="AA232" s="1015" t="s">
        <v>217</v>
      </c>
      <c r="AB232" s="1865"/>
      <c r="AC232" s="1541"/>
      <c r="AD232" s="1541"/>
      <c r="AE232" s="1541"/>
      <c r="AF232" s="1541"/>
      <c r="AG232" s="1541"/>
      <c r="AH232" s="1541"/>
      <c r="AI232" s="1541"/>
      <c r="AJ232" s="1541"/>
      <c r="AK232" s="1541"/>
      <c r="AL232" s="1541"/>
      <c r="AM232" s="1541"/>
      <c r="AN232" s="1541"/>
      <c r="AO232" s="1541"/>
      <c r="AP232" s="227"/>
      <c r="AQ232" s="227"/>
      <c r="AR232" s="1230"/>
      <c r="AS232" s="1330"/>
    </row>
    <row customHeight="1" ht="14.625">
      <c r="E233" s="794">
        <v>15</v>
      </c>
      <c r="W233" s="168" t="s">
        <v>234</v>
      </c>
      <c r="AA233" s="210"/>
      <c r="AB233" s="1475" t="s">
        <v>701</v>
      </c>
      <c r="AC233" s="1476"/>
      <c r="AD233" s="380"/>
      <c r="AE233" s="380"/>
      <c r="AF233" s="380"/>
      <c r="AG233" s="380"/>
      <c r="AH233" s="380"/>
      <c r="AI233" s="380"/>
      <c r="AJ233" s="380"/>
      <c r="AK233" s="380"/>
      <c r="AL233" s="380"/>
      <c r="AM233" s="380"/>
      <c r="AN233" s="380"/>
      <c r="AO233" s="347"/>
    </row>
    <row customHeight="1" ht="11.25">
      <c r="AJ234" s="227"/>
      <c r="AK234" s="227"/>
      <c r="AL234" s="227"/>
      <c r="AP234" s="227"/>
    </row>
  </sheetData>
  <sheetProtection formatColumns="0" formatRows="0" insertRows="0" deleteColumns="0" deleteRows="0" sort="0" autoFilter="0" insertColumns="1"/>
  <mergeCells count="16">
    <mergeCell ref="X27:X93"/>
    <mergeCell ref="Z27:Z93"/>
    <mergeCell ref="AN24:AN25"/>
    <mergeCell ref="AO24:AO25"/>
    <mergeCell ref="AB233:AC233"/>
    <mergeCell ref="AB24:AB25"/>
    <mergeCell ref="AC24:AC25"/>
    <mergeCell ref="AD24:AD25"/>
    <mergeCell ref="AM24:AM25"/>
    <mergeCell ref="AB230:AO230"/>
    <mergeCell ref="AB231:AO231"/>
    <mergeCell ref="AB232:AO232"/>
    <mergeCell ref="X94:X160"/>
    <mergeCell ref="Z94:Z160"/>
    <mergeCell ref="X161:X227"/>
    <mergeCell ref="Z161:Z22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6EE9A8-62DC-F34A-3C02-4B6EE5B6C908}" mc:Ignorable="x14ac xr xr2 xr3">
  <sheetPr>
    <tabColor rgb="FF002060"/>
    <outlinePr summaryRight="0" summaryBelow="0"/>
    <pageSetUpPr fitToPage="1"/>
  </sheetPr>
  <dimension ref="A1:AL7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376</v>
      </c>
      <c r="Z1" s="805" t="s">
        <v>93</v>
      </c>
      <c r="AA1" s="816" t="s">
        <v>90</v>
      </c>
      <c r="AB1" s="816" t="s">
        <v>92</v>
      </c>
      <c r="AL1" s="1232" t="s">
        <v>377</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430</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431</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432</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row>
    <row s="1532" customFormat="1" customHeight="1" ht="33.15">
      <c r="A22" s="985"/>
      <c r="B22" s="785"/>
      <c r="C22" s="180"/>
      <c r="D22" s="180"/>
      <c r="E22" s="794">
        <v>34</v>
      </c>
      <c r="F22" s="180"/>
      <c r="Q22" s="190"/>
      <c r="R22" s="190"/>
      <c r="T22" s="176"/>
      <c r="U22" s="176"/>
      <c r="V22" s="176"/>
      <c r="W22" s="176"/>
      <c r="X22" s="176"/>
      <c r="Y22" s="176"/>
      <c r="Z22" s="176"/>
      <c r="AB22" s="1555" t="s">
        <v>1923</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390</v>
      </c>
      <c r="AC24" s="1544" t="s">
        <v>433</v>
      </c>
      <c r="AD24" s="1544" t="s">
        <v>434</v>
      </c>
      <c r="AE24" s="1361" t="str">
        <f>god-2&amp;" год"</f>
        <v>2024 год</v>
      </c>
      <c r="AF24" s="154" t="str">
        <f>god-2&amp;" год"</f>
        <v>2024 год</v>
      </c>
      <c r="AG24" s="1543" t="s">
        <v>1288</v>
      </c>
      <c r="AH24" s="1543" t="s">
        <v>587</v>
      </c>
      <c r="AI24" s="1543" t="s">
        <v>1289</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408</v>
      </c>
      <c r="AF25" s="154" t="s">
        <v>1552</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K27" s="210" cm="1" t="str">
        <f t="array" ref="K27:K27">INDEX('Общие сведения'!$AL$169:$AL$218,MATCH($F27,'Общие сведения'!$Z$169:$Z$218,0))</f>
        <v>0</v>
      </c>
      <c r="T27" s="805">
        <f>X27&gt;0</f>
        <v>0</v>
      </c>
      <c r="V27" s="172" t="s">
        <v>309</v>
      </c>
      <c r="X27" s="1554">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1924</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1925</v>
      </c>
      <c r="AC29" s="286" t="s">
        <v>1926</v>
      </c>
      <c r="AD29" s="151" t="s">
        <v>1400</v>
      </c>
      <c r="AE29" s="61"/>
      <c r="AF29" s="61"/>
      <c r="AG29" s="137"/>
      <c r="AH29" s="137"/>
      <c r="AI29" s="59"/>
      <c r="AL29" s="1181" t="s">
        <v>1927</v>
      </c>
    </row>
    <row s="217" customFormat="1" customHeight="1" ht="43.875" hidden="1">
      <c r="E30" s="794">
        <v>45</v>
      </c>
      <c r="F30" s="919" cm="1" t="str">
        <f t="array" ref="F30:F30">OFFSET(G30,-1,-1)</f>
        <v>0</v>
      </c>
      <c r="T30" s="805" cm="1" t="str">
        <f t="array" ref="T30:T30">T29</f>
        <v>false</v>
      </c>
      <c r="AB30" s="607" t="s">
        <v>1928</v>
      </c>
      <c r="AC30" s="286" t="s">
        <v>1929</v>
      </c>
      <c r="AD30" s="151" t="s">
        <v>458</v>
      </c>
      <c r="AE30" s="61"/>
      <c r="AF30" s="61"/>
      <c r="AG30" s="137"/>
      <c r="AH30" s="137"/>
      <c r="AI30" s="59"/>
      <c r="AL30" s="1181" t="s">
        <v>1930</v>
      </c>
    </row>
    <row s="217" customFormat="1" customHeight="1" ht="39" hidden="1">
      <c r="E31" s="794">
        <v>40</v>
      </c>
      <c r="F31" s="919" cm="1" t="str">
        <f t="array" ref="F31:F31">OFFSET(G31,-1,-1)</f>
        <v>0</v>
      </c>
      <c r="T31" s="805" cm="1" t="str">
        <f t="array" ref="T31:T31">T30</f>
        <v>false</v>
      </c>
      <c r="AB31" s="607" t="s">
        <v>1931</v>
      </c>
      <c r="AC31" s="286" t="s">
        <v>1932</v>
      </c>
      <c r="AD31" s="151" t="s">
        <v>1933</v>
      </c>
      <c r="AE31" s="61">
        <f>_xlfn.IFERROR(AE29/AE30,0)</f>
        <v>0</v>
      </c>
      <c r="AF31" s="61">
        <f>_xlfn.IFERROR(AF29/AF30,0)</f>
        <v>0</v>
      </c>
      <c r="AG31" s="137"/>
      <c r="AH31" s="137"/>
      <c r="AI31" s="59"/>
      <c r="AL31" s="1181" t="s">
        <v>1934</v>
      </c>
    </row>
    <row s="217" customFormat="1" customHeight="1" ht="16.672500000000003" hidden="1">
      <c r="E32" s="794">
        <v>17.1</v>
      </c>
      <c r="F32" s="919" cm="1" t="str">
        <f t="array" ref="F32:F32">OFFSET(G32,-1,-1)</f>
        <v>0</v>
      </c>
      <c r="T32" s="805" cm="1" t="str">
        <f t="array" ref="T32:T32">T31</f>
        <v>false</v>
      </c>
      <c r="AB32" s="607" t="s">
        <v>1935</v>
      </c>
      <c r="AC32" s="286" t="s">
        <v>1936</v>
      </c>
      <c r="AD32" s="151" t="s">
        <v>490</v>
      </c>
      <c r="AE32" s="138"/>
      <c r="AF32" s="138"/>
      <c r="AG32" s="137"/>
      <c r="AH32" s="137"/>
      <c r="AI32" s="59"/>
      <c r="AL32" s="1181" t="s">
        <v>1937</v>
      </c>
    </row>
    <row s="217" customFormat="1" customHeight="1" ht="39" hidden="1">
      <c r="E33" s="794">
        <v>40</v>
      </c>
      <c r="F33" s="919" cm="1" t="str">
        <f t="array" ref="F33:F33">OFFSET(G33,-1,-1)</f>
        <v>0</v>
      </c>
      <c r="T33" s="805" cm="1" t="str">
        <f t="array" ref="T33:T33">T32</f>
        <v>false</v>
      </c>
      <c r="AB33" s="1028" t="s">
        <v>1938</v>
      </c>
      <c r="AC33" s="1026" t="s">
        <v>1939</v>
      </c>
      <c r="AD33" s="1027" t="s">
        <v>1933</v>
      </c>
      <c r="AE33" s="62"/>
      <c r="AF33" s="62"/>
      <c r="AG33" s="139"/>
      <c r="AH33" s="139"/>
      <c r="AI33" s="140"/>
      <c r="AL33" s="1181" t="s">
        <v>1940</v>
      </c>
    </row>
    <row s="217" customFormat="1" customHeight="1" ht="16.672500000000003" hidden="1">
      <c r="E34" s="794">
        <v>17.1</v>
      </c>
      <c r="F34" s="919" cm="1" t="str">
        <f t="array" ref="F34:F34">OFFSET(G34,-1,-1)</f>
        <v>0</v>
      </c>
      <c r="T34" s="805" cm="1" t="str">
        <f t="array" ref="T34:T34">T33</f>
        <v>false</v>
      </c>
      <c r="AB34" s="151">
        <v>2</v>
      </c>
      <c r="AC34" s="1024" t="s">
        <v>1941</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1942</v>
      </c>
      <c r="AC35" s="286" t="s">
        <v>1943</v>
      </c>
      <c r="AD35" s="151" t="s">
        <v>1400</v>
      </c>
      <c r="AE35" s="62"/>
      <c r="AF35" s="62"/>
      <c r="AG35" s="139"/>
      <c r="AH35" s="139"/>
      <c r="AI35" s="140"/>
      <c r="AL35" s="1181" t="s">
        <v>1944</v>
      </c>
    </row>
    <row s="217" customFormat="1" customHeight="1" ht="39" hidden="1">
      <c r="E36" s="794">
        <v>40</v>
      </c>
      <c r="F36" s="919" cm="1" t="str">
        <f t="array" ref="F36:F36">OFFSET(G36,-1,-1)</f>
        <v>0</v>
      </c>
      <c r="T36" s="805" cm="1" t="str">
        <f t="array" ref="T36:T36">T35</f>
        <v>false</v>
      </c>
      <c r="AB36" s="151" t="s">
        <v>1945</v>
      </c>
      <c r="AC36" s="286" t="s">
        <v>1946</v>
      </c>
      <c r="AD36" s="151" t="s">
        <v>1947</v>
      </c>
      <c r="AE36" s="62"/>
      <c r="AF36" s="62"/>
      <c r="AG36" s="139"/>
      <c r="AH36" s="139"/>
      <c r="AI36" s="140"/>
      <c r="AL36" s="1181" t="s">
        <v>1948</v>
      </c>
    </row>
    <row s="217" customFormat="1" customHeight="1" ht="39" hidden="1">
      <c r="E37" s="794">
        <v>40</v>
      </c>
      <c r="F37" s="919" cm="1" t="str">
        <f t="array" ref="F37:F37">OFFSET(G37,-1,-1)</f>
        <v>0</v>
      </c>
      <c r="T37" s="805" cm="1" t="str">
        <f t="array" ref="T37:T37">T36</f>
        <v>false</v>
      </c>
      <c r="AB37" s="151" t="s">
        <v>1949</v>
      </c>
      <c r="AC37" s="286" t="s">
        <v>1950</v>
      </c>
      <c r="AD37" s="151" t="s">
        <v>895</v>
      </c>
      <c r="AE37" s="61">
        <f>_xlfn.IFERROR(AE35/AE36,0)</f>
        <v>0</v>
      </c>
      <c r="AF37" s="61">
        <f>_xlfn.IFERROR(AF35/AF36,0)</f>
        <v>0</v>
      </c>
      <c r="AG37" s="139"/>
      <c r="AH37" s="139"/>
      <c r="AI37" s="140"/>
      <c r="AL37" s="1181" t="s">
        <v>1934</v>
      </c>
    </row>
    <row s="217" customFormat="1" customHeight="1" ht="16.672500000000003" hidden="1">
      <c r="E38" s="794">
        <v>17.1</v>
      </c>
      <c r="F38" s="919" cm="1" t="str">
        <f t="array" ref="F38:F38">OFFSET(G38,-1,-1)</f>
        <v>0</v>
      </c>
      <c r="T38" s="805" cm="1" t="str">
        <f t="array" ref="T38:T38">T37</f>
        <v>false</v>
      </c>
      <c r="AB38" s="151" t="s">
        <v>1951</v>
      </c>
      <c r="AC38" s="286" t="s">
        <v>1936</v>
      </c>
      <c r="AD38" s="151" t="s">
        <v>490</v>
      </c>
      <c r="AE38" s="62"/>
      <c r="AF38" s="62"/>
      <c r="AG38" s="139"/>
      <c r="AH38" s="139"/>
      <c r="AI38" s="140"/>
      <c r="AL38" s="1181" t="s">
        <v>1952</v>
      </c>
    </row>
    <row s="217" customFormat="1" customHeight="1" ht="39" hidden="1">
      <c r="E39" s="794">
        <v>40</v>
      </c>
      <c r="F39" s="919" cm="1" t="str">
        <f t="array" ref="F39:F39">OFFSET(G39,-1,-1)</f>
        <v>0</v>
      </c>
      <c r="T39" s="805" cm="1" t="str">
        <f t="array" ref="T39:T39">T38</f>
        <v>false</v>
      </c>
      <c r="AB39" s="151" t="s">
        <v>1953</v>
      </c>
      <c r="AC39" s="286" t="s">
        <v>1954</v>
      </c>
      <c r="AD39" s="607" t="s">
        <v>895</v>
      </c>
      <c r="AE39" s="61"/>
      <c r="AF39" s="61"/>
      <c r="AG39" s="137"/>
      <c r="AH39" s="137"/>
      <c r="AI39" s="59"/>
      <c r="AL39" s="1181" t="s">
        <v>1940</v>
      </c>
    </row>
    <row customHeight="1" ht="17.25" hidden="1">
      <c r="E40" s="794">
        <v>0</v>
      </c>
      <c r="F40" s="919" cm="1" t="str">
        <f t="array" ref="F40:F40">OFFSET(G40,-1,-1)</f>
        <v>0</v>
      </c>
      <c r="T40" s="805" cm="1" t="str">
        <f t="array" ref="T40:T40">T39</f>
        <v>false</v>
      </c>
    </row>
    <row s="1957" customFormat="1" customHeight="1" ht="16.5">
      <c r="A41" s="217"/>
      <c r="B41" s="217"/>
      <c r="C41" s="217"/>
      <c r="D41" s="217"/>
      <c r="E41" s="794">
        <v>17.1</v>
      </c>
      <c r="F41" s="919" cm="1" t="str">
        <f t="array" ref="F41:F41">X41</f>
        <v>1</v>
      </c>
      <c r="G41" s="736" cm="1" t="str">
        <f t="array" ref="G41:G41">INDEX('Общие сведения'!$AK$169:$AK$218,MATCH($F41,'Общие сведения'!$Z$169:$Z$218,0))</f>
        <v>одноставочный</v>
      </c>
      <c r="H41" s="217"/>
      <c r="I41" s="210" cm="1" t="str">
        <f t="array" ref="I41:I41">INDEX('Общие сведения'!$AE$169:$AE$218,MATCH($F41,'Общие сведения'!$Z$169:$Z$218,0))</f>
        <v>Теплоснабжение</v>
      </c>
      <c r="J41" s="217"/>
      <c r="K41" s="210" cm="1" t="str">
        <f t="array" ref="K41:K41">INDEX('Общие сведения'!$AL$169:$AL$218,MATCH($F41,'Общие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W41" s="217"/>
      <c r="X41" s="1554" t="s">
        <v>335</v>
      </c>
      <c r="Y41" s="217"/>
      <c r="Z41" s="217"/>
      <c r="AA41" s="217"/>
      <c r="AB41" s="327" cm="1" t="str">
        <f t="array" ref="AB41:AB41">IF(ISBLANK('Калькуляция (4.6)'!$AB$94),"",'Калькуляция (4.6)'!$AB$94)</f>
        <v>Тариф 1 (Теплоснабжение) - Тариф на тепловую энергию (мощность), поставляемую потребителям (Тариф: Носитель - горячая вода (Т); Носитель - горячая вода (Т))</v>
      </c>
      <c r="AC41" s="328"/>
      <c r="AD41" s="328"/>
      <c r="AE41" s="328"/>
      <c r="AF41" s="328"/>
      <c r="AG41" s="328"/>
      <c r="AH41" s="328"/>
      <c r="AI41" s="328"/>
      <c r="AJ41" s="217"/>
      <c r="AK41" s="217"/>
      <c r="AL41" s="1181"/>
    </row>
    <row s="1958"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1924</v>
      </c>
      <c r="AD42" s="1025"/>
      <c r="AE42" s="1025"/>
      <c r="AF42" s="1025"/>
      <c r="AG42" s="1025"/>
      <c r="AH42" s="1025"/>
      <c r="AI42" s="1025"/>
      <c r="AJ42" s="217"/>
      <c r="AK42" s="217"/>
      <c r="AL42" s="1181"/>
    </row>
    <row s="1959"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1925</v>
      </c>
      <c r="AC43" s="286" t="s">
        <v>1926</v>
      </c>
      <c r="AD43" s="151" t="s">
        <v>1400</v>
      </c>
      <c r="AE43" s="1666"/>
      <c r="AF43" s="1666"/>
      <c r="AG43" s="1960"/>
      <c r="AH43" s="1960"/>
      <c r="AI43" s="1657"/>
      <c r="AJ43" s="217"/>
      <c r="AK43" s="217"/>
      <c r="AL43" s="1181" t="s">
        <v>1927</v>
      </c>
    </row>
    <row s="1961"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1928</v>
      </c>
      <c r="AC44" s="286" t="s">
        <v>1929</v>
      </c>
      <c r="AD44" s="151" t="s">
        <v>458</v>
      </c>
      <c r="AE44" s="1666"/>
      <c r="AF44" s="1666"/>
      <c r="AG44" s="1960"/>
      <c r="AH44" s="1960"/>
      <c r="AI44" s="1657"/>
      <c r="AJ44" s="217"/>
      <c r="AK44" s="217"/>
      <c r="AL44" s="1181" t="s">
        <v>1930</v>
      </c>
    </row>
    <row s="1962"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1931</v>
      </c>
      <c r="AC45" s="286" t="s">
        <v>1932</v>
      </c>
      <c r="AD45" s="151" t="s">
        <v>1933</v>
      </c>
      <c r="AE45" s="1666">
        <f>_xlfn.IFERROR(AE43/AE44,0)</f>
        <v>0</v>
      </c>
      <c r="AF45" s="1666">
        <f>_xlfn.IFERROR(AF43/AF44,0)</f>
        <v>0</v>
      </c>
      <c r="AG45" s="1960"/>
      <c r="AH45" s="1960"/>
      <c r="AI45" s="1657"/>
      <c r="AJ45" s="217"/>
      <c r="AK45" s="217"/>
      <c r="AL45" s="1181" t="s">
        <v>1934</v>
      </c>
    </row>
    <row s="1963"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1935</v>
      </c>
      <c r="AC46" s="286" t="s">
        <v>1936</v>
      </c>
      <c r="AD46" s="151" t="s">
        <v>490</v>
      </c>
      <c r="AE46" s="1964"/>
      <c r="AF46" s="1964"/>
      <c r="AG46" s="1960"/>
      <c r="AH46" s="1960"/>
      <c r="AI46" s="1657"/>
      <c r="AJ46" s="217"/>
      <c r="AK46" s="217"/>
      <c r="AL46" s="1181" t="s">
        <v>1937</v>
      </c>
    </row>
    <row s="1965"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1938</v>
      </c>
      <c r="AC47" s="1026" t="s">
        <v>1939</v>
      </c>
      <c r="AD47" s="1027" t="s">
        <v>1933</v>
      </c>
      <c r="AE47" s="1670"/>
      <c r="AF47" s="1670"/>
      <c r="AG47" s="1966"/>
      <c r="AH47" s="1966"/>
      <c r="AI47" s="1967"/>
      <c r="AJ47" s="217"/>
      <c r="AK47" s="217"/>
      <c r="AL47" s="1181" t="s">
        <v>1940</v>
      </c>
    </row>
    <row s="1968"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1941</v>
      </c>
      <c r="AD48" s="1025"/>
      <c r="AE48" s="1046"/>
      <c r="AF48" s="1046"/>
      <c r="AG48" s="1025"/>
      <c r="AH48" s="1025"/>
      <c r="AI48" s="1025"/>
      <c r="AJ48" s="217"/>
      <c r="AK48" s="217"/>
      <c r="AL48" s="1181"/>
    </row>
    <row s="1969"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1942</v>
      </c>
      <c r="AC49" s="286" t="s">
        <v>1943</v>
      </c>
      <c r="AD49" s="151" t="s">
        <v>1400</v>
      </c>
      <c r="AE49" s="1670"/>
      <c r="AF49" s="1670"/>
      <c r="AG49" s="1966"/>
      <c r="AH49" s="1966"/>
      <c r="AI49" s="1967"/>
      <c r="AJ49" s="217"/>
      <c r="AK49" s="217"/>
      <c r="AL49" s="1181" t="s">
        <v>1944</v>
      </c>
    </row>
    <row s="1970"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1945</v>
      </c>
      <c r="AC50" s="286" t="s">
        <v>1946</v>
      </c>
      <c r="AD50" s="151" t="s">
        <v>1947</v>
      </c>
      <c r="AE50" s="1670"/>
      <c r="AF50" s="1670"/>
      <c r="AG50" s="1966"/>
      <c r="AH50" s="1966"/>
      <c r="AI50" s="1967"/>
      <c r="AJ50" s="217"/>
      <c r="AK50" s="217"/>
      <c r="AL50" s="1181" t="s">
        <v>1948</v>
      </c>
    </row>
    <row s="1971"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1949</v>
      </c>
      <c r="AC51" s="286" t="s">
        <v>1950</v>
      </c>
      <c r="AD51" s="151" t="s">
        <v>895</v>
      </c>
      <c r="AE51" s="1666">
        <f>_xlfn.IFERROR(AE49/AE50,0)</f>
        <v>0</v>
      </c>
      <c r="AF51" s="1666">
        <f>_xlfn.IFERROR(AF49/AF50,0)</f>
        <v>0</v>
      </c>
      <c r="AG51" s="1966"/>
      <c r="AH51" s="1966"/>
      <c r="AI51" s="1967"/>
      <c r="AJ51" s="217"/>
      <c r="AK51" s="217"/>
      <c r="AL51" s="1181" t="s">
        <v>1934</v>
      </c>
    </row>
    <row s="1972"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1951</v>
      </c>
      <c r="AC52" s="286" t="s">
        <v>1936</v>
      </c>
      <c r="AD52" s="151" t="s">
        <v>490</v>
      </c>
      <c r="AE52" s="1670"/>
      <c r="AF52" s="1670"/>
      <c r="AG52" s="1966"/>
      <c r="AH52" s="1966"/>
      <c r="AI52" s="1967"/>
      <c r="AJ52" s="217"/>
      <c r="AK52" s="217"/>
      <c r="AL52" s="1181" t="s">
        <v>1952</v>
      </c>
    </row>
    <row s="1973"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1953</v>
      </c>
      <c r="AC53" s="286" t="s">
        <v>1954</v>
      </c>
      <c r="AD53" s="607" t="s">
        <v>895</v>
      </c>
      <c r="AE53" s="1666"/>
      <c r="AF53" s="1666"/>
      <c r="AG53" s="1960"/>
      <c r="AH53" s="1960"/>
      <c r="AI53" s="1657"/>
      <c r="AJ53" s="217"/>
      <c r="AK53" s="217"/>
      <c r="AL53" s="1181" t="s">
        <v>1940</v>
      </c>
    </row>
    <row s="1619"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s="1974" customFormat="1" customHeight="1" ht="16.5">
      <c r="A55" s="217"/>
      <c r="B55" s="217"/>
      <c r="C55" s="217"/>
      <c r="D55" s="217"/>
      <c r="E55" s="794">
        <v>17.1</v>
      </c>
      <c r="F55" s="919" cm="1" t="str">
        <f t="array" ref="F55:F55">X55</f>
        <v>2</v>
      </c>
      <c r="G55" s="736" cm="1" t="str">
        <f t="array" ref="G55:G55">INDEX('Общие сведения'!$AK$169:$AK$218,MATCH($F55,'Общие сведения'!$Z$169:$Z$218,0))</f>
        <v>одноставочный</v>
      </c>
      <c r="H55" s="217"/>
      <c r="I55" s="210" cm="1" t="str">
        <f t="array" ref="I55:I55">INDEX('Общие сведения'!$AE$169:$AE$218,MATCH($F55,'Общие сведения'!$Z$169:$Z$218,0))</f>
        <v>Теплоснабжение</v>
      </c>
      <c r="J55" s="217"/>
      <c r="K55" s="210" cm="1" t="str">
        <f t="array" ref="K55:K55">INDEX('Общие сведения'!$AL$169:$AL$218,MATCH($F55,'Общие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55" s="217"/>
      <c r="M55" s="217"/>
      <c r="N55" s="217"/>
      <c r="O55" s="217"/>
      <c r="P55" s="217"/>
      <c r="Q55" s="217"/>
      <c r="R55" s="217"/>
      <c r="S55" s="217"/>
      <c r="T55" s="805">
        <f>X55&gt;0</f>
        <v>1</v>
      </c>
      <c r="U55" s="217"/>
      <c r="V55" s="172" cm="1" t="str">
        <f t="array" ref="V55:V55">'Калькуляция (4.6)'!$AB$161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55" s="217"/>
      <c r="X55" s="1554" t="s">
        <v>343</v>
      </c>
      <c r="Y55" s="217"/>
      <c r="Z55" s="217"/>
      <c r="AA55" s="217"/>
      <c r="AB55" s="327" cm="1" t="str">
        <f t="array" ref="AB55:AB55">IF(ISBLANK('Калькуляция (4.6)'!$AB$161),"",'Калькуляция (4.6)'!$AB$161)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55" s="328"/>
      <c r="AD55" s="328"/>
      <c r="AE55" s="328"/>
      <c r="AF55" s="328"/>
      <c r="AG55" s="328"/>
      <c r="AH55" s="328"/>
      <c r="AI55" s="328"/>
      <c r="AJ55" s="217"/>
      <c r="AK55" s="217"/>
      <c r="AL55" s="1181"/>
    </row>
    <row s="1975" customFormat="1" customHeight="1" ht="16.5">
      <c r="A56" s="217"/>
      <c r="B56" s="217"/>
      <c r="C56" s="217"/>
      <c r="D56" s="217"/>
      <c r="E56" s="794">
        <v>17.1</v>
      </c>
      <c r="F56" s="919" cm="1" t="str">
        <f t="array" ref="F56:F56">OFFSET(G56,-1,-1)</f>
        <v>2</v>
      </c>
      <c r="G56" s="217"/>
      <c r="H56" s="217"/>
      <c r="I56" s="217"/>
      <c r="J56" s="217"/>
      <c r="K56" s="217"/>
      <c r="L56" s="217"/>
      <c r="M56" s="217"/>
      <c r="N56" s="217"/>
      <c r="O56" s="217"/>
      <c r="P56" s="217"/>
      <c r="Q56" s="217"/>
      <c r="R56" s="217"/>
      <c r="S56" s="217"/>
      <c r="T56" s="805" cm="1" t="str">
        <f t="array" ref="T56:T56">T55</f>
        <v>true</v>
      </c>
      <c r="U56" s="217"/>
      <c r="V56" s="217"/>
      <c r="W56" s="217"/>
      <c r="X56" s="217"/>
      <c r="Y56" s="217"/>
      <c r="Z56" s="217"/>
      <c r="AA56" s="217"/>
      <c r="AB56" s="607">
        <v>1</v>
      </c>
      <c r="AC56" s="1024" t="s">
        <v>1924</v>
      </c>
      <c r="AD56" s="1025"/>
      <c r="AE56" s="1025"/>
      <c r="AF56" s="1025"/>
      <c r="AG56" s="1025"/>
      <c r="AH56" s="1025"/>
      <c r="AI56" s="1025"/>
      <c r="AJ56" s="217"/>
      <c r="AK56" s="217"/>
      <c r="AL56" s="1181"/>
    </row>
    <row s="1976" customFormat="1" customHeight="1" ht="43.5">
      <c r="A57" s="217"/>
      <c r="B57" s="217"/>
      <c r="C57" s="217"/>
      <c r="D57" s="217"/>
      <c r="E57" s="794">
        <v>45</v>
      </c>
      <c r="F57" s="919" cm="1" t="str">
        <f t="array" ref="F57:F57">OFFSET(G57,-1,-1)</f>
        <v>2</v>
      </c>
      <c r="G57" s="217"/>
      <c r="H57" s="217"/>
      <c r="I57" s="217"/>
      <c r="J57" s="217"/>
      <c r="K57" s="217"/>
      <c r="L57" s="217"/>
      <c r="M57" s="217"/>
      <c r="N57" s="217"/>
      <c r="O57" s="217"/>
      <c r="P57" s="217"/>
      <c r="Q57" s="217"/>
      <c r="R57" s="217"/>
      <c r="S57" s="217"/>
      <c r="T57" s="805" cm="1" t="str">
        <f t="array" ref="T57:T57">T56</f>
        <v>true</v>
      </c>
      <c r="U57" s="217"/>
      <c r="V57" s="217"/>
      <c r="W57" s="217"/>
      <c r="X57" s="217"/>
      <c r="Y57" s="217"/>
      <c r="Z57" s="217"/>
      <c r="AA57" s="217"/>
      <c r="AB57" s="607" t="s">
        <v>1925</v>
      </c>
      <c r="AC57" s="286" t="s">
        <v>1926</v>
      </c>
      <c r="AD57" s="151" t="s">
        <v>1400</v>
      </c>
      <c r="AE57" s="1666"/>
      <c r="AF57" s="1666"/>
      <c r="AG57" s="1960"/>
      <c r="AH57" s="1960"/>
      <c r="AI57" s="1657"/>
      <c r="AJ57" s="217"/>
      <c r="AK57" s="217"/>
      <c r="AL57" s="1181" t="s">
        <v>1927</v>
      </c>
    </row>
    <row s="1977" customFormat="1" customHeight="1" ht="43.5">
      <c r="A58" s="217"/>
      <c r="B58" s="217"/>
      <c r="C58" s="217"/>
      <c r="D58" s="217"/>
      <c r="E58" s="794">
        <v>45</v>
      </c>
      <c r="F58" s="919" cm="1" t="str">
        <f t="array" ref="F58:F58">OFFSET(G58,-1,-1)</f>
        <v>2</v>
      </c>
      <c r="G58" s="217"/>
      <c r="H58" s="217"/>
      <c r="I58" s="217"/>
      <c r="J58" s="217"/>
      <c r="K58" s="217"/>
      <c r="L58" s="217"/>
      <c r="M58" s="217"/>
      <c r="N58" s="217"/>
      <c r="O58" s="217"/>
      <c r="P58" s="217"/>
      <c r="Q58" s="217"/>
      <c r="R58" s="217"/>
      <c r="S58" s="217"/>
      <c r="T58" s="805" cm="1" t="str">
        <f t="array" ref="T58:T58">T57</f>
        <v>true</v>
      </c>
      <c r="U58" s="217"/>
      <c r="V58" s="217"/>
      <c r="W58" s="217"/>
      <c r="X58" s="217"/>
      <c r="Y58" s="217"/>
      <c r="Z58" s="217"/>
      <c r="AA58" s="217"/>
      <c r="AB58" s="607" t="s">
        <v>1928</v>
      </c>
      <c r="AC58" s="286" t="s">
        <v>1929</v>
      </c>
      <c r="AD58" s="151" t="s">
        <v>458</v>
      </c>
      <c r="AE58" s="1666"/>
      <c r="AF58" s="1666"/>
      <c r="AG58" s="1960"/>
      <c r="AH58" s="1960"/>
      <c r="AI58" s="1657"/>
      <c r="AJ58" s="217"/>
      <c r="AK58" s="217"/>
      <c r="AL58" s="1181" t="s">
        <v>1930</v>
      </c>
    </row>
    <row s="1978" customFormat="1" customHeight="1" ht="39">
      <c r="A59" s="217"/>
      <c r="B59" s="217"/>
      <c r="C59" s="217"/>
      <c r="D59" s="217"/>
      <c r="E59" s="794">
        <v>40</v>
      </c>
      <c r="F59" s="919" cm="1" t="str">
        <f t="array" ref="F59:F59">OFFSET(G59,-1,-1)</f>
        <v>2</v>
      </c>
      <c r="G59" s="217"/>
      <c r="H59" s="217"/>
      <c r="I59" s="217"/>
      <c r="J59" s="217"/>
      <c r="K59" s="217"/>
      <c r="L59" s="217"/>
      <c r="M59" s="217"/>
      <c r="N59" s="217"/>
      <c r="O59" s="217"/>
      <c r="P59" s="217"/>
      <c r="Q59" s="217"/>
      <c r="R59" s="217"/>
      <c r="S59" s="217"/>
      <c r="T59" s="805" cm="1" t="str">
        <f t="array" ref="T59:T59">T58</f>
        <v>true</v>
      </c>
      <c r="U59" s="217"/>
      <c r="V59" s="217"/>
      <c r="W59" s="217"/>
      <c r="X59" s="217"/>
      <c r="Y59" s="217"/>
      <c r="Z59" s="217"/>
      <c r="AA59" s="217"/>
      <c r="AB59" s="607" t="s">
        <v>1931</v>
      </c>
      <c r="AC59" s="286" t="s">
        <v>1932</v>
      </c>
      <c r="AD59" s="151" t="s">
        <v>1933</v>
      </c>
      <c r="AE59" s="1666">
        <f>_xlfn.IFERROR(AE57/AE58,0)</f>
        <v>0</v>
      </c>
      <c r="AF59" s="1666">
        <f>_xlfn.IFERROR(AF57/AF58,0)</f>
        <v>0</v>
      </c>
      <c r="AG59" s="1960"/>
      <c r="AH59" s="1960"/>
      <c r="AI59" s="1657"/>
      <c r="AJ59" s="217"/>
      <c r="AK59" s="217"/>
      <c r="AL59" s="1181" t="s">
        <v>1934</v>
      </c>
    </row>
    <row s="1979" customFormat="1" customHeight="1" ht="16.5">
      <c r="A60" s="217"/>
      <c r="B60" s="217"/>
      <c r="C60" s="217"/>
      <c r="D60" s="217"/>
      <c r="E60" s="794">
        <v>17.1</v>
      </c>
      <c r="F60" s="919" cm="1" t="str">
        <f t="array" ref="F60:F60">OFFSET(G60,-1,-1)</f>
        <v>2</v>
      </c>
      <c r="G60" s="217"/>
      <c r="H60" s="217"/>
      <c r="I60" s="217"/>
      <c r="J60" s="217"/>
      <c r="K60" s="217"/>
      <c r="L60" s="217"/>
      <c r="M60" s="217"/>
      <c r="N60" s="217"/>
      <c r="O60" s="217"/>
      <c r="P60" s="217"/>
      <c r="Q60" s="217"/>
      <c r="R60" s="217"/>
      <c r="S60" s="217"/>
      <c r="T60" s="805" cm="1" t="str">
        <f t="array" ref="T60:T60">T59</f>
        <v>true</v>
      </c>
      <c r="U60" s="217"/>
      <c r="V60" s="217"/>
      <c r="W60" s="217"/>
      <c r="X60" s="217"/>
      <c r="Y60" s="217"/>
      <c r="Z60" s="217"/>
      <c r="AA60" s="217"/>
      <c r="AB60" s="607" t="s">
        <v>1935</v>
      </c>
      <c r="AC60" s="286" t="s">
        <v>1936</v>
      </c>
      <c r="AD60" s="151" t="s">
        <v>490</v>
      </c>
      <c r="AE60" s="1964"/>
      <c r="AF60" s="1964"/>
      <c r="AG60" s="1960"/>
      <c r="AH60" s="1960"/>
      <c r="AI60" s="1657"/>
      <c r="AJ60" s="217"/>
      <c r="AK60" s="217"/>
      <c r="AL60" s="1181" t="s">
        <v>1937</v>
      </c>
    </row>
    <row s="1980" customFormat="1" customHeight="1" ht="39">
      <c r="A61" s="217"/>
      <c r="B61" s="217"/>
      <c r="C61" s="217"/>
      <c r="D61" s="217"/>
      <c r="E61" s="794">
        <v>40</v>
      </c>
      <c r="F61" s="919" cm="1" t="str">
        <f t="array" ref="F61:F61">OFFSET(G61,-1,-1)</f>
        <v>2</v>
      </c>
      <c r="G61" s="217"/>
      <c r="H61" s="217"/>
      <c r="I61" s="217"/>
      <c r="J61" s="217"/>
      <c r="K61" s="217"/>
      <c r="L61" s="217"/>
      <c r="M61" s="217"/>
      <c r="N61" s="217"/>
      <c r="O61" s="217"/>
      <c r="P61" s="217"/>
      <c r="Q61" s="217"/>
      <c r="R61" s="217"/>
      <c r="S61" s="217"/>
      <c r="T61" s="805" cm="1" t="str">
        <f t="array" ref="T61:T61">T60</f>
        <v>true</v>
      </c>
      <c r="U61" s="217"/>
      <c r="V61" s="217"/>
      <c r="W61" s="217"/>
      <c r="X61" s="217"/>
      <c r="Y61" s="217"/>
      <c r="Z61" s="217"/>
      <c r="AA61" s="217"/>
      <c r="AB61" s="1028" t="s">
        <v>1938</v>
      </c>
      <c r="AC61" s="1026" t="s">
        <v>1939</v>
      </c>
      <c r="AD61" s="1027" t="s">
        <v>1933</v>
      </c>
      <c r="AE61" s="1670"/>
      <c r="AF61" s="1670"/>
      <c r="AG61" s="1966"/>
      <c r="AH61" s="1966"/>
      <c r="AI61" s="1967"/>
      <c r="AJ61" s="217"/>
      <c r="AK61" s="217"/>
      <c r="AL61" s="1181" t="s">
        <v>1940</v>
      </c>
    </row>
    <row s="1981" customFormat="1" customHeight="1" ht="16.5">
      <c r="A62" s="217"/>
      <c r="B62" s="217"/>
      <c r="C62" s="217"/>
      <c r="D62" s="217"/>
      <c r="E62" s="794">
        <v>17.1</v>
      </c>
      <c r="F62" s="919" cm="1" t="str">
        <f t="array" ref="F62:F62">OFFSET(G62,-1,-1)</f>
        <v>2</v>
      </c>
      <c r="G62" s="217"/>
      <c r="H62" s="217"/>
      <c r="I62" s="217"/>
      <c r="J62" s="217"/>
      <c r="K62" s="217"/>
      <c r="L62" s="217"/>
      <c r="M62" s="217"/>
      <c r="N62" s="217"/>
      <c r="O62" s="217"/>
      <c r="P62" s="217"/>
      <c r="Q62" s="217"/>
      <c r="R62" s="217"/>
      <c r="S62" s="217"/>
      <c r="T62" s="805" cm="1" t="str">
        <f t="array" ref="T62:T62">T61</f>
        <v>true</v>
      </c>
      <c r="U62" s="217"/>
      <c r="V62" s="217"/>
      <c r="W62" s="217"/>
      <c r="X62" s="217"/>
      <c r="Y62" s="217"/>
      <c r="Z62" s="217"/>
      <c r="AA62" s="217"/>
      <c r="AB62" s="151">
        <v>2</v>
      </c>
      <c r="AC62" s="1024" t="s">
        <v>1941</v>
      </c>
      <c r="AD62" s="1025"/>
      <c r="AE62" s="1046"/>
      <c r="AF62" s="1046"/>
      <c r="AG62" s="1025"/>
      <c r="AH62" s="1025"/>
      <c r="AI62" s="1025"/>
      <c r="AJ62" s="217"/>
      <c r="AK62" s="217"/>
      <c r="AL62" s="1181"/>
    </row>
    <row s="1982" customFormat="1" customHeight="1" ht="43.5">
      <c r="A63" s="217"/>
      <c r="B63" s="217"/>
      <c r="C63" s="217"/>
      <c r="D63" s="217"/>
      <c r="E63" s="794">
        <v>45</v>
      </c>
      <c r="F63" s="919" cm="1" t="str">
        <f t="array" ref="F63:F63">OFFSET(G63,-1,-1)</f>
        <v>2</v>
      </c>
      <c r="G63" s="217"/>
      <c r="H63" s="217"/>
      <c r="I63" s="217"/>
      <c r="J63" s="217"/>
      <c r="K63" s="217"/>
      <c r="L63" s="217"/>
      <c r="M63" s="217"/>
      <c r="N63" s="217"/>
      <c r="O63" s="217"/>
      <c r="P63" s="217"/>
      <c r="Q63" s="217"/>
      <c r="R63" s="217"/>
      <c r="S63" s="217"/>
      <c r="T63" s="805" cm="1" t="str">
        <f t="array" ref="T63:T63">T62</f>
        <v>true</v>
      </c>
      <c r="U63" s="217"/>
      <c r="V63" s="217"/>
      <c r="W63" s="217"/>
      <c r="X63" s="217"/>
      <c r="Y63" s="217"/>
      <c r="Z63" s="217"/>
      <c r="AA63" s="217"/>
      <c r="AB63" s="151" t="s">
        <v>1942</v>
      </c>
      <c r="AC63" s="286" t="s">
        <v>1943</v>
      </c>
      <c r="AD63" s="151" t="s">
        <v>1400</v>
      </c>
      <c r="AE63" s="1670"/>
      <c r="AF63" s="1670"/>
      <c r="AG63" s="1966"/>
      <c r="AH63" s="1966"/>
      <c r="AI63" s="1967"/>
      <c r="AJ63" s="217"/>
      <c r="AK63" s="217"/>
      <c r="AL63" s="1181" t="s">
        <v>1944</v>
      </c>
    </row>
    <row s="1983" customFormat="1" customHeight="1" ht="39">
      <c r="A64" s="217"/>
      <c r="B64" s="217"/>
      <c r="C64" s="217"/>
      <c r="D64" s="217"/>
      <c r="E64" s="794">
        <v>40</v>
      </c>
      <c r="F64" s="919" cm="1" t="str">
        <f t="array" ref="F64:F64">OFFSET(G64,-1,-1)</f>
        <v>2</v>
      </c>
      <c r="G64" s="217"/>
      <c r="H64" s="217"/>
      <c r="I64" s="217"/>
      <c r="J64" s="217"/>
      <c r="K64" s="217"/>
      <c r="L64" s="217"/>
      <c r="M64" s="217"/>
      <c r="N64" s="217"/>
      <c r="O64" s="217"/>
      <c r="P64" s="217"/>
      <c r="Q64" s="217"/>
      <c r="R64" s="217"/>
      <c r="S64" s="217"/>
      <c r="T64" s="805" cm="1" t="str">
        <f t="array" ref="T64:T64">T63</f>
        <v>true</v>
      </c>
      <c r="U64" s="217"/>
      <c r="V64" s="217"/>
      <c r="W64" s="217"/>
      <c r="X64" s="217"/>
      <c r="Y64" s="217"/>
      <c r="Z64" s="217"/>
      <c r="AA64" s="217"/>
      <c r="AB64" s="151" t="s">
        <v>1945</v>
      </c>
      <c r="AC64" s="286" t="s">
        <v>1946</v>
      </c>
      <c r="AD64" s="151" t="s">
        <v>1947</v>
      </c>
      <c r="AE64" s="1670"/>
      <c r="AF64" s="1670"/>
      <c r="AG64" s="1966"/>
      <c r="AH64" s="1966"/>
      <c r="AI64" s="1967"/>
      <c r="AJ64" s="217"/>
      <c r="AK64" s="217"/>
      <c r="AL64" s="1181" t="s">
        <v>1948</v>
      </c>
    </row>
    <row s="1984" customFormat="1" customHeight="1" ht="39">
      <c r="A65" s="217"/>
      <c r="B65" s="217"/>
      <c r="C65" s="217"/>
      <c r="D65" s="217"/>
      <c r="E65" s="794">
        <v>40</v>
      </c>
      <c r="F65" s="919" cm="1" t="str">
        <f t="array" ref="F65:F65">OFFSET(G65,-1,-1)</f>
        <v>2</v>
      </c>
      <c r="G65" s="217"/>
      <c r="H65" s="217"/>
      <c r="I65" s="217"/>
      <c r="J65" s="217"/>
      <c r="K65" s="217"/>
      <c r="L65" s="217"/>
      <c r="M65" s="217"/>
      <c r="N65" s="217"/>
      <c r="O65" s="217"/>
      <c r="P65" s="217"/>
      <c r="Q65" s="217"/>
      <c r="R65" s="217"/>
      <c r="S65" s="217"/>
      <c r="T65" s="805" cm="1" t="str">
        <f t="array" ref="T65:T65">T64</f>
        <v>true</v>
      </c>
      <c r="U65" s="217"/>
      <c r="V65" s="217"/>
      <c r="W65" s="217"/>
      <c r="X65" s="217"/>
      <c r="Y65" s="217"/>
      <c r="Z65" s="217"/>
      <c r="AA65" s="217"/>
      <c r="AB65" s="151" t="s">
        <v>1949</v>
      </c>
      <c r="AC65" s="286" t="s">
        <v>1950</v>
      </c>
      <c r="AD65" s="151" t="s">
        <v>895</v>
      </c>
      <c r="AE65" s="1666">
        <f>_xlfn.IFERROR(AE63/AE64,0)</f>
        <v>0</v>
      </c>
      <c r="AF65" s="1666">
        <f>_xlfn.IFERROR(AF63/AF64,0)</f>
        <v>0</v>
      </c>
      <c r="AG65" s="1966"/>
      <c r="AH65" s="1966"/>
      <c r="AI65" s="1967"/>
      <c r="AJ65" s="217"/>
      <c r="AK65" s="217"/>
      <c r="AL65" s="1181" t="s">
        <v>1934</v>
      </c>
    </row>
    <row s="1985" customFormat="1" customHeight="1" ht="16.5">
      <c r="A66" s="217"/>
      <c r="B66" s="217"/>
      <c r="C66" s="217"/>
      <c r="D66" s="217"/>
      <c r="E66" s="794">
        <v>17.1</v>
      </c>
      <c r="F66" s="919" cm="1" t="str">
        <f t="array" ref="F66:F66">OFFSET(G66,-1,-1)</f>
        <v>2</v>
      </c>
      <c r="G66" s="217"/>
      <c r="H66" s="217"/>
      <c r="I66" s="217"/>
      <c r="J66" s="217"/>
      <c r="K66" s="217"/>
      <c r="L66" s="217"/>
      <c r="M66" s="217"/>
      <c r="N66" s="217"/>
      <c r="O66" s="217"/>
      <c r="P66" s="217"/>
      <c r="Q66" s="217"/>
      <c r="R66" s="217"/>
      <c r="S66" s="217"/>
      <c r="T66" s="805" cm="1" t="str">
        <f t="array" ref="T66:T66">T65</f>
        <v>true</v>
      </c>
      <c r="U66" s="217"/>
      <c r="V66" s="217"/>
      <c r="W66" s="217"/>
      <c r="X66" s="217"/>
      <c r="Y66" s="217"/>
      <c r="Z66" s="217"/>
      <c r="AA66" s="217"/>
      <c r="AB66" s="151" t="s">
        <v>1951</v>
      </c>
      <c r="AC66" s="286" t="s">
        <v>1936</v>
      </c>
      <c r="AD66" s="151" t="s">
        <v>490</v>
      </c>
      <c r="AE66" s="1670"/>
      <c r="AF66" s="1670"/>
      <c r="AG66" s="1966"/>
      <c r="AH66" s="1966"/>
      <c r="AI66" s="1967"/>
      <c r="AJ66" s="217"/>
      <c r="AK66" s="217"/>
      <c r="AL66" s="1181" t="s">
        <v>1952</v>
      </c>
    </row>
    <row s="1986" customFormat="1" customHeight="1" ht="39">
      <c r="A67" s="217"/>
      <c r="B67" s="217"/>
      <c r="C67" s="217"/>
      <c r="D67" s="217"/>
      <c r="E67" s="794">
        <v>40</v>
      </c>
      <c r="F67" s="919" cm="1" t="str">
        <f t="array" ref="F67:F67">OFFSET(G67,-1,-1)</f>
        <v>2</v>
      </c>
      <c r="G67" s="217"/>
      <c r="H67" s="217"/>
      <c r="I67" s="217"/>
      <c r="J67" s="217"/>
      <c r="K67" s="217"/>
      <c r="L67" s="217"/>
      <c r="M67" s="217"/>
      <c r="N67" s="217"/>
      <c r="O67" s="217"/>
      <c r="P67" s="217"/>
      <c r="Q67" s="217"/>
      <c r="R67" s="217"/>
      <c r="S67" s="217"/>
      <c r="T67" s="805" cm="1" t="str">
        <f t="array" ref="T67:T67">T66</f>
        <v>true</v>
      </c>
      <c r="U67" s="217"/>
      <c r="V67" s="217"/>
      <c r="W67" s="217"/>
      <c r="X67" s="217"/>
      <c r="Y67" s="217"/>
      <c r="Z67" s="217"/>
      <c r="AA67" s="217"/>
      <c r="AB67" s="151" t="s">
        <v>1953</v>
      </c>
      <c r="AC67" s="286" t="s">
        <v>1954</v>
      </c>
      <c r="AD67" s="607" t="s">
        <v>895</v>
      </c>
      <c r="AE67" s="1666"/>
      <c r="AF67" s="1666"/>
      <c r="AG67" s="1960"/>
      <c r="AH67" s="1960"/>
      <c r="AI67" s="1657"/>
      <c r="AJ67" s="217"/>
      <c r="AK67" s="217"/>
      <c r="AL67" s="1181" t="s">
        <v>1940</v>
      </c>
    </row>
    <row s="1619" customFormat="1" customHeight="1" ht="17.25" hidden="1">
      <c r="A68" s="1183"/>
      <c r="B68" s="924"/>
      <c r="C68" s="225"/>
      <c r="D68" s="225"/>
      <c r="E68" s="794">
        <v>0</v>
      </c>
      <c r="F68" s="919" cm="1" t="str">
        <f t="array" ref="F68:F68">OFFSET(G68,-1,-1)</f>
        <v>2</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225"/>
      <c r="AC68" s="226"/>
      <c r="AD68" s="225"/>
      <c r="AE68" s="227"/>
      <c r="AF68" s="227"/>
      <c r="AG68" s="227"/>
      <c r="AH68" s="227"/>
      <c r="AI68" s="227"/>
      <c r="AJ68" s="227"/>
      <c r="AK68" s="227"/>
      <c r="AL68" s="1232"/>
    </row>
    <row customHeight="1" ht="9.945">
      <c r="E69" s="794">
        <v>10.2</v>
      </c>
      <c r="U69" s="176" t="s">
        <v>235</v>
      </c>
      <c r="V69" s="168" t="s">
        <v>1955</v>
      </c>
    </row>
    <row customHeight="1" ht="11.25" hidden="1">
      <c r="E70" s="794">
        <v>0</v>
      </c>
    </row>
    <row customHeight="1" ht="14.625">
      <c r="E71" s="794">
        <v>15</v>
      </c>
      <c r="AB71" s="1558" t="s">
        <v>700</v>
      </c>
      <c r="AC71" s="1559"/>
      <c r="AD71" s="1559"/>
      <c r="AE71" s="1559"/>
      <c r="AF71" s="1559"/>
      <c r="AG71" s="1559"/>
      <c r="AH71" s="1559"/>
      <c r="AI71" s="1560"/>
    </row>
    <row customHeight="1" ht="14.625">
      <c r="E72" s="794">
        <v>15</v>
      </c>
      <c r="AA72" s="918"/>
      <c r="AB72" s="1561"/>
      <c r="AC72" s="1562"/>
      <c r="AD72" s="1562"/>
      <c r="AE72" s="1562"/>
      <c r="AF72" s="1562"/>
      <c r="AG72" s="1562"/>
      <c r="AH72" s="1562"/>
      <c r="AI72" s="1563"/>
    </row>
    <row customHeight="1" ht="14.625" hidden="1">
      <c r="A73" s="1183"/>
      <c r="B73" s="924"/>
      <c r="C73" s="225"/>
      <c r="D73" s="225"/>
      <c r="E73" s="794">
        <v>15</v>
      </c>
      <c r="F73" s="225"/>
      <c r="G73" s="227"/>
      <c r="H73" s="227"/>
      <c r="I73" s="227"/>
      <c r="J73" s="227"/>
      <c r="K73" s="227"/>
      <c r="L73" s="227"/>
      <c r="M73" s="227"/>
      <c r="N73" s="227"/>
      <c r="O73" s="227"/>
      <c r="P73" s="227"/>
      <c r="Q73" s="190"/>
      <c r="R73" s="190"/>
      <c r="S73" s="227"/>
      <c r="T73" s="805">
        <f>ROW(W73)&gt;ROW(W$73)</f>
        <v>0</v>
      </c>
      <c r="U73" s="1461"/>
      <c r="V73" s="1461"/>
      <c r="W73" s="172" t="s">
        <v>233</v>
      </c>
      <c r="X73" s="1461"/>
      <c r="Y73" s="1461"/>
      <c r="Z73" s="1461"/>
      <c r="AA73" s="914" t="s">
        <v>217</v>
      </c>
      <c r="AB73" s="1987"/>
      <c r="AC73" s="1988"/>
      <c r="AD73" s="1988"/>
      <c r="AE73" s="1988"/>
      <c r="AF73" s="1988"/>
      <c r="AG73" s="1988"/>
      <c r="AH73" s="1988"/>
      <c r="AI73" s="1989"/>
      <c r="AJ73" s="227"/>
      <c r="AK73" s="227"/>
      <c r="AL73" s="1232"/>
    </row>
    <row customHeight="1" ht="14.625">
      <c r="E74" s="794">
        <v>15</v>
      </c>
      <c r="W74" s="168" t="s">
        <v>1956</v>
      </c>
      <c r="AA74" s="210"/>
      <c r="AB74" s="1475" t="s">
        <v>701</v>
      </c>
      <c r="AC74" s="1476"/>
      <c r="AD74" s="984"/>
      <c r="AE74" s="380"/>
      <c r="AF74" s="380"/>
      <c r="AG74" s="380"/>
      <c r="AH74" s="380"/>
      <c r="AI74" s="347"/>
    </row>
    <row customHeight="1" ht="11.25">
      <c r="AJ75" s="227"/>
    </row>
  </sheetData>
  <sheetProtection formatColumns="0" formatRows="0" insertRows="0" deleteColumns="0" deleteRows="0" sort="0" autoFilter="0" insertColumns="1"/>
  <mergeCells count="17">
    <mergeCell ref="AB74:AC74"/>
    <mergeCell ref="X27:X40"/>
    <mergeCell ref="Z27:Z40"/>
    <mergeCell ref="AB71:AI71"/>
    <mergeCell ref="AB72:AI72"/>
    <mergeCell ref="AB73:AI73"/>
    <mergeCell ref="AB22:AI22"/>
    <mergeCell ref="AH24:AH25"/>
    <mergeCell ref="AI24:AI25"/>
    <mergeCell ref="AB24:AB25"/>
    <mergeCell ref="AC24:AC25"/>
    <mergeCell ref="AD24:AD25"/>
    <mergeCell ref="AG24:AG25"/>
    <mergeCell ref="X41:X54"/>
    <mergeCell ref="Z41:Z54"/>
    <mergeCell ref="X55:X68"/>
    <mergeCell ref="Z55:Z6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66FC7-DB8C-9988-8D18-580C6C047B2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15995F-AEF9-E9F8-9AA8-B2CFE11F875F}" mc:Ignorable="x14ac xr xr2 xr3">
  <sheetPr>
    <tabColor rgb="FF002060"/>
    <outlinePr summaryRight="0" summaryBelow="0"/>
    <pageSetUpPr fitToPage="1"/>
  </sheetPr>
  <dimension ref="A1:AP105"/>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376</v>
      </c>
      <c r="Z1" s="805" t="s">
        <v>93</v>
      </c>
      <c r="AA1" s="816" t="s">
        <v>90</v>
      </c>
      <c r="AB1" s="816" t="s">
        <v>92</v>
      </c>
      <c r="AC1" s="816" t="s">
        <v>92</v>
      </c>
      <c r="AL1" s="1232" t="s">
        <v>377</v>
      </c>
      <c r="AM1" s="1232" t="s">
        <v>378</v>
      </c>
      <c r="AN1" s="1232" t="s">
        <v>379</v>
      </c>
      <c r="AO1" s="1233" t="s">
        <v>382</v>
      </c>
      <c r="AP1" s="1233" t="s">
        <v>383</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430</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431</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432</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1957</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379</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390</v>
      </c>
      <c r="AC24" s="1544" t="s">
        <v>433</v>
      </c>
      <c r="AD24" s="1544" t="s">
        <v>434</v>
      </c>
      <c r="AE24" s="1361" t="str">
        <f>god&amp;" год"</f>
        <v>2026 год</v>
      </c>
      <c r="AF24" s="154" t="str">
        <f>god&amp;" год"</f>
        <v>2026 год</v>
      </c>
      <c r="AG24" s="1543" t="s">
        <v>1288</v>
      </c>
      <c r="AH24" s="1543" t="s">
        <v>587</v>
      </c>
      <c r="AI24" s="1543" t="s">
        <v>1289</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408</v>
      </c>
      <c r="AF25" s="154" t="s">
        <v>1552</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K27" s="210" cm="1" t="str">
        <f t="array" ref="K27:K27">INDEX('Общие сведения'!$AL$169:$AL$218,MATCH($F27,'Общие сведения'!$Z$169:$Z$218,0))</f>
        <v>0</v>
      </c>
      <c r="T27" s="805">
        <f>AND(F27&gt;0,OR(ISBLANK(Y27),Y27&gt;0))</f>
        <v>0</v>
      </c>
      <c r="V27" s="172" t="s">
        <v>309</v>
      </c>
      <c r="X27" s="1554">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1958</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442</v>
      </c>
      <c r="AC29" s="286" t="s">
        <v>1959</v>
      </c>
      <c r="AD29" s="151" t="s">
        <v>1400</v>
      </c>
      <c r="AE29" s="61"/>
      <c r="AF29" s="61"/>
      <c r="AG29" s="137"/>
      <c r="AH29" s="137"/>
      <c r="AI29" s="59"/>
      <c r="AL29" s="1181" t="s">
        <v>1960</v>
      </c>
      <c r="AM29" s="1181"/>
      <c r="AN29" s="1181"/>
      <c r="AO29" s="1184"/>
      <c r="AP29" s="1184"/>
    </row>
    <row s="217" customFormat="1" customHeight="1" ht="39" hidden="1">
      <c r="E30" s="794">
        <v>40</v>
      </c>
      <c r="F30" s="919" cm="1" t="str">
        <f t="array" ref="F30:F30">OFFSET(G30,-1,-1)</f>
        <v>0</v>
      </c>
      <c r="T30" s="805">
        <f>AND(F30&gt;0,OR(ISBLANK(Y30),Y30&gt;0))</f>
        <v>0</v>
      </c>
      <c r="AB30" s="575" t="s">
        <v>931</v>
      </c>
      <c r="AC30" s="286" t="s">
        <v>1961</v>
      </c>
      <c r="AD30" s="151" t="s">
        <v>458</v>
      </c>
      <c r="AE30" s="61"/>
      <c r="AF30" s="61"/>
      <c r="AG30" s="137"/>
      <c r="AH30" s="137"/>
      <c r="AI30" s="59"/>
      <c r="AL30" s="1181" t="s">
        <v>1962</v>
      </c>
      <c r="AM30" s="1181"/>
      <c r="AN30" s="1181"/>
      <c r="AO30" s="1184"/>
      <c r="AP30" s="1184"/>
    </row>
    <row s="217" customFormat="1" customHeight="1" ht="34.125" hidden="1">
      <c r="E31" s="794">
        <v>35</v>
      </c>
      <c r="F31" s="919" cm="1" t="str">
        <f t="array" ref="F31:F31">OFFSET(G31,-1,-1)</f>
        <v>0</v>
      </c>
      <c r="T31" s="805">
        <f>AND(F31&gt;0,OR(ISBLANK(Y31),Y31&gt;0))</f>
        <v>0</v>
      </c>
      <c r="AB31" s="575" t="s">
        <v>933</v>
      </c>
      <c r="AC31" s="286" t="s">
        <v>1963</v>
      </c>
      <c r="AD31" s="151" t="s">
        <v>1933</v>
      </c>
      <c r="AE31" s="61">
        <f>_xlfn.IFERROR(AE29/AE30,0)</f>
        <v>0</v>
      </c>
      <c r="AF31" s="61">
        <f>_xlfn.IFERROR(AF29/AF30,0)</f>
        <v>0</v>
      </c>
      <c r="AG31" s="137"/>
      <c r="AH31" s="137"/>
      <c r="AI31" s="59"/>
      <c r="AL31" s="1181" t="s">
        <v>1964</v>
      </c>
      <c r="AM31" s="1181"/>
      <c r="AN31" s="1181"/>
      <c r="AO31" s="1184"/>
      <c r="AP31" s="1184"/>
    </row>
    <row s="217" customFormat="1" customHeight="1" ht="34.125" hidden="1">
      <c r="E32" s="794">
        <v>35</v>
      </c>
      <c r="F32" s="919" cm="1" t="str">
        <f t="array" ref="F32:F32">OFFSET(G32,-1,-1)</f>
        <v>0</v>
      </c>
      <c r="T32" s="805">
        <f>AND(F32&gt;0,OR(ISBLANK(Y32),Y32&gt;0))</f>
        <v>0</v>
      </c>
      <c r="AB32" s="575" t="s">
        <v>937</v>
      </c>
      <c r="AC32" s="286" t="s">
        <v>1965</v>
      </c>
      <c r="AD32" s="151"/>
      <c r="AE32" s="138"/>
      <c r="AF32" s="138"/>
      <c r="AG32" s="137"/>
      <c r="AH32" s="137"/>
      <c r="AI32" s="59"/>
      <c r="AL32" s="1181" t="s">
        <v>1966</v>
      </c>
      <c r="AM32" s="1181"/>
      <c r="AN32" s="1181"/>
      <c r="AO32" s="1184"/>
      <c r="AP32" s="1184"/>
    </row>
    <row s="217" customFormat="1" customHeight="1" ht="34.125" hidden="1">
      <c r="E33" s="794">
        <v>35</v>
      </c>
      <c r="F33" s="919" cm="1" t="str">
        <f t="array" ref="F33:F33">OFFSET(G33,-1,-1)</f>
        <v>0</v>
      </c>
      <c r="T33" s="805">
        <f>AND(F33&gt;0,OR(ISBLANK(Y33),Y33&gt;0))</f>
        <v>0</v>
      </c>
      <c r="AB33" s="575" t="s">
        <v>1042</v>
      </c>
      <c r="AC33" s="1026" t="s">
        <v>1967</v>
      </c>
      <c r="AD33" s="1027" t="s">
        <v>1933</v>
      </c>
      <c r="AE33" s="62">
        <f>AE31*AE32</f>
        <v>0</v>
      </c>
      <c r="AF33" s="62">
        <f>AF31*AF32</f>
        <v>0</v>
      </c>
      <c r="AG33" s="139"/>
      <c r="AH33" s="139"/>
      <c r="AI33" s="140"/>
      <c r="AL33" s="1181" t="s">
        <v>1968</v>
      </c>
      <c r="AM33" s="1181"/>
      <c r="AN33" s="1181"/>
      <c r="AO33" s="1184"/>
      <c r="AP33" s="1184"/>
    </row>
    <row s="217" customFormat="1" customHeight="1" ht="16.672500000000003" hidden="1">
      <c r="E34" s="794">
        <v>17.1</v>
      </c>
      <c r="F34" s="919" cm="1" t="str">
        <f t="array" ref="F34:F34">OFFSET(G34,-1,-1)</f>
        <v>0</v>
      </c>
      <c r="T34" s="805">
        <f>AND(F34&gt;0,OR(ISBLANK(Y34),Y34&gt;0))</f>
        <v>0</v>
      </c>
      <c r="AB34" s="575" t="s">
        <v>1045</v>
      </c>
      <c r="AC34" s="1026" t="s">
        <v>1969</v>
      </c>
      <c r="AD34" s="1027" t="s">
        <v>490</v>
      </c>
      <c r="AE34" s="62"/>
      <c r="AF34" s="62"/>
      <c r="AG34" s="139"/>
      <c r="AH34" s="139"/>
      <c r="AI34" s="140"/>
      <c r="AL34" s="1181" t="s">
        <v>1970</v>
      </c>
      <c r="AM34" s="1181"/>
      <c r="AN34" s="1181"/>
      <c r="AO34" s="1184"/>
      <c r="AP34" s="1184"/>
    </row>
    <row s="217" customFormat="1" customHeight="1" ht="39" hidden="1">
      <c r="E35" s="794">
        <v>40</v>
      </c>
      <c r="F35" s="919" cm="1" t="str">
        <f t="array" ref="F35:F35">OFFSET(G35,-1,-1)</f>
        <v>0</v>
      </c>
      <c r="T35" s="805">
        <f>AND(F35&gt;0,OR(ISBLANK(Y35),Y35&gt;0))</f>
        <v>0</v>
      </c>
      <c r="AB35" s="575" t="s">
        <v>1048</v>
      </c>
      <c r="AC35" s="1026" t="s">
        <v>1971</v>
      </c>
      <c r="AD35" s="1027" t="s">
        <v>458</v>
      </c>
      <c r="AE35" s="62"/>
      <c r="AF35" s="62"/>
      <c r="AG35" s="139"/>
      <c r="AH35" s="139"/>
      <c r="AI35" s="140"/>
      <c r="AL35" s="1181" t="s">
        <v>1972</v>
      </c>
      <c r="AM35" s="1181"/>
      <c r="AN35" s="1181"/>
      <c r="AO35" s="1184"/>
      <c r="AP35" s="1184"/>
    </row>
    <row s="217" customFormat="1" customHeight="1" ht="16.672500000000003" hidden="1">
      <c r="E36" s="794">
        <v>17.1</v>
      </c>
      <c r="F36" s="919" cm="1" t="str">
        <f t="array" ref="F36:F36">OFFSET(G36,-1,-1)</f>
        <v>0</v>
      </c>
      <c r="T36" s="805">
        <f>AND(F36&gt;0,OR(ISBLANK(Y36),Y36&gt;0))</f>
        <v>0</v>
      </c>
      <c r="AB36" s="575" t="s">
        <v>1051</v>
      </c>
      <c r="AC36" s="1026" t="s">
        <v>1973</v>
      </c>
      <c r="AD36" s="1027" t="s">
        <v>1400</v>
      </c>
      <c r="AE36" s="62">
        <f>AE33*AE35*(1+AE34)</f>
        <v>0</v>
      </c>
      <c r="AF36" s="62">
        <f>AF33*AF35*(1+AF34)</f>
        <v>0</v>
      </c>
      <c r="AG36" s="139"/>
      <c r="AH36" s="139"/>
      <c r="AI36" s="140"/>
      <c r="AL36" s="1181" t="s">
        <v>1407</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1974</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448</v>
      </c>
      <c r="AC38" s="1033" t="s">
        <v>1975</v>
      </c>
      <c r="AD38" s="151" t="s">
        <v>1400</v>
      </c>
      <c r="AE38" s="98">
        <f>SUM(AE39:AE40)</f>
        <v>0</v>
      </c>
      <c r="AF38" s="98">
        <f>SUM(AF39:AF40)</f>
        <v>0</v>
      </c>
      <c r="AG38" s="139"/>
      <c r="AH38" s="139"/>
      <c r="AI38" s="140"/>
      <c r="AL38" s="1181" t="s">
        <v>1976</v>
      </c>
      <c r="AM38" s="1181"/>
      <c r="AN38" s="1181"/>
      <c r="AO38" s="1184"/>
      <c r="AP38" s="1184"/>
    </row>
    <row s="217" customFormat="1" customHeight="1" ht="16.575" hidden="1">
      <c r="E39" s="794">
        <v>17</v>
      </c>
      <c r="F39" s="919" cm="1" t="str">
        <f t="array" ref="F39:F39">OFFSET(G39,-1,-1)</f>
        <v>0</v>
      </c>
      <c r="T39" s="805">
        <f>AND(F39&gt;0,OR(ISBLANK(Y39),Y39&gt;0))</f>
        <v>0</v>
      </c>
      <c r="W39" s="172" t="s">
        <v>233</v>
      </c>
      <c r="Y39" s="172">
        <v>0</v>
      </c>
      <c r="AA39" s="914" t="s">
        <v>217</v>
      </c>
      <c r="AB39" s="285" t="str">
        <f>"2.1."&amp;Y39</f>
        <v>2.1.0</v>
      </c>
      <c r="AC39" s="141"/>
      <c r="AD39" s="151" t="s">
        <v>1400</v>
      </c>
      <c r="AE39" s="98"/>
      <c r="AF39" s="98"/>
      <c r="AG39" s="139"/>
      <c r="AH39" s="139"/>
      <c r="AI39" s="140"/>
      <c r="AL39" s="1181" t="s">
        <v>1976</v>
      </c>
      <c r="AM39" s="1181" t="s">
        <v>1977</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947</v>
      </c>
      <c r="AB40" s="299"/>
      <c r="AC40" s="732" t="s">
        <v>235</v>
      </c>
      <c r="AD40" s="300"/>
      <c r="AE40" s="300"/>
      <c r="AF40" s="300"/>
      <c r="AG40" s="300"/>
      <c r="AH40" s="300"/>
      <c r="AI40" s="300"/>
      <c r="AL40" s="1181" t="str">
        <f>IF(AND(ISNUMBER(VALUE(TRIM(SUBSTITUTE(AB40,".","")))),TRIM(SUBSTITUTE(AB40,".",""))&lt;&gt;""),"P"&amp;SUBSTITUTE(AB40,".",""),"")</f>
        <v/>
      </c>
      <c r="AM40" s="1181"/>
      <c r="AN40" s="1181"/>
      <c r="AO40" s="1184" t="s">
        <v>1977</v>
      </c>
      <c r="AP40" s="1184"/>
    </row>
    <row s="217" customFormat="1" customHeight="1" ht="39" hidden="1">
      <c r="E41" s="794">
        <v>40</v>
      </c>
      <c r="F41" s="919" cm="1" t="str">
        <f t="array" ref="F41:F41">OFFSET(G41,-1,-1)</f>
        <v>0</v>
      </c>
      <c r="T41" s="805">
        <f>AND(F41&gt;0,OR(ISBLANK(Y41),Y41&gt;0))</f>
        <v>0</v>
      </c>
      <c r="AB41" s="285" t="s">
        <v>475</v>
      </c>
      <c r="AC41" s="1033" t="s">
        <v>1978</v>
      </c>
      <c r="AD41" s="151" t="s">
        <v>1947</v>
      </c>
      <c r="AE41" s="98">
        <f>SUM(AE42:AE43)</f>
        <v>0</v>
      </c>
      <c r="AF41" s="98">
        <f>SUM(AF42:AF43)</f>
        <v>0</v>
      </c>
      <c r="AG41" s="139"/>
      <c r="AH41" s="139"/>
      <c r="AI41" s="140"/>
      <c r="AL41" s="1181" t="s">
        <v>1948</v>
      </c>
      <c r="AM41" s="1181"/>
      <c r="AN41" s="1181"/>
      <c r="AO41" s="1184"/>
      <c r="AP41" s="1184"/>
    </row>
    <row s="217" customFormat="1" customHeight="1" ht="16.672500000000003" hidden="1">
      <c r="E42" s="794">
        <v>17.1</v>
      </c>
      <c r="F42" s="919" cm="1" t="str">
        <f t="array" ref="F42:F42">OFFSET(G42,-1,-1)</f>
        <v>0</v>
      </c>
      <c r="T42" s="805">
        <f>AND(F42&gt;0,OR(ISBLANK(Y42),Y42&gt;0))</f>
        <v>0</v>
      </c>
      <c r="W42" s="172" t="s">
        <v>233</v>
      </c>
      <c r="Y42" s="172">
        <v>0</v>
      </c>
      <c r="AA42" s="914" t="s">
        <v>217</v>
      </c>
      <c r="AB42" s="285" t="str">
        <f>"2.2."&amp;Y42</f>
        <v>2.2.0</v>
      </c>
      <c r="AC42" s="141"/>
      <c r="AD42" s="151" t="s">
        <v>1947</v>
      </c>
      <c r="AE42" s="98"/>
      <c r="AF42" s="98"/>
      <c r="AG42" s="139"/>
      <c r="AH42" s="139"/>
      <c r="AI42" s="140"/>
      <c r="AL42" s="1181" t="s">
        <v>1948</v>
      </c>
      <c r="AM42" s="1181" t="s">
        <v>1979</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958</v>
      </c>
      <c r="AB43" s="299"/>
      <c r="AC43" s="732" t="s">
        <v>235</v>
      </c>
      <c r="AD43" s="300"/>
      <c r="AE43" s="300"/>
      <c r="AF43" s="300"/>
      <c r="AG43" s="300"/>
      <c r="AH43" s="300"/>
      <c r="AI43" s="300"/>
      <c r="AL43" s="1181" t="str">
        <f>IF(AND(ISNUMBER(VALUE(TRIM(SUBSTITUTE(AB43,".","")))),TRIM(SUBSTITUTE(AB43,".",""))&lt;&gt;""),"P"&amp;SUBSTITUTE(AB43,".",""),"")</f>
        <v/>
      </c>
      <c r="AM43" s="1181"/>
      <c r="AN43" s="1181"/>
      <c r="AO43" s="1184" t="s">
        <v>1979</v>
      </c>
      <c r="AP43" s="1184"/>
    </row>
    <row s="217" customFormat="1" customHeight="1" ht="34.125" hidden="1">
      <c r="E44" s="794">
        <v>35</v>
      </c>
      <c r="F44" s="919" cm="1" t="str">
        <f t="array" ref="F44:F44">OFFSET(G44,-1,-1)</f>
        <v>0</v>
      </c>
      <c r="T44" s="805">
        <f>AND(F44&gt;0,OR(ISBLANK(Y44),Y44&gt;0))</f>
        <v>0</v>
      </c>
      <c r="AB44" s="1119" t="s">
        <v>479</v>
      </c>
      <c r="AC44" s="1034" t="s">
        <v>1980</v>
      </c>
      <c r="AD44" s="1028" t="s">
        <v>1400</v>
      </c>
      <c r="AE44" s="61"/>
      <c r="AF44" s="61"/>
      <c r="AG44" s="137"/>
      <c r="AH44" s="137"/>
      <c r="AI44" s="59"/>
      <c r="AL44" s="1181" t="s">
        <v>1981</v>
      </c>
      <c r="AM44" s="1181"/>
      <c r="AN44" s="1181"/>
      <c r="AO44" s="1184"/>
      <c r="AP44" s="1184"/>
    </row>
    <row s="217" customFormat="1" customHeight="1" ht="39" hidden="1">
      <c r="E45" s="794">
        <v>40</v>
      </c>
      <c r="F45" s="919" cm="1" t="str">
        <f t="array" ref="F45:F45">OFFSET(G45,-1,-1)</f>
        <v>0</v>
      </c>
      <c r="T45" s="805">
        <f>AND(F45&gt;0,OR(ISBLANK(Y45),Y45&gt;0))</f>
        <v>0</v>
      </c>
      <c r="AB45" s="285" t="s">
        <v>483</v>
      </c>
      <c r="AC45" s="286" t="s">
        <v>1982</v>
      </c>
      <c r="AD45" s="151"/>
      <c r="AE45" s="64"/>
      <c r="AF45" s="61"/>
      <c r="AG45" s="137"/>
      <c r="AH45" s="137"/>
      <c r="AI45" s="59"/>
      <c r="AL45" s="1181" t="s">
        <v>1983</v>
      </c>
      <c r="AM45" s="1181"/>
      <c r="AN45" s="1181"/>
      <c r="AO45" s="1184"/>
      <c r="AP45" s="1184"/>
    </row>
    <row s="217" customFormat="1" customHeight="1" ht="34.125" hidden="1">
      <c r="E46" s="794">
        <v>35</v>
      </c>
      <c r="F46" s="919" cm="1" t="str">
        <f t="array" ref="F46:F46">OFFSET(G46,-1,-1)</f>
        <v>0</v>
      </c>
      <c r="T46" s="805">
        <f>AND(F46&gt;0,OR(ISBLANK(Y46),Y46&gt;0))</f>
        <v>0</v>
      </c>
      <c r="AB46" s="285" t="s">
        <v>1559</v>
      </c>
      <c r="AC46" s="286" t="s">
        <v>1984</v>
      </c>
      <c r="AD46" s="151" t="s">
        <v>895</v>
      </c>
      <c r="AE46" s="64">
        <f>_xlfn.IFERROR(AE38/AE41*AE45,0)</f>
        <v>0</v>
      </c>
      <c r="AF46" s="64">
        <f>_xlfn.IFERROR(AF38/AF41*AF45,0)</f>
        <v>0</v>
      </c>
      <c r="AG46" s="137"/>
      <c r="AH46" s="137"/>
      <c r="AI46" s="59"/>
      <c r="AL46" s="1181" t="s">
        <v>1985</v>
      </c>
      <c r="AM46" s="1181"/>
      <c r="AN46" s="1181"/>
      <c r="AO46" s="1184"/>
      <c r="AP46" s="1184"/>
    </row>
    <row s="217" customFormat="1" customHeight="1" ht="16.575" hidden="1">
      <c r="E47" s="794">
        <v>17</v>
      </c>
      <c r="F47" s="919" cm="1" t="str">
        <f t="array" ref="F47:F47">OFFSET(G47,-1,-1)</f>
        <v>0</v>
      </c>
      <c r="T47" s="805">
        <f>AND(F47&gt;0,OR(ISBLANK(Y47),Y47&gt;0))</f>
        <v>0</v>
      </c>
      <c r="AB47" s="285" t="s">
        <v>1986</v>
      </c>
      <c r="AC47" s="286" t="s">
        <v>1969</v>
      </c>
      <c r="AD47" s="151" t="s">
        <v>490</v>
      </c>
      <c r="AE47" s="64"/>
      <c r="AF47" s="61"/>
      <c r="AG47" s="137"/>
      <c r="AH47" s="137"/>
      <c r="AI47" s="59"/>
      <c r="AL47" s="1181" t="s">
        <v>1987</v>
      </c>
      <c r="AM47" s="1181"/>
      <c r="AN47" s="1181"/>
      <c r="AO47" s="1184"/>
      <c r="AP47" s="1184"/>
    </row>
    <row s="217" customFormat="1" customHeight="1" ht="34.125" hidden="1">
      <c r="E48" s="794">
        <v>35</v>
      </c>
      <c r="F48" s="919" cm="1" t="str">
        <f t="array" ref="F48:F48">OFFSET(G48,-1,-1)</f>
        <v>0</v>
      </c>
      <c r="T48" s="805">
        <f>AND(F48&gt;0,OR(ISBLANK(Y48),Y48&gt;0))</f>
        <v>0</v>
      </c>
      <c r="AB48" s="285" t="s">
        <v>1988</v>
      </c>
      <c r="AC48" s="286" t="s">
        <v>1989</v>
      </c>
      <c r="AD48" s="151" t="s">
        <v>1947</v>
      </c>
      <c r="AE48" s="142"/>
      <c r="AF48" s="62"/>
      <c r="AG48" s="137"/>
      <c r="AH48" s="137"/>
      <c r="AI48" s="59"/>
      <c r="AL48" s="1181" t="s">
        <v>1990</v>
      </c>
      <c r="AM48" s="1181"/>
      <c r="AN48" s="1181"/>
      <c r="AO48" s="1184"/>
      <c r="AP48" s="1184"/>
    </row>
    <row s="217" customFormat="1" customHeight="1" ht="16.575" hidden="1">
      <c r="E49" s="794">
        <v>17</v>
      </c>
      <c r="F49" s="919" cm="1" t="str">
        <f t="array" ref="F49:F49">OFFSET(G49,-1,-1)</f>
        <v>0</v>
      </c>
      <c r="T49" s="805">
        <f>AND(F49&gt;0,OR(ISBLANK(Y49),Y49&gt;0))</f>
        <v>0</v>
      </c>
      <c r="AB49" s="285" t="s">
        <v>1991</v>
      </c>
      <c r="AC49" s="286" t="s">
        <v>1992</v>
      </c>
      <c r="AD49" s="151" t="s">
        <v>1400</v>
      </c>
      <c r="AE49" s="61">
        <f>AE46*AE48*(1+AE47)</f>
        <v>0</v>
      </c>
      <c r="AF49" s="61">
        <f>AF46*AF48*(1+AF47)</f>
        <v>0</v>
      </c>
      <c r="AG49" s="137"/>
      <c r="AH49" s="137"/>
      <c r="AI49" s="59"/>
      <c r="AL49" s="1181" t="s">
        <v>1993</v>
      </c>
      <c r="AM49" s="1181"/>
      <c r="AN49" s="1181"/>
      <c r="AO49" s="1184"/>
      <c r="AP49" s="1184"/>
    </row>
    <row customHeight="1" ht="17.25" hidden="1">
      <c r="E50" s="794">
        <v>0</v>
      </c>
      <c r="F50" s="919" cm="1" t="str">
        <f t="array" ref="F50:F50">OFFSET(G50,-1,-1)</f>
        <v>0</v>
      </c>
      <c r="T50" s="805">
        <f>AND(F50&gt;0,OR(ISBLANK(Y50),Y50&gt;0))</f>
        <v>0</v>
      </c>
    </row>
    <row s="1990" customFormat="1" customHeight="1" ht="16.5">
      <c r="A51" s="217"/>
      <c r="B51" s="217"/>
      <c r="C51" s="217"/>
      <c r="D51" s="217"/>
      <c r="E51" s="794">
        <v>17.1</v>
      </c>
      <c r="F51" s="919" cm="1" t="str">
        <f t="array" ref="F51:F51">X51</f>
        <v>1</v>
      </c>
      <c r="G51" s="736" cm="1" t="str">
        <f t="array" ref="G51:G51">INDEX('Общие сведения'!$AK$169:$AK$218,MATCH($F51,'Общие сведения'!$Z$169:$Z$218,0))</f>
        <v>одноставочный</v>
      </c>
      <c r="H51" s="217"/>
      <c r="I51" s="210" cm="1" t="str">
        <f t="array" ref="I51:I51">INDEX('Общие сведения'!$AE$169:$AE$218,MATCH($F51,'Общие сведения'!$Z$169:$Z$218,0))</f>
        <v>Теплоснабжение</v>
      </c>
      <c r="J51" s="217"/>
      <c r="K51" s="210" cm="1" t="str">
        <f t="array" ref="K51:K51">INDEX('Общие сведения'!$AL$169:$AL$218,MATCH($F51,'Общие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W51" s="217"/>
      <c r="X51" s="1554" t="s">
        <v>335</v>
      </c>
      <c r="Y51" s="217"/>
      <c r="Z51" s="217"/>
      <c r="AA51" s="217"/>
      <c r="AB51" s="327"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(Тариф: Носитель - горячая вода (Т); Носитель - горячая вода (Т))</v>
      </c>
      <c r="AC51" s="328"/>
      <c r="AD51" s="328"/>
      <c r="AE51" s="328"/>
      <c r="AF51" s="328"/>
      <c r="AG51" s="328"/>
      <c r="AH51" s="328"/>
      <c r="AI51" s="328"/>
      <c r="AJ51" s="217"/>
      <c r="AK51" s="217"/>
      <c r="AL51" s="1181"/>
      <c r="AM51" s="1181"/>
      <c r="AN51" s="1181"/>
      <c r="AO51" s="1184"/>
      <c r="AP51" s="1184"/>
    </row>
    <row s="1991"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1958</v>
      </c>
      <c r="AD52" s="1025"/>
      <c r="AE52" s="1025"/>
      <c r="AF52" s="1025"/>
      <c r="AG52" s="1025"/>
      <c r="AH52" s="1025"/>
      <c r="AI52" s="1025"/>
      <c r="AJ52" s="217"/>
      <c r="AK52" s="217"/>
      <c r="AL52" s="1181"/>
      <c r="AM52" s="1181"/>
      <c r="AN52" s="1181"/>
      <c r="AO52" s="1184"/>
      <c r="AP52" s="1184"/>
    </row>
    <row s="1992"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442</v>
      </c>
      <c r="AC53" s="286" t="s">
        <v>1959</v>
      </c>
      <c r="AD53" s="151" t="s">
        <v>1400</v>
      </c>
      <c r="AE53" s="1666"/>
      <c r="AF53" s="1666"/>
      <c r="AG53" s="1960"/>
      <c r="AH53" s="1960"/>
      <c r="AI53" s="1657"/>
      <c r="AJ53" s="217"/>
      <c r="AK53" s="217"/>
      <c r="AL53" s="1181" t="s">
        <v>1960</v>
      </c>
      <c r="AM53" s="1181"/>
      <c r="AN53" s="1181"/>
      <c r="AO53" s="1184"/>
      <c r="AP53" s="1184"/>
    </row>
    <row s="1993"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931</v>
      </c>
      <c r="AC54" s="286" t="s">
        <v>1961</v>
      </c>
      <c r="AD54" s="151" t="s">
        <v>458</v>
      </c>
      <c r="AE54" s="1666"/>
      <c r="AF54" s="1666"/>
      <c r="AG54" s="1960"/>
      <c r="AH54" s="1960"/>
      <c r="AI54" s="1657"/>
      <c r="AJ54" s="217"/>
      <c r="AK54" s="217"/>
      <c r="AL54" s="1181" t="s">
        <v>1962</v>
      </c>
      <c r="AM54" s="1181"/>
      <c r="AN54" s="1181"/>
      <c r="AO54" s="1184"/>
      <c r="AP54" s="1184"/>
    </row>
    <row s="1994"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933</v>
      </c>
      <c r="AC55" s="286" t="s">
        <v>1963</v>
      </c>
      <c r="AD55" s="151" t="s">
        <v>1933</v>
      </c>
      <c r="AE55" s="1666">
        <f>_xlfn.IFERROR(AE53/AE54,0)</f>
        <v>0</v>
      </c>
      <c r="AF55" s="1666">
        <f>_xlfn.IFERROR(AF53/AF54,0)</f>
        <v>0</v>
      </c>
      <c r="AG55" s="1960"/>
      <c r="AH55" s="1960"/>
      <c r="AI55" s="1657"/>
      <c r="AJ55" s="217"/>
      <c r="AK55" s="217"/>
      <c r="AL55" s="1181" t="s">
        <v>1964</v>
      </c>
      <c r="AM55" s="1181"/>
      <c r="AN55" s="1181"/>
      <c r="AO55" s="1184"/>
      <c r="AP55" s="1184"/>
    </row>
    <row s="1995"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937</v>
      </c>
      <c r="AC56" s="286" t="s">
        <v>1965</v>
      </c>
      <c r="AD56" s="151"/>
      <c r="AE56" s="1964"/>
      <c r="AF56" s="1964"/>
      <c r="AG56" s="1960"/>
      <c r="AH56" s="1960"/>
      <c r="AI56" s="1657"/>
      <c r="AJ56" s="217"/>
      <c r="AK56" s="217"/>
      <c r="AL56" s="1181" t="s">
        <v>1966</v>
      </c>
      <c r="AM56" s="1181"/>
      <c r="AN56" s="1181"/>
      <c r="AO56" s="1184"/>
      <c r="AP56" s="1184"/>
    </row>
    <row s="1996"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1042</v>
      </c>
      <c r="AC57" s="1026" t="s">
        <v>1967</v>
      </c>
      <c r="AD57" s="1027" t="s">
        <v>1933</v>
      </c>
      <c r="AE57" s="1670">
        <f>AE55*AE56</f>
        <v>0</v>
      </c>
      <c r="AF57" s="1670">
        <f>AF55*AF56</f>
        <v>0</v>
      </c>
      <c r="AG57" s="1966"/>
      <c r="AH57" s="1966"/>
      <c r="AI57" s="1967"/>
      <c r="AJ57" s="217"/>
      <c r="AK57" s="217"/>
      <c r="AL57" s="1181" t="s">
        <v>1968</v>
      </c>
      <c r="AM57" s="1181"/>
      <c r="AN57" s="1181"/>
      <c r="AO57" s="1184"/>
      <c r="AP57" s="1184"/>
    </row>
    <row s="1997"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1045</v>
      </c>
      <c r="AC58" s="1026" t="s">
        <v>1969</v>
      </c>
      <c r="AD58" s="1027" t="s">
        <v>490</v>
      </c>
      <c r="AE58" s="1670"/>
      <c r="AF58" s="1670"/>
      <c r="AG58" s="1966"/>
      <c r="AH58" s="1966"/>
      <c r="AI58" s="1967"/>
      <c r="AJ58" s="217"/>
      <c r="AK58" s="217"/>
      <c r="AL58" s="1181" t="s">
        <v>1970</v>
      </c>
      <c r="AM58" s="1181"/>
      <c r="AN58" s="1181"/>
      <c r="AO58" s="1184"/>
      <c r="AP58" s="1184"/>
    </row>
    <row s="1998"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1048</v>
      </c>
      <c r="AC59" s="1026" t="s">
        <v>1971</v>
      </c>
      <c r="AD59" s="1027" t="s">
        <v>458</v>
      </c>
      <c r="AE59" s="1670"/>
      <c r="AF59" s="1670"/>
      <c r="AG59" s="1966"/>
      <c r="AH59" s="1966"/>
      <c r="AI59" s="1967"/>
      <c r="AJ59" s="217"/>
      <c r="AK59" s="217"/>
      <c r="AL59" s="1181" t="s">
        <v>1972</v>
      </c>
      <c r="AM59" s="1181"/>
      <c r="AN59" s="1181"/>
      <c r="AO59" s="1184"/>
      <c r="AP59" s="1184"/>
    </row>
    <row s="1999"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1051</v>
      </c>
      <c r="AC60" s="1026" t="s">
        <v>1973</v>
      </c>
      <c r="AD60" s="1027" t="s">
        <v>1400</v>
      </c>
      <c r="AE60" s="1670">
        <f>AE57*AE59*(1+AE58)</f>
        <v>0</v>
      </c>
      <c r="AF60" s="1670">
        <f>AF57*AF59*(1+AF58)</f>
        <v>0</v>
      </c>
      <c r="AG60" s="1966"/>
      <c r="AH60" s="1966"/>
      <c r="AI60" s="1967"/>
      <c r="AJ60" s="217"/>
      <c r="AK60" s="217"/>
      <c r="AL60" s="1181" t="s">
        <v>1407</v>
      </c>
      <c r="AM60" s="1181"/>
      <c r="AN60" s="1181"/>
      <c r="AO60" s="1184"/>
      <c r="AP60" s="1184"/>
    </row>
    <row s="2000"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1974</v>
      </c>
      <c r="AD61" s="1025"/>
      <c r="AE61" s="1047"/>
      <c r="AF61" s="1047"/>
      <c r="AG61" s="1024"/>
      <c r="AH61" s="1024"/>
      <c r="AI61" s="1024"/>
      <c r="AJ61" s="217"/>
      <c r="AK61" s="217"/>
      <c r="AL61" s="1181"/>
      <c r="AM61" s="1181"/>
      <c r="AN61" s="1181"/>
      <c r="AO61" s="1184"/>
      <c r="AP61" s="1184"/>
    </row>
    <row s="2001"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448</v>
      </c>
      <c r="AC62" s="1033" t="s">
        <v>1975</v>
      </c>
      <c r="AD62" s="151" t="s">
        <v>1400</v>
      </c>
      <c r="AE62" s="1785">
        <f>SUM(AE63:AE64)</f>
        <v>0</v>
      </c>
      <c r="AF62" s="1785">
        <f>SUM(AF63:AF64)</f>
        <v>0</v>
      </c>
      <c r="AG62" s="1966"/>
      <c r="AH62" s="1966"/>
      <c r="AI62" s="1967"/>
      <c r="AJ62" s="217"/>
      <c r="AK62" s="217"/>
      <c r="AL62" s="1181" t="s">
        <v>1976</v>
      </c>
      <c r="AM62" s="1181"/>
      <c r="AN62" s="1181"/>
      <c r="AO62" s="1184"/>
      <c r="AP62" s="1184"/>
    </row>
    <row s="2002"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233</v>
      </c>
      <c r="X63" s="217"/>
      <c r="Y63" s="172">
        <v>0</v>
      </c>
      <c r="Z63" s="217"/>
      <c r="AA63" s="914" t="s">
        <v>217</v>
      </c>
      <c r="AB63" s="285" t="str">
        <f>"2.1."&amp;Y63</f>
        <v>2.1.0</v>
      </c>
      <c r="AC63" s="141"/>
      <c r="AD63" s="151" t="s">
        <v>1400</v>
      </c>
      <c r="AE63" s="98"/>
      <c r="AF63" s="98"/>
      <c r="AG63" s="139"/>
      <c r="AH63" s="139"/>
      <c r="AI63" s="140"/>
      <c r="AJ63" s="217"/>
      <c r="AK63" s="217"/>
      <c r="AL63" s="1181" t="s">
        <v>1976</v>
      </c>
      <c r="AM63" s="1181" t="s">
        <v>1977</v>
      </c>
      <c r="AN63" s="1181" cm="1" t="str">
        <f t="array" ref="AN63:AN63">AC63</f>
        <v>0</v>
      </c>
      <c r="AO63" s="1184"/>
      <c r="AP63" s="1184" t="b">
        <v>1</v>
      </c>
    </row>
    <row s="2003"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947</v>
      </c>
      <c r="X64" s="217"/>
      <c r="Y64" s="217"/>
      <c r="Z64" s="217"/>
      <c r="AA64" s="217"/>
      <c r="AB64" s="299"/>
      <c r="AC64" s="732" t="s">
        <v>235</v>
      </c>
      <c r="AD64" s="300"/>
      <c r="AE64" s="300"/>
      <c r="AF64" s="300"/>
      <c r="AG64" s="300"/>
      <c r="AH64" s="300"/>
      <c r="AI64" s="300"/>
      <c r="AJ64" s="217"/>
      <c r="AK64" s="217"/>
      <c r="AL64" s="1181" t="str">
        <f>IF(AND(ISNUMBER(VALUE(TRIM(SUBSTITUTE(AB64,".","")))),TRIM(SUBSTITUTE(AB64,".",""))&lt;&gt;""),"P"&amp;SUBSTITUTE(AB64,".",""),"")</f>
        <v/>
      </c>
      <c r="AM64" s="1181"/>
      <c r="AN64" s="1181"/>
      <c r="AO64" s="1184" t="s">
        <v>1977</v>
      </c>
      <c r="AP64" s="1184"/>
    </row>
    <row s="2004"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475</v>
      </c>
      <c r="AC65" s="1033" t="s">
        <v>1978</v>
      </c>
      <c r="AD65" s="151" t="s">
        <v>1947</v>
      </c>
      <c r="AE65" s="1785">
        <f>SUM(AE66:AE67)</f>
        <v>0</v>
      </c>
      <c r="AF65" s="1785">
        <f>SUM(AF66:AF67)</f>
        <v>0</v>
      </c>
      <c r="AG65" s="1966"/>
      <c r="AH65" s="1966"/>
      <c r="AI65" s="1967"/>
      <c r="AJ65" s="217"/>
      <c r="AK65" s="217"/>
      <c r="AL65" s="1181" t="s">
        <v>1948</v>
      </c>
      <c r="AM65" s="1181"/>
      <c r="AN65" s="1181"/>
      <c r="AO65" s="1184"/>
      <c r="AP65" s="1184"/>
    </row>
    <row s="2005"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233</v>
      </c>
      <c r="X66" s="217"/>
      <c r="Y66" s="172">
        <v>0</v>
      </c>
      <c r="Z66" s="217"/>
      <c r="AA66" s="914" t="s">
        <v>217</v>
      </c>
      <c r="AB66" s="285" t="str">
        <f>"2.2."&amp;Y66</f>
        <v>2.2.0</v>
      </c>
      <c r="AC66" s="141"/>
      <c r="AD66" s="151" t="s">
        <v>1947</v>
      </c>
      <c r="AE66" s="98"/>
      <c r="AF66" s="98"/>
      <c r="AG66" s="139"/>
      <c r="AH66" s="139"/>
      <c r="AI66" s="140"/>
      <c r="AJ66" s="217"/>
      <c r="AK66" s="217"/>
      <c r="AL66" s="1181" t="s">
        <v>1948</v>
      </c>
      <c r="AM66" s="1181" t="s">
        <v>1979</v>
      </c>
      <c r="AN66" s="1181" cm="1" t="str">
        <f t="array" ref="AN66:AN66">AC66</f>
        <v>0</v>
      </c>
      <c r="AO66" s="1184"/>
      <c r="AP66" s="1184" t="b">
        <v>1</v>
      </c>
    </row>
    <row s="2006"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958</v>
      </c>
      <c r="X67" s="217"/>
      <c r="Y67" s="217"/>
      <c r="Z67" s="217"/>
      <c r="AA67" s="217"/>
      <c r="AB67" s="299"/>
      <c r="AC67" s="732" t="s">
        <v>235</v>
      </c>
      <c r="AD67" s="300"/>
      <c r="AE67" s="300"/>
      <c r="AF67" s="300"/>
      <c r="AG67" s="300"/>
      <c r="AH67" s="300"/>
      <c r="AI67" s="300"/>
      <c r="AJ67" s="217"/>
      <c r="AK67" s="217"/>
      <c r="AL67" s="1181" t="str">
        <f>IF(AND(ISNUMBER(VALUE(TRIM(SUBSTITUTE(AB67,".","")))),TRIM(SUBSTITUTE(AB67,".",""))&lt;&gt;""),"P"&amp;SUBSTITUTE(AB67,".",""),"")</f>
        <v/>
      </c>
      <c r="AM67" s="1181"/>
      <c r="AN67" s="1181"/>
      <c r="AO67" s="1184" t="s">
        <v>1979</v>
      </c>
      <c r="AP67" s="1184"/>
    </row>
    <row s="2007"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479</v>
      </c>
      <c r="AC68" s="1034" t="s">
        <v>1980</v>
      </c>
      <c r="AD68" s="1028" t="s">
        <v>1400</v>
      </c>
      <c r="AE68" s="1666"/>
      <c r="AF68" s="1666"/>
      <c r="AG68" s="1960"/>
      <c r="AH68" s="1960"/>
      <c r="AI68" s="1657"/>
      <c r="AJ68" s="217"/>
      <c r="AK68" s="217"/>
      <c r="AL68" s="1181" t="s">
        <v>1981</v>
      </c>
      <c r="AM68" s="1181"/>
      <c r="AN68" s="1181"/>
      <c r="AO68" s="1184"/>
      <c r="AP68" s="1184"/>
    </row>
    <row s="2008"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483</v>
      </c>
      <c r="AC69" s="286" t="s">
        <v>1982</v>
      </c>
      <c r="AD69" s="151"/>
      <c r="AE69" s="1679"/>
      <c r="AF69" s="1666"/>
      <c r="AG69" s="1960"/>
      <c r="AH69" s="1960"/>
      <c r="AI69" s="1657"/>
      <c r="AJ69" s="217"/>
      <c r="AK69" s="217"/>
      <c r="AL69" s="1181" t="s">
        <v>1983</v>
      </c>
      <c r="AM69" s="1181"/>
      <c r="AN69" s="1181"/>
      <c r="AO69" s="1184"/>
      <c r="AP69" s="1184"/>
    </row>
    <row s="2009"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1559</v>
      </c>
      <c r="AC70" s="286" t="s">
        <v>1984</v>
      </c>
      <c r="AD70" s="151" t="s">
        <v>895</v>
      </c>
      <c r="AE70" s="1679">
        <f>_xlfn.IFERROR(AE62/AE65*AE69,0)</f>
        <v>0</v>
      </c>
      <c r="AF70" s="1679">
        <f>_xlfn.IFERROR(AF62/AF65*AF69,0)</f>
        <v>0</v>
      </c>
      <c r="AG70" s="1960"/>
      <c r="AH70" s="1960"/>
      <c r="AI70" s="1657"/>
      <c r="AJ70" s="217"/>
      <c r="AK70" s="217"/>
      <c r="AL70" s="1181" t="s">
        <v>1985</v>
      </c>
      <c r="AM70" s="1181"/>
      <c r="AN70" s="1181"/>
      <c r="AO70" s="1184"/>
      <c r="AP70" s="1184"/>
    </row>
    <row s="2010"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1986</v>
      </c>
      <c r="AC71" s="286" t="s">
        <v>1969</v>
      </c>
      <c r="AD71" s="151" t="s">
        <v>490</v>
      </c>
      <c r="AE71" s="1679"/>
      <c r="AF71" s="1666"/>
      <c r="AG71" s="1960"/>
      <c r="AH71" s="1960"/>
      <c r="AI71" s="1657"/>
      <c r="AJ71" s="217"/>
      <c r="AK71" s="217"/>
      <c r="AL71" s="1181" t="s">
        <v>1987</v>
      </c>
      <c r="AM71" s="1181"/>
      <c r="AN71" s="1181"/>
      <c r="AO71" s="1184"/>
      <c r="AP71" s="1184"/>
    </row>
    <row s="2011"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1988</v>
      </c>
      <c r="AC72" s="286" t="s">
        <v>1989</v>
      </c>
      <c r="AD72" s="151" t="s">
        <v>1947</v>
      </c>
      <c r="AE72" s="2012"/>
      <c r="AF72" s="1670"/>
      <c r="AG72" s="1960"/>
      <c r="AH72" s="1960"/>
      <c r="AI72" s="1657"/>
      <c r="AJ72" s="217"/>
      <c r="AK72" s="217"/>
      <c r="AL72" s="1181" t="s">
        <v>1990</v>
      </c>
      <c r="AM72" s="1181"/>
      <c r="AN72" s="1181"/>
      <c r="AO72" s="1184"/>
      <c r="AP72" s="1184"/>
    </row>
    <row s="2013"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1991</v>
      </c>
      <c r="AC73" s="286" t="s">
        <v>1992</v>
      </c>
      <c r="AD73" s="151" t="s">
        <v>1400</v>
      </c>
      <c r="AE73" s="1666">
        <f>AE70*AE72*(1+AE71)</f>
        <v>0</v>
      </c>
      <c r="AF73" s="1666">
        <f>AF70*AF72*(1+AF71)</f>
        <v>0</v>
      </c>
      <c r="AG73" s="1960"/>
      <c r="AH73" s="1960"/>
      <c r="AI73" s="1657"/>
      <c r="AJ73" s="217"/>
      <c r="AK73" s="217"/>
      <c r="AL73" s="1181" t="s">
        <v>1993</v>
      </c>
      <c r="AM73" s="1181"/>
      <c r="AN73" s="1181"/>
      <c r="AO73" s="1184"/>
      <c r="AP73" s="1184"/>
    </row>
    <row s="1619"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s="2014" customFormat="1" customHeight="1" ht="16.5">
      <c r="A75" s="217"/>
      <c r="B75" s="217"/>
      <c r="C75" s="217"/>
      <c r="D75" s="217"/>
      <c r="E75" s="794">
        <v>17.1</v>
      </c>
      <c r="F75" s="919" cm="1" t="str">
        <f t="array" ref="F75:F75">X75</f>
        <v>2</v>
      </c>
      <c r="G75" s="736" cm="1" t="str">
        <f t="array" ref="G75:G75">INDEX('Общие сведения'!$AK$169:$AK$218,MATCH($F75,'Общие сведения'!$Z$169:$Z$218,0))</f>
        <v>одноставочный</v>
      </c>
      <c r="H75" s="217"/>
      <c r="I75" s="210" cm="1" t="str">
        <f t="array" ref="I75:I75">INDEX('Общие сведения'!$AE$169:$AE$218,MATCH($F75,'Общие сведения'!$Z$169:$Z$218,0))</f>
        <v>Теплоснабжение</v>
      </c>
      <c r="J75" s="217"/>
      <c r="K75" s="210" cm="1" t="str">
        <f t="array" ref="K75:K75">INDEX('Общие сведения'!$AL$169:$AL$218,MATCH($F75,'Общие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75" s="217"/>
      <c r="M75" s="217"/>
      <c r="N75" s="217"/>
      <c r="O75" s="217"/>
      <c r="P75" s="217"/>
      <c r="Q75" s="217"/>
      <c r="R75" s="217"/>
      <c r="S75" s="217"/>
      <c r="T75" s="805">
        <f>AND(F75&gt;0,OR(ISBLANK(Y75),Y75&gt;0))</f>
        <v>1</v>
      </c>
      <c r="U75" s="217"/>
      <c r="V75" s="172" cm="1" t="str">
        <f t="array" ref="V75:V75">'Удельные расходы (МСА)'!$AB$55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75" s="217"/>
      <c r="X75" s="1554" t="s">
        <v>343</v>
      </c>
      <c r="Y75" s="217"/>
      <c r="Z75" s="217"/>
      <c r="AA75" s="217"/>
      <c r="AB75" s="327" cm="1" t="str">
        <f t="array" ref="AB75:AB75">IF(ISBLANK('Удельные расходы (МСА)'!$AB$55),"",'Удельные расходы (МСА)'!$AB$55)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75" s="328"/>
      <c r="AD75" s="328"/>
      <c r="AE75" s="328"/>
      <c r="AF75" s="328"/>
      <c r="AG75" s="328"/>
      <c r="AH75" s="328"/>
      <c r="AI75" s="328"/>
      <c r="AJ75" s="217"/>
      <c r="AK75" s="217"/>
      <c r="AL75" s="1181"/>
      <c r="AM75" s="1181"/>
      <c r="AN75" s="1181"/>
      <c r="AO75" s="1184"/>
      <c r="AP75" s="1184"/>
    </row>
    <row s="2015" customFormat="1" customHeight="1" ht="16.5">
      <c r="A76" s="217"/>
      <c r="B76" s="217"/>
      <c r="C76" s="217"/>
      <c r="D76" s="217"/>
      <c r="E76" s="794">
        <v>17.1</v>
      </c>
      <c r="F76" s="919" cm="1" t="str">
        <f t="array" ref="F76:F76">OFFSET(G76,-1,-1)</f>
        <v>2</v>
      </c>
      <c r="G76" s="217"/>
      <c r="H76" s="217"/>
      <c r="I76" s="217"/>
      <c r="J76" s="217"/>
      <c r="K76" s="217"/>
      <c r="L76" s="217"/>
      <c r="M76" s="217"/>
      <c r="N76" s="217"/>
      <c r="O76" s="217"/>
      <c r="P76" s="217"/>
      <c r="Q76" s="217"/>
      <c r="R76" s="217"/>
      <c r="S76" s="217"/>
      <c r="T76" s="805">
        <f>AND(F76&gt;0,OR(ISBLANK(Y76),Y76&gt;0))</f>
        <v>1</v>
      </c>
      <c r="U76" s="217"/>
      <c r="V76" s="217"/>
      <c r="W76" s="217"/>
      <c r="X76" s="217"/>
      <c r="Y76" s="217"/>
      <c r="Z76" s="217"/>
      <c r="AA76" s="217"/>
      <c r="AB76" s="575">
        <v>1</v>
      </c>
      <c r="AC76" s="1024" t="s">
        <v>1958</v>
      </c>
      <c r="AD76" s="1025"/>
      <c r="AE76" s="1025"/>
      <c r="AF76" s="1025"/>
      <c r="AG76" s="1025"/>
      <c r="AH76" s="1025"/>
      <c r="AI76" s="1025"/>
      <c r="AJ76" s="217"/>
      <c r="AK76" s="217"/>
      <c r="AL76" s="1181"/>
      <c r="AM76" s="1181"/>
      <c r="AN76" s="1181"/>
      <c r="AO76" s="1184"/>
      <c r="AP76" s="1184"/>
    </row>
    <row s="2016" customFormat="1" customHeight="1" ht="39">
      <c r="A77" s="217"/>
      <c r="B77" s="217"/>
      <c r="C77" s="217"/>
      <c r="D77" s="217"/>
      <c r="E77" s="794">
        <v>40</v>
      </c>
      <c r="F77" s="919" cm="1" t="str">
        <f t="array" ref="F77:F77">OFFSET(G77,-1,-1)</f>
        <v>2</v>
      </c>
      <c r="G77" s="217"/>
      <c r="H77" s="217"/>
      <c r="I77" s="217"/>
      <c r="J77" s="217"/>
      <c r="K77" s="217"/>
      <c r="L77" s="217"/>
      <c r="M77" s="217"/>
      <c r="N77" s="217"/>
      <c r="O77" s="217"/>
      <c r="P77" s="217"/>
      <c r="Q77" s="217"/>
      <c r="R77" s="217"/>
      <c r="S77" s="217"/>
      <c r="T77" s="805">
        <f>AND(F77&gt;0,OR(ISBLANK(Y77),Y77&gt;0))</f>
        <v>1</v>
      </c>
      <c r="U77" s="217"/>
      <c r="V77" s="217"/>
      <c r="W77" s="217"/>
      <c r="X77" s="217"/>
      <c r="Y77" s="217"/>
      <c r="Z77" s="217"/>
      <c r="AA77" s="217"/>
      <c r="AB77" s="575" t="s">
        <v>442</v>
      </c>
      <c r="AC77" s="286" t="s">
        <v>1959</v>
      </c>
      <c r="AD77" s="151" t="s">
        <v>1400</v>
      </c>
      <c r="AE77" s="1666"/>
      <c r="AF77" s="1666"/>
      <c r="AG77" s="1960"/>
      <c r="AH77" s="1960"/>
      <c r="AI77" s="1657"/>
      <c r="AJ77" s="217"/>
      <c r="AK77" s="217"/>
      <c r="AL77" s="1181" t="s">
        <v>1960</v>
      </c>
      <c r="AM77" s="1181"/>
      <c r="AN77" s="1181"/>
      <c r="AO77" s="1184"/>
      <c r="AP77" s="1184"/>
    </row>
    <row s="2017" customFormat="1" customHeight="1" ht="39">
      <c r="A78" s="217"/>
      <c r="B78" s="217"/>
      <c r="C78" s="217"/>
      <c r="D78" s="217"/>
      <c r="E78" s="794">
        <v>40</v>
      </c>
      <c r="F78" s="919" cm="1" t="str">
        <f t="array" ref="F78:F78">OFFSET(G78,-1,-1)</f>
        <v>2</v>
      </c>
      <c r="G78" s="217"/>
      <c r="H78" s="217"/>
      <c r="I78" s="217"/>
      <c r="J78" s="217"/>
      <c r="K78" s="217"/>
      <c r="L78" s="217"/>
      <c r="M78" s="217"/>
      <c r="N78" s="217"/>
      <c r="O78" s="217"/>
      <c r="P78" s="217"/>
      <c r="Q78" s="217"/>
      <c r="R78" s="217"/>
      <c r="S78" s="217"/>
      <c r="T78" s="805">
        <f>AND(F78&gt;0,OR(ISBLANK(Y78),Y78&gt;0))</f>
        <v>1</v>
      </c>
      <c r="U78" s="217"/>
      <c r="V78" s="217"/>
      <c r="W78" s="217"/>
      <c r="X78" s="217"/>
      <c r="Y78" s="217"/>
      <c r="Z78" s="217"/>
      <c r="AA78" s="217"/>
      <c r="AB78" s="575" t="s">
        <v>931</v>
      </c>
      <c r="AC78" s="286" t="s">
        <v>1961</v>
      </c>
      <c r="AD78" s="151" t="s">
        <v>458</v>
      </c>
      <c r="AE78" s="1666"/>
      <c r="AF78" s="1666"/>
      <c r="AG78" s="1960"/>
      <c r="AH78" s="1960"/>
      <c r="AI78" s="1657"/>
      <c r="AJ78" s="217"/>
      <c r="AK78" s="217"/>
      <c r="AL78" s="1181" t="s">
        <v>1962</v>
      </c>
      <c r="AM78" s="1181"/>
      <c r="AN78" s="1181"/>
      <c r="AO78" s="1184"/>
      <c r="AP78" s="1184"/>
    </row>
    <row s="2018" customFormat="1" customHeight="1" ht="33.75">
      <c r="A79" s="217"/>
      <c r="B79" s="217"/>
      <c r="C79" s="217"/>
      <c r="D79" s="217"/>
      <c r="E79" s="794">
        <v>35</v>
      </c>
      <c r="F79" s="919" cm="1" t="str">
        <f t="array" ref="F79:F79">OFFSET(G79,-1,-1)</f>
        <v>2</v>
      </c>
      <c r="G79" s="217"/>
      <c r="H79" s="217"/>
      <c r="I79" s="217"/>
      <c r="J79" s="217"/>
      <c r="K79" s="217"/>
      <c r="L79" s="217"/>
      <c r="M79" s="217"/>
      <c r="N79" s="217"/>
      <c r="O79" s="217"/>
      <c r="P79" s="217"/>
      <c r="Q79" s="217"/>
      <c r="R79" s="217"/>
      <c r="S79" s="217"/>
      <c r="T79" s="805">
        <f>AND(F79&gt;0,OR(ISBLANK(Y79),Y79&gt;0))</f>
        <v>1</v>
      </c>
      <c r="U79" s="217"/>
      <c r="V79" s="217"/>
      <c r="W79" s="217"/>
      <c r="X79" s="217"/>
      <c r="Y79" s="217"/>
      <c r="Z79" s="217"/>
      <c r="AA79" s="217"/>
      <c r="AB79" s="575" t="s">
        <v>933</v>
      </c>
      <c r="AC79" s="286" t="s">
        <v>1963</v>
      </c>
      <c r="AD79" s="151" t="s">
        <v>1933</v>
      </c>
      <c r="AE79" s="1666">
        <f>_xlfn.IFERROR(AE77/AE78,0)</f>
        <v>0</v>
      </c>
      <c r="AF79" s="1666">
        <f>_xlfn.IFERROR(AF77/AF78,0)</f>
        <v>0</v>
      </c>
      <c r="AG79" s="1960"/>
      <c r="AH79" s="1960"/>
      <c r="AI79" s="1657"/>
      <c r="AJ79" s="217"/>
      <c r="AK79" s="217"/>
      <c r="AL79" s="1181" t="s">
        <v>1964</v>
      </c>
      <c r="AM79" s="1181"/>
      <c r="AN79" s="1181"/>
      <c r="AO79" s="1184"/>
      <c r="AP79" s="1184"/>
    </row>
    <row s="2019" customFormat="1" customHeight="1" ht="33.75">
      <c r="A80" s="217"/>
      <c r="B80" s="217"/>
      <c r="C80" s="217"/>
      <c r="D80" s="217"/>
      <c r="E80" s="794">
        <v>35</v>
      </c>
      <c r="F80" s="919" cm="1" t="str">
        <f t="array" ref="F80:F80">OFFSET(G80,-1,-1)</f>
        <v>2</v>
      </c>
      <c r="G80" s="217"/>
      <c r="H80" s="217"/>
      <c r="I80" s="217"/>
      <c r="J80" s="217"/>
      <c r="K80" s="217"/>
      <c r="L80" s="217"/>
      <c r="M80" s="217"/>
      <c r="N80" s="217"/>
      <c r="O80" s="217"/>
      <c r="P80" s="217"/>
      <c r="Q80" s="217"/>
      <c r="R80" s="217"/>
      <c r="S80" s="217"/>
      <c r="T80" s="805">
        <f>AND(F80&gt;0,OR(ISBLANK(Y80),Y80&gt;0))</f>
        <v>1</v>
      </c>
      <c r="U80" s="217"/>
      <c r="V80" s="217"/>
      <c r="W80" s="217"/>
      <c r="X80" s="217"/>
      <c r="Y80" s="217"/>
      <c r="Z80" s="217"/>
      <c r="AA80" s="217"/>
      <c r="AB80" s="575" t="s">
        <v>937</v>
      </c>
      <c r="AC80" s="286" t="s">
        <v>1965</v>
      </c>
      <c r="AD80" s="151"/>
      <c r="AE80" s="1964"/>
      <c r="AF80" s="1964"/>
      <c r="AG80" s="1960"/>
      <c r="AH80" s="1960"/>
      <c r="AI80" s="1657"/>
      <c r="AJ80" s="217"/>
      <c r="AK80" s="217"/>
      <c r="AL80" s="1181" t="s">
        <v>1966</v>
      </c>
      <c r="AM80" s="1181"/>
      <c r="AN80" s="1181"/>
      <c r="AO80" s="1184"/>
      <c r="AP80" s="1184"/>
    </row>
    <row s="2020" customFormat="1" customHeight="1" ht="33.75">
      <c r="A81" s="217"/>
      <c r="B81" s="217"/>
      <c r="C81" s="217"/>
      <c r="D81" s="217"/>
      <c r="E81" s="794">
        <v>35</v>
      </c>
      <c r="F81" s="919" cm="1" t="str">
        <f t="array" ref="F81:F81">OFFSET(G81,-1,-1)</f>
        <v>2</v>
      </c>
      <c r="G81" s="217"/>
      <c r="H81" s="217"/>
      <c r="I81" s="217"/>
      <c r="J81" s="217"/>
      <c r="K81" s="217"/>
      <c r="L81" s="217"/>
      <c r="M81" s="217"/>
      <c r="N81" s="217"/>
      <c r="O81" s="217"/>
      <c r="P81" s="217"/>
      <c r="Q81" s="217"/>
      <c r="R81" s="217"/>
      <c r="S81" s="217"/>
      <c r="T81" s="805">
        <f>AND(F81&gt;0,OR(ISBLANK(Y81),Y81&gt;0))</f>
        <v>1</v>
      </c>
      <c r="U81" s="217"/>
      <c r="V81" s="217"/>
      <c r="W81" s="217"/>
      <c r="X81" s="217"/>
      <c r="Y81" s="217"/>
      <c r="Z81" s="217"/>
      <c r="AA81" s="217"/>
      <c r="AB81" s="575" t="s">
        <v>1042</v>
      </c>
      <c r="AC81" s="1026" t="s">
        <v>1967</v>
      </c>
      <c r="AD81" s="1027" t="s">
        <v>1933</v>
      </c>
      <c r="AE81" s="1670">
        <f>AE79*AE80</f>
        <v>0</v>
      </c>
      <c r="AF81" s="1670">
        <f>AF79*AF80</f>
        <v>0</v>
      </c>
      <c r="AG81" s="1966"/>
      <c r="AH81" s="1966"/>
      <c r="AI81" s="1967"/>
      <c r="AJ81" s="217"/>
      <c r="AK81" s="217"/>
      <c r="AL81" s="1181" t="s">
        <v>1968</v>
      </c>
      <c r="AM81" s="1181"/>
      <c r="AN81" s="1181"/>
      <c r="AO81" s="1184"/>
      <c r="AP81" s="1184"/>
    </row>
    <row s="2021" customFormat="1" customHeight="1" ht="16.5">
      <c r="A82" s="217"/>
      <c r="B82" s="217"/>
      <c r="C82" s="217"/>
      <c r="D82" s="217"/>
      <c r="E82" s="794">
        <v>17.1</v>
      </c>
      <c r="F82" s="919" cm="1" t="str">
        <f t="array" ref="F82:F82">OFFSET(G82,-1,-1)</f>
        <v>2</v>
      </c>
      <c r="G82" s="217"/>
      <c r="H82" s="217"/>
      <c r="I82" s="217"/>
      <c r="J82" s="217"/>
      <c r="K82" s="217"/>
      <c r="L82" s="217"/>
      <c r="M82" s="217"/>
      <c r="N82" s="217"/>
      <c r="O82" s="217"/>
      <c r="P82" s="217"/>
      <c r="Q82" s="217"/>
      <c r="R82" s="217"/>
      <c r="S82" s="217"/>
      <c r="T82" s="805">
        <f>AND(F82&gt;0,OR(ISBLANK(Y82),Y82&gt;0))</f>
        <v>1</v>
      </c>
      <c r="U82" s="217"/>
      <c r="V82" s="217"/>
      <c r="W82" s="217"/>
      <c r="X82" s="217"/>
      <c r="Y82" s="217"/>
      <c r="Z82" s="217"/>
      <c r="AA82" s="217"/>
      <c r="AB82" s="575" t="s">
        <v>1045</v>
      </c>
      <c r="AC82" s="1026" t="s">
        <v>1969</v>
      </c>
      <c r="AD82" s="1027" t="s">
        <v>490</v>
      </c>
      <c r="AE82" s="1670"/>
      <c r="AF82" s="1670"/>
      <c r="AG82" s="1966"/>
      <c r="AH82" s="1966"/>
      <c r="AI82" s="1967"/>
      <c r="AJ82" s="217"/>
      <c r="AK82" s="217"/>
      <c r="AL82" s="1181" t="s">
        <v>1970</v>
      </c>
      <c r="AM82" s="1181"/>
      <c r="AN82" s="1181"/>
      <c r="AO82" s="1184"/>
      <c r="AP82" s="1184"/>
    </row>
    <row s="2022" customFormat="1" customHeight="1" ht="39">
      <c r="A83" s="217"/>
      <c r="B83" s="217"/>
      <c r="C83" s="217"/>
      <c r="D83" s="217"/>
      <c r="E83" s="794">
        <v>40</v>
      </c>
      <c r="F83" s="919" cm="1" t="str">
        <f t="array" ref="F83:F83">OFFSET(G83,-1,-1)</f>
        <v>2</v>
      </c>
      <c r="G83" s="217"/>
      <c r="H83" s="217"/>
      <c r="I83" s="217"/>
      <c r="J83" s="217"/>
      <c r="K83" s="217"/>
      <c r="L83" s="217"/>
      <c r="M83" s="217"/>
      <c r="N83" s="217"/>
      <c r="O83" s="217"/>
      <c r="P83" s="217"/>
      <c r="Q83" s="217"/>
      <c r="R83" s="217"/>
      <c r="S83" s="217"/>
      <c r="T83" s="805">
        <f>AND(F83&gt;0,OR(ISBLANK(Y83),Y83&gt;0))</f>
        <v>1</v>
      </c>
      <c r="U83" s="217"/>
      <c r="V83" s="217"/>
      <c r="W83" s="217"/>
      <c r="X83" s="217"/>
      <c r="Y83" s="217"/>
      <c r="Z83" s="217"/>
      <c r="AA83" s="217"/>
      <c r="AB83" s="575" t="s">
        <v>1048</v>
      </c>
      <c r="AC83" s="1026" t="s">
        <v>1971</v>
      </c>
      <c r="AD83" s="1027" t="s">
        <v>458</v>
      </c>
      <c r="AE83" s="1670"/>
      <c r="AF83" s="1670"/>
      <c r="AG83" s="1966"/>
      <c r="AH83" s="1966"/>
      <c r="AI83" s="1967"/>
      <c r="AJ83" s="217"/>
      <c r="AK83" s="217"/>
      <c r="AL83" s="1181" t="s">
        <v>1972</v>
      </c>
      <c r="AM83" s="1181"/>
      <c r="AN83" s="1181"/>
      <c r="AO83" s="1184"/>
      <c r="AP83" s="1184"/>
    </row>
    <row s="2023" customFormat="1" customHeight="1" ht="16.5">
      <c r="A84" s="217"/>
      <c r="B84" s="217"/>
      <c r="C84" s="217"/>
      <c r="D84" s="217"/>
      <c r="E84" s="794">
        <v>17.1</v>
      </c>
      <c r="F84" s="919" cm="1" t="str">
        <f t="array" ref="F84:F84">OFFSET(G84,-1,-1)</f>
        <v>2</v>
      </c>
      <c r="G84" s="217"/>
      <c r="H84" s="217"/>
      <c r="I84" s="217"/>
      <c r="J84" s="217"/>
      <c r="K84" s="217"/>
      <c r="L84" s="217"/>
      <c r="M84" s="217"/>
      <c r="N84" s="217"/>
      <c r="O84" s="217"/>
      <c r="P84" s="217"/>
      <c r="Q84" s="217"/>
      <c r="R84" s="217"/>
      <c r="S84" s="217"/>
      <c r="T84" s="805">
        <f>AND(F84&gt;0,OR(ISBLANK(Y84),Y84&gt;0))</f>
        <v>1</v>
      </c>
      <c r="U84" s="217"/>
      <c r="V84" s="217"/>
      <c r="W84" s="217"/>
      <c r="X84" s="217"/>
      <c r="Y84" s="217"/>
      <c r="Z84" s="217"/>
      <c r="AA84" s="217"/>
      <c r="AB84" s="575" t="s">
        <v>1051</v>
      </c>
      <c r="AC84" s="1026" t="s">
        <v>1973</v>
      </c>
      <c r="AD84" s="1027" t="s">
        <v>1400</v>
      </c>
      <c r="AE84" s="1670">
        <f>AE81*AE83*(1+AE82)</f>
        <v>0</v>
      </c>
      <c r="AF84" s="1670">
        <f>AF81*AF83*(1+AF82)</f>
        <v>0</v>
      </c>
      <c r="AG84" s="1966"/>
      <c r="AH84" s="1966"/>
      <c r="AI84" s="1967"/>
      <c r="AJ84" s="217"/>
      <c r="AK84" s="217"/>
      <c r="AL84" s="1181" t="s">
        <v>1407</v>
      </c>
      <c r="AM84" s="1181"/>
      <c r="AN84" s="1181"/>
      <c r="AO84" s="1184"/>
      <c r="AP84" s="1184"/>
    </row>
    <row s="2024" customFormat="1" customHeight="1" ht="16.5">
      <c r="A85" s="217"/>
      <c r="B85" s="217"/>
      <c r="C85" s="217"/>
      <c r="D85" s="217"/>
      <c r="E85" s="794">
        <v>17.1</v>
      </c>
      <c r="F85" s="919" cm="1" t="str">
        <f t="array" ref="F85:F85">OFFSET(G85,-1,-1)</f>
        <v>2</v>
      </c>
      <c r="G85" s="217"/>
      <c r="H85" s="217"/>
      <c r="I85" s="217"/>
      <c r="J85" s="217"/>
      <c r="K85" s="217"/>
      <c r="L85" s="217"/>
      <c r="M85" s="217"/>
      <c r="N85" s="217"/>
      <c r="O85" s="217"/>
      <c r="P85" s="217"/>
      <c r="Q85" s="217"/>
      <c r="R85" s="217"/>
      <c r="S85" s="217"/>
      <c r="T85" s="805">
        <f>AND(F85&gt;0,OR(ISBLANK(Y85),Y85&gt;0))</f>
        <v>1</v>
      </c>
      <c r="U85" s="217"/>
      <c r="V85" s="217"/>
      <c r="W85" s="217"/>
      <c r="X85" s="217"/>
      <c r="Y85" s="217"/>
      <c r="Z85" s="217"/>
      <c r="AA85" s="217"/>
      <c r="AB85" s="1119">
        <v>2</v>
      </c>
      <c r="AC85" s="1024" t="s">
        <v>1974</v>
      </c>
      <c r="AD85" s="1025"/>
      <c r="AE85" s="1047"/>
      <c r="AF85" s="1047"/>
      <c r="AG85" s="1024"/>
      <c r="AH85" s="1024"/>
      <c r="AI85" s="1024"/>
      <c r="AJ85" s="217"/>
      <c r="AK85" s="217"/>
      <c r="AL85" s="1181"/>
      <c r="AM85" s="1181"/>
      <c r="AN85" s="1181"/>
      <c r="AO85" s="1184"/>
      <c r="AP85" s="1184"/>
    </row>
    <row s="2025" customFormat="1" customHeight="1" ht="39">
      <c r="A86" s="217"/>
      <c r="B86" s="217"/>
      <c r="C86" s="217"/>
      <c r="D86" s="217"/>
      <c r="E86" s="794">
        <v>40</v>
      </c>
      <c r="F86" s="919" cm="1" t="str">
        <f t="array" ref="F86:F86">OFFSET(G86,-1,-1)</f>
        <v>2</v>
      </c>
      <c r="G86" s="217"/>
      <c r="H86" s="217"/>
      <c r="I86" s="217"/>
      <c r="J86" s="217"/>
      <c r="K86" s="217"/>
      <c r="L86" s="217"/>
      <c r="M86" s="217"/>
      <c r="N86" s="217"/>
      <c r="O86" s="217"/>
      <c r="P86" s="217"/>
      <c r="Q86" s="217"/>
      <c r="R86" s="217"/>
      <c r="S86" s="217"/>
      <c r="T86" s="805">
        <f>AND(F86&gt;0,OR(ISBLANK(Y86),Y86&gt;0))</f>
        <v>1</v>
      </c>
      <c r="U86" s="217"/>
      <c r="V86" s="217"/>
      <c r="W86" s="217"/>
      <c r="X86" s="217"/>
      <c r="Y86" s="217"/>
      <c r="Z86" s="217"/>
      <c r="AA86" s="217"/>
      <c r="AB86" s="285" t="s">
        <v>448</v>
      </c>
      <c r="AC86" s="1033" t="s">
        <v>1975</v>
      </c>
      <c r="AD86" s="151" t="s">
        <v>1400</v>
      </c>
      <c r="AE86" s="1785">
        <f>SUM(AE87:AE88)</f>
        <v>0</v>
      </c>
      <c r="AF86" s="1785">
        <f>SUM(AF87:AF88)</f>
        <v>0</v>
      </c>
      <c r="AG86" s="1966"/>
      <c r="AH86" s="1966"/>
      <c r="AI86" s="1967"/>
      <c r="AJ86" s="217"/>
      <c r="AK86" s="217"/>
      <c r="AL86" s="1181" t="s">
        <v>1976</v>
      </c>
      <c r="AM86" s="1181"/>
      <c r="AN86" s="1181"/>
      <c r="AO86" s="1184"/>
      <c r="AP86" s="1184"/>
    </row>
    <row s="2026" customFormat="1" customHeight="1" ht="16.5" hidden="1">
      <c r="A87" s="217"/>
      <c r="B87" s="217"/>
      <c r="C87" s="217"/>
      <c r="D87" s="217"/>
      <c r="E87" s="794">
        <v>17</v>
      </c>
      <c r="F87" s="919" cm="1" t="str">
        <f t="array" ref="F87:F87">OFFSET(G87,-1,-1)</f>
        <v>2</v>
      </c>
      <c r="G87" s="217"/>
      <c r="H87" s="217"/>
      <c r="I87" s="217"/>
      <c r="J87" s="217"/>
      <c r="K87" s="217"/>
      <c r="L87" s="217"/>
      <c r="M87" s="217"/>
      <c r="N87" s="217"/>
      <c r="O87" s="217"/>
      <c r="P87" s="217"/>
      <c r="Q87" s="217"/>
      <c r="R87" s="217"/>
      <c r="S87" s="217"/>
      <c r="T87" s="805">
        <f>AND(F87&gt;0,OR(ISBLANK(Y87),Y87&gt;0))</f>
        <v>0</v>
      </c>
      <c r="U87" s="217"/>
      <c r="V87" s="217"/>
      <c r="W87" s="172" t="s">
        <v>233</v>
      </c>
      <c r="X87" s="217"/>
      <c r="Y87" s="172">
        <v>0</v>
      </c>
      <c r="Z87" s="217"/>
      <c r="AA87" s="914" t="s">
        <v>217</v>
      </c>
      <c r="AB87" s="285" t="str">
        <f>"2.1."&amp;Y87</f>
        <v>2.1.0</v>
      </c>
      <c r="AC87" s="141"/>
      <c r="AD87" s="151" t="s">
        <v>1400</v>
      </c>
      <c r="AE87" s="98"/>
      <c r="AF87" s="98"/>
      <c r="AG87" s="139"/>
      <c r="AH87" s="139"/>
      <c r="AI87" s="140"/>
      <c r="AJ87" s="217"/>
      <c r="AK87" s="217"/>
      <c r="AL87" s="1181" t="s">
        <v>1976</v>
      </c>
      <c r="AM87" s="1181" t="s">
        <v>1977</v>
      </c>
      <c r="AN87" s="1181" cm="1" t="str">
        <f t="array" ref="AN87:AN87">AC87</f>
        <v>0</v>
      </c>
      <c r="AO87" s="1184"/>
      <c r="AP87" s="1184" t="b">
        <v>1</v>
      </c>
    </row>
    <row s="2027" customFormat="1" customHeight="1" ht="16.5">
      <c r="A88" s="217"/>
      <c r="B88" s="217"/>
      <c r="C88" s="217"/>
      <c r="D88" s="217"/>
      <c r="E88" s="794">
        <v>17</v>
      </c>
      <c r="F88" s="919" cm="1" t="str">
        <f t="array" ref="F88:F88">OFFSET(G88,-1,-1)</f>
        <v>2</v>
      </c>
      <c r="G88" s="217"/>
      <c r="H88" s="217"/>
      <c r="I88" s="217"/>
      <c r="J88" s="217"/>
      <c r="K88" s="217"/>
      <c r="L88" s="217"/>
      <c r="M88" s="217"/>
      <c r="N88" s="217"/>
      <c r="O88" s="217"/>
      <c r="P88" s="217"/>
      <c r="Q88" s="217"/>
      <c r="R88" s="217"/>
      <c r="S88" s="217"/>
      <c r="T88" s="805">
        <f>AND(F88&gt;0,OR(ISBLANK(Y88),Y88&gt;0))</f>
        <v>1</v>
      </c>
      <c r="U88" s="217"/>
      <c r="V88" s="217"/>
      <c r="W88" s="1016" t="s">
        <v>947</v>
      </c>
      <c r="X88" s="217"/>
      <c r="Y88" s="217"/>
      <c r="Z88" s="217"/>
      <c r="AA88" s="217"/>
      <c r="AB88" s="299"/>
      <c r="AC88" s="732" t="s">
        <v>235</v>
      </c>
      <c r="AD88" s="300"/>
      <c r="AE88" s="300"/>
      <c r="AF88" s="300"/>
      <c r="AG88" s="300"/>
      <c r="AH88" s="300"/>
      <c r="AI88" s="300"/>
      <c r="AJ88" s="217"/>
      <c r="AK88" s="217"/>
      <c r="AL88" s="1181" t="str">
        <f>IF(AND(ISNUMBER(VALUE(TRIM(SUBSTITUTE(AB88,".","")))),TRIM(SUBSTITUTE(AB88,".",""))&lt;&gt;""),"P"&amp;SUBSTITUTE(AB88,".",""),"")</f>
        <v/>
      </c>
      <c r="AM88" s="1181"/>
      <c r="AN88" s="1181"/>
      <c r="AO88" s="1184" t="s">
        <v>1977</v>
      </c>
      <c r="AP88" s="1184"/>
    </row>
    <row s="2028" customFormat="1" customHeight="1" ht="39">
      <c r="A89" s="217"/>
      <c r="B89" s="217"/>
      <c r="C89" s="217"/>
      <c r="D89" s="217"/>
      <c r="E89" s="794">
        <v>40</v>
      </c>
      <c r="F89" s="919" cm="1" t="str">
        <f t="array" ref="F89:F89">OFFSET(G89,-1,-1)</f>
        <v>2</v>
      </c>
      <c r="G89" s="217"/>
      <c r="H89" s="217"/>
      <c r="I89" s="217"/>
      <c r="J89" s="217"/>
      <c r="K89" s="217"/>
      <c r="L89" s="217"/>
      <c r="M89" s="217"/>
      <c r="N89" s="217"/>
      <c r="O89" s="217"/>
      <c r="P89" s="217"/>
      <c r="Q89" s="217"/>
      <c r="R89" s="217"/>
      <c r="S89" s="217"/>
      <c r="T89" s="805">
        <f>AND(F89&gt;0,OR(ISBLANK(Y89),Y89&gt;0))</f>
        <v>1</v>
      </c>
      <c r="U89" s="217"/>
      <c r="V89" s="217"/>
      <c r="W89" s="217"/>
      <c r="X89" s="217"/>
      <c r="Y89" s="217"/>
      <c r="Z89" s="217"/>
      <c r="AA89" s="217"/>
      <c r="AB89" s="285" t="s">
        <v>475</v>
      </c>
      <c r="AC89" s="1033" t="s">
        <v>1978</v>
      </c>
      <c r="AD89" s="151" t="s">
        <v>1947</v>
      </c>
      <c r="AE89" s="1785">
        <f>SUM(AE90:AE91)</f>
        <v>0</v>
      </c>
      <c r="AF89" s="1785">
        <f>SUM(AF90:AF91)</f>
        <v>0</v>
      </c>
      <c r="AG89" s="1966"/>
      <c r="AH89" s="1966"/>
      <c r="AI89" s="1967"/>
      <c r="AJ89" s="217"/>
      <c r="AK89" s="217"/>
      <c r="AL89" s="1181" t="s">
        <v>1948</v>
      </c>
      <c r="AM89" s="1181"/>
      <c r="AN89" s="1181"/>
      <c r="AO89" s="1184"/>
      <c r="AP89" s="1184"/>
    </row>
    <row s="2029" customFormat="1" customHeight="1" ht="16.5" hidden="1">
      <c r="A90" s="217"/>
      <c r="B90" s="217"/>
      <c r="C90" s="217"/>
      <c r="D90" s="217"/>
      <c r="E90" s="794">
        <v>17.1</v>
      </c>
      <c r="F90" s="919" cm="1" t="str">
        <f t="array" ref="F90:F90">OFFSET(G90,-1,-1)</f>
        <v>2</v>
      </c>
      <c r="G90" s="217"/>
      <c r="H90" s="217"/>
      <c r="I90" s="217"/>
      <c r="J90" s="217"/>
      <c r="K90" s="217"/>
      <c r="L90" s="217"/>
      <c r="M90" s="217"/>
      <c r="N90" s="217"/>
      <c r="O90" s="217"/>
      <c r="P90" s="217"/>
      <c r="Q90" s="217"/>
      <c r="R90" s="217"/>
      <c r="S90" s="217"/>
      <c r="T90" s="805">
        <f>AND(F90&gt;0,OR(ISBLANK(Y90),Y90&gt;0))</f>
        <v>0</v>
      </c>
      <c r="U90" s="217"/>
      <c r="V90" s="217"/>
      <c r="W90" s="172" t="s">
        <v>233</v>
      </c>
      <c r="X90" s="217"/>
      <c r="Y90" s="172">
        <v>0</v>
      </c>
      <c r="Z90" s="217"/>
      <c r="AA90" s="914" t="s">
        <v>217</v>
      </c>
      <c r="AB90" s="285" t="str">
        <f>"2.2."&amp;Y90</f>
        <v>2.2.0</v>
      </c>
      <c r="AC90" s="141"/>
      <c r="AD90" s="151" t="s">
        <v>1947</v>
      </c>
      <c r="AE90" s="98"/>
      <c r="AF90" s="98"/>
      <c r="AG90" s="139"/>
      <c r="AH90" s="139"/>
      <c r="AI90" s="140"/>
      <c r="AJ90" s="217"/>
      <c r="AK90" s="217"/>
      <c r="AL90" s="1181" t="s">
        <v>1948</v>
      </c>
      <c r="AM90" s="1181" t="s">
        <v>1979</v>
      </c>
      <c r="AN90" s="1181" cm="1" t="str">
        <f t="array" ref="AN90:AN90">AC90</f>
        <v>0</v>
      </c>
      <c r="AO90" s="1184"/>
      <c r="AP90" s="1184" t="b">
        <v>1</v>
      </c>
    </row>
    <row s="2030" customFormat="1" customHeight="1" ht="16.5">
      <c r="A91" s="217"/>
      <c r="B91" s="217"/>
      <c r="C91" s="217"/>
      <c r="D91" s="217"/>
      <c r="E91" s="794">
        <v>17</v>
      </c>
      <c r="F91" s="919" cm="1" t="str">
        <f t="array" ref="F91:F91">OFFSET(G91,-1,-1)</f>
        <v>2</v>
      </c>
      <c r="G91" s="217"/>
      <c r="H91" s="217"/>
      <c r="I91" s="217"/>
      <c r="J91" s="217"/>
      <c r="K91" s="217"/>
      <c r="L91" s="217"/>
      <c r="M91" s="217"/>
      <c r="N91" s="217"/>
      <c r="O91" s="217"/>
      <c r="P91" s="217"/>
      <c r="Q91" s="217"/>
      <c r="R91" s="217"/>
      <c r="S91" s="217"/>
      <c r="T91" s="805">
        <f>AND(F91&gt;0,OR(ISBLANK(Y91),Y91&gt;0))</f>
        <v>1</v>
      </c>
      <c r="U91" s="217"/>
      <c r="V91" s="217"/>
      <c r="W91" s="1016" t="s">
        <v>958</v>
      </c>
      <c r="X91" s="217"/>
      <c r="Y91" s="217"/>
      <c r="Z91" s="217"/>
      <c r="AA91" s="217"/>
      <c r="AB91" s="299"/>
      <c r="AC91" s="732" t="s">
        <v>235</v>
      </c>
      <c r="AD91" s="300"/>
      <c r="AE91" s="300"/>
      <c r="AF91" s="300"/>
      <c r="AG91" s="300"/>
      <c r="AH91" s="300"/>
      <c r="AI91" s="300"/>
      <c r="AJ91" s="217"/>
      <c r="AK91" s="217"/>
      <c r="AL91" s="1181" t="str">
        <f>IF(AND(ISNUMBER(VALUE(TRIM(SUBSTITUTE(AB91,".","")))),TRIM(SUBSTITUTE(AB91,".",""))&lt;&gt;""),"P"&amp;SUBSTITUTE(AB91,".",""),"")</f>
        <v/>
      </c>
      <c r="AM91" s="1181"/>
      <c r="AN91" s="1181"/>
      <c r="AO91" s="1184" t="s">
        <v>1979</v>
      </c>
      <c r="AP91" s="1184"/>
    </row>
    <row s="2031" customFormat="1" customHeight="1" ht="33.75">
      <c r="A92" s="217"/>
      <c r="B92" s="217"/>
      <c r="C92" s="217"/>
      <c r="D92" s="217"/>
      <c r="E92" s="794">
        <v>35</v>
      </c>
      <c r="F92" s="919" cm="1" t="str">
        <f t="array" ref="F92:F92">OFFSET(G92,-1,-1)</f>
        <v>2</v>
      </c>
      <c r="G92" s="217"/>
      <c r="H92" s="217"/>
      <c r="I92" s="217"/>
      <c r="J92" s="217"/>
      <c r="K92" s="217"/>
      <c r="L92" s="217"/>
      <c r="M92" s="217"/>
      <c r="N92" s="217"/>
      <c r="O92" s="217"/>
      <c r="P92" s="217"/>
      <c r="Q92" s="217"/>
      <c r="R92" s="217"/>
      <c r="S92" s="217"/>
      <c r="T92" s="805">
        <f>AND(F92&gt;0,OR(ISBLANK(Y92),Y92&gt;0))</f>
        <v>1</v>
      </c>
      <c r="U92" s="217"/>
      <c r="V92" s="217"/>
      <c r="W92" s="217"/>
      <c r="X92" s="217"/>
      <c r="Y92" s="217"/>
      <c r="Z92" s="217"/>
      <c r="AA92" s="217"/>
      <c r="AB92" s="1119" t="s">
        <v>479</v>
      </c>
      <c r="AC92" s="1034" t="s">
        <v>1980</v>
      </c>
      <c r="AD92" s="1028" t="s">
        <v>1400</v>
      </c>
      <c r="AE92" s="1666"/>
      <c r="AF92" s="1666"/>
      <c r="AG92" s="1960"/>
      <c r="AH92" s="1960"/>
      <c r="AI92" s="1657"/>
      <c r="AJ92" s="217"/>
      <c r="AK92" s="217"/>
      <c r="AL92" s="1181" t="s">
        <v>1981</v>
      </c>
      <c r="AM92" s="1181"/>
      <c r="AN92" s="1181"/>
      <c r="AO92" s="1184"/>
      <c r="AP92" s="1184"/>
    </row>
    <row s="2032" customFormat="1" customHeight="1" ht="39">
      <c r="A93" s="217"/>
      <c r="B93" s="217"/>
      <c r="C93" s="217"/>
      <c r="D93" s="217"/>
      <c r="E93" s="794">
        <v>40</v>
      </c>
      <c r="F93" s="919" cm="1" t="str">
        <f t="array" ref="F93:F93">OFFSET(G93,-1,-1)</f>
        <v>2</v>
      </c>
      <c r="G93" s="217"/>
      <c r="H93" s="217"/>
      <c r="I93" s="217"/>
      <c r="J93" s="217"/>
      <c r="K93" s="217"/>
      <c r="L93" s="217"/>
      <c r="M93" s="217"/>
      <c r="N93" s="217"/>
      <c r="O93" s="217"/>
      <c r="P93" s="217"/>
      <c r="Q93" s="217"/>
      <c r="R93" s="217"/>
      <c r="S93" s="217"/>
      <c r="T93" s="805">
        <f>AND(F93&gt;0,OR(ISBLANK(Y93),Y93&gt;0))</f>
        <v>1</v>
      </c>
      <c r="U93" s="217"/>
      <c r="V93" s="217"/>
      <c r="W93" s="217"/>
      <c r="X93" s="217"/>
      <c r="Y93" s="217"/>
      <c r="Z93" s="217"/>
      <c r="AA93" s="217"/>
      <c r="AB93" s="285" t="s">
        <v>483</v>
      </c>
      <c r="AC93" s="286" t="s">
        <v>1982</v>
      </c>
      <c r="AD93" s="151"/>
      <c r="AE93" s="1679"/>
      <c r="AF93" s="1666"/>
      <c r="AG93" s="1960"/>
      <c r="AH93" s="1960"/>
      <c r="AI93" s="1657"/>
      <c r="AJ93" s="217"/>
      <c r="AK93" s="217"/>
      <c r="AL93" s="1181" t="s">
        <v>1983</v>
      </c>
      <c r="AM93" s="1181"/>
      <c r="AN93" s="1181"/>
      <c r="AO93" s="1184"/>
      <c r="AP93" s="1184"/>
    </row>
    <row s="2033" customFormat="1" customHeight="1" ht="33.75">
      <c r="A94" s="217"/>
      <c r="B94" s="217"/>
      <c r="C94" s="217"/>
      <c r="D94" s="217"/>
      <c r="E94" s="794">
        <v>35</v>
      </c>
      <c r="F94" s="919" cm="1" t="str">
        <f t="array" ref="F94:F94">OFFSET(G94,-1,-1)</f>
        <v>2</v>
      </c>
      <c r="G94" s="217"/>
      <c r="H94" s="217"/>
      <c r="I94" s="217"/>
      <c r="J94" s="217"/>
      <c r="K94" s="217"/>
      <c r="L94" s="217"/>
      <c r="M94" s="217"/>
      <c r="N94" s="217"/>
      <c r="O94" s="217"/>
      <c r="P94" s="217"/>
      <c r="Q94" s="217"/>
      <c r="R94" s="217"/>
      <c r="S94" s="217"/>
      <c r="T94" s="805">
        <f>AND(F94&gt;0,OR(ISBLANK(Y94),Y94&gt;0))</f>
        <v>1</v>
      </c>
      <c r="U94" s="217"/>
      <c r="V94" s="217"/>
      <c r="W94" s="217"/>
      <c r="X94" s="217"/>
      <c r="Y94" s="217"/>
      <c r="Z94" s="217"/>
      <c r="AA94" s="217"/>
      <c r="AB94" s="285" t="s">
        <v>1559</v>
      </c>
      <c r="AC94" s="286" t="s">
        <v>1984</v>
      </c>
      <c r="AD94" s="151" t="s">
        <v>895</v>
      </c>
      <c r="AE94" s="1679">
        <f>_xlfn.IFERROR(AE86/AE89*AE93,0)</f>
        <v>0</v>
      </c>
      <c r="AF94" s="1679">
        <f>_xlfn.IFERROR(AF86/AF89*AF93,0)</f>
        <v>0</v>
      </c>
      <c r="AG94" s="1960"/>
      <c r="AH94" s="1960"/>
      <c r="AI94" s="1657"/>
      <c r="AJ94" s="217"/>
      <c r="AK94" s="217"/>
      <c r="AL94" s="1181" t="s">
        <v>1985</v>
      </c>
      <c r="AM94" s="1181"/>
      <c r="AN94" s="1181"/>
      <c r="AO94" s="1184"/>
      <c r="AP94" s="1184"/>
    </row>
    <row s="2034" customFormat="1" customHeight="1" ht="16.5">
      <c r="A95" s="217"/>
      <c r="B95" s="217"/>
      <c r="C95" s="217"/>
      <c r="D95" s="217"/>
      <c r="E95" s="794">
        <v>17</v>
      </c>
      <c r="F95" s="919" cm="1" t="str">
        <f t="array" ref="F95:F95">OFFSET(G95,-1,-1)</f>
        <v>2</v>
      </c>
      <c r="G95" s="217"/>
      <c r="H95" s="217"/>
      <c r="I95" s="217"/>
      <c r="J95" s="217"/>
      <c r="K95" s="217"/>
      <c r="L95" s="217"/>
      <c r="M95" s="217"/>
      <c r="N95" s="217"/>
      <c r="O95" s="217"/>
      <c r="P95" s="217"/>
      <c r="Q95" s="217"/>
      <c r="R95" s="217"/>
      <c r="S95" s="217"/>
      <c r="T95" s="805">
        <f>AND(F95&gt;0,OR(ISBLANK(Y95),Y95&gt;0))</f>
        <v>1</v>
      </c>
      <c r="U95" s="217"/>
      <c r="V95" s="217"/>
      <c r="W95" s="217"/>
      <c r="X95" s="217"/>
      <c r="Y95" s="217"/>
      <c r="Z95" s="217"/>
      <c r="AA95" s="217"/>
      <c r="AB95" s="285" t="s">
        <v>1986</v>
      </c>
      <c r="AC95" s="286" t="s">
        <v>1969</v>
      </c>
      <c r="AD95" s="151" t="s">
        <v>490</v>
      </c>
      <c r="AE95" s="1679"/>
      <c r="AF95" s="1666"/>
      <c r="AG95" s="1960"/>
      <c r="AH95" s="1960"/>
      <c r="AI95" s="1657"/>
      <c r="AJ95" s="217"/>
      <c r="AK95" s="217"/>
      <c r="AL95" s="1181" t="s">
        <v>1987</v>
      </c>
      <c r="AM95" s="1181"/>
      <c r="AN95" s="1181"/>
      <c r="AO95" s="1184"/>
      <c r="AP95" s="1184"/>
    </row>
    <row s="2035" customFormat="1" customHeight="1" ht="33.75">
      <c r="A96" s="217"/>
      <c r="B96" s="217"/>
      <c r="C96" s="217"/>
      <c r="D96" s="217"/>
      <c r="E96" s="794">
        <v>35</v>
      </c>
      <c r="F96" s="919" cm="1" t="str">
        <f t="array" ref="F96:F96">OFFSET(G96,-1,-1)</f>
        <v>2</v>
      </c>
      <c r="G96" s="217"/>
      <c r="H96" s="217"/>
      <c r="I96" s="217"/>
      <c r="J96" s="217"/>
      <c r="K96" s="217"/>
      <c r="L96" s="217"/>
      <c r="M96" s="217"/>
      <c r="N96" s="217"/>
      <c r="O96" s="217"/>
      <c r="P96" s="217"/>
      <c r="Q96" s="217"/>
      <c r="R96" s="217"/>
      <c r="S96" s="217"/>
      <c r="T96" s="805">
        <f>AND(F96&gt;0,OR(ISBLANK(Y96),Y96&gt;0))</f>
        <v>1</v>
      </c>
      <c r="U96" s="217"/>
      <c r="V96" s="217"/>
      <c r="W96" s="217"/>
      <c r="X96" s="217"/>
      <c r="Y96" s="217"/>
      <c r="Z96" s="217"/>
      <c r="AA96" s="217"/>
      <c r="AB96" s="285" t="s">
        <v>1988</v>
      </c>
      <c r="AC96" s="286" t="s">
        <v>1989</v>
      </c>
      <c r="AD96" s="151" t="s">
        <v>1947</v>
      </c>
      <c r="AE96" s="2012"/>
      <c r="AF96" s="1670"/>
      <c r="AG96" s="1960"/>
      <c r="AH96" s="1960"/>
      <c r="AI96" s="1657"/>
      <c r="AJ96" s="217"/>
      <c r="AK96" s="217"/>
      <c r="AL96" s="1181" t="s">
        <v>1990</v>
      </c>
      <c r="AM96" s="1181"/>
      <c r="AN96" s="1181"/>
      <c r="AO96" s="1184"/>
      <c r="AP96" s="1184"/>
    </row>
    <row s="2036" customFormat="1" customHeight="1" ht="16.5">
      <c r="A97" s="217"/>
      <c r="B97" s="217"/>
      <c r="C97" s="217"/>
      <c r="D97" s="217"/>
      <c r="E97" s="794">
        <v>17</v>
      </c>
      <c r="F97" s="919" cm="1" t="str">
        <f t="array" ref="F97:F97">OFFSET(G97,-1,-1)</f>
        <v>2</v>
      </c>
      <c r="G97" s="217"/>
      <c r="H97" s="217"/>
      <c r="I97" s="217"/>
      <c r="J97" s="217"/>
      <c r="K97" s="217"/>
      <c r="L97" s="217"/>
      <c r="M97" s="217"/>
      <c r="N97" s="217"/>
      <c r="O97" s="217"/>
      <c r="P97" s="217"/>
      <c r="Q97" s="217"/>
      <c r="R97" s="217"/>
      <c r="S97" s="217"/>
      <c r="T97" s="805">
        <f>AND(F97&gt;0,OR(ISBLANK(Y97),Y97&gt;0))</f>
        <v>1</v>
      </c>
      <c r="U97" s="217"/>
      <c r="V97" s="217"/>
      <c r="W97" s="217"/>
      <c r="X97" s="217"/>
      <c r="Y97" s="217"/>
      <c r="Z97" s="217"/>
      <c r="AA97" s="217"/>
      <c r="AB97" s="285" t="s">
        <v>1991</v>
      </c>
      <c r="AC97" s="286" t="s">
        <v>1992</v>
      </c>
      <c r="AD97" s="151" t="s">
        <v>1400</v>
      </c>
      <c r="AE97" s="1666">
        <f>AE94*AE96*(1+AE95)</f>
        <v>0</v>
      </c>
      <c r="AF97" s="1666">
        <f>AF94*AF96*(1+AF95)</f>
        <v>0</v>
      </c>
      <c r="AG97" s="1960"/>
      <c r="AH97" s="1960"/>
      <c r="AI97" s="1657"/>
      <c r="AJ97" s="217"/>
      <c r="AK97" s="217"/>
      <c r="AL97" s="1181" t="s">
        <v>1993</v>
      </c>
      <c r="AM97" s="1181"/>
      <c r="AN97" s="1181"/>
      <c r="AO97" s="1184"/>
      <c r="AP97" s="1184"/>
    </row>
    <row s="1619" customFormat="1" customHeight="1" ht="17.25" hidden="1">
      <c r="A98" s="1183"/>
      <c r="B98" s="924"/>
      <c r="C98" s="225"/>
      <c r="D98" s="225"/>
      <c r="E98" s="794">
        <v>0</v>
      </c>
      <c r="F98" s="919" cm="1" t="str">
        <f t="array" ref="F98:F98">OFFSET(G98,-1,-1)</f>
        <v>2</v>
      </c>
      <c r="G98" s="227"/>
      <c r="H98" s="227"/>
      <c r="I98" s="227"/>
      <c r="J98" s="227"/>
      <c r="K98" s="227"/>
      <c r="L98" s="227"/>
      <c r="M98" s="227"/>
      <c r="N98" s="227"/>
      <c r="O98" s="227"/>
      <c r="P98" s="227"/>
      <c r="Q98" s="190"/>
      <c r="R98" s="190"/>
      <c r="S98" s="227"/>
      <c r="T98" s="805">
        <f>AND(F98&gt;0,OR(ISBLANK(Y98),Y98&gt;0))</f>
        <v>1</v>
      </c>
      <c r="U98" s="1461"/>
      <c r="V98" s="1461"/>
      <c r="W98" s="1461"/>
      <c r="X98" s="1461"/>
      <c r="Y98" s="1461"/>
      <c r="Z98" s="1461"/>
      <c r="AA98" s="227"/>
      <c r="AB98" s="225"/>
      <c r="AC98" s="226"/>
      <c r="AD98" s="225"/>
      <c r="AE98" s="227"/>
      <c r="AF98" s="227"/>
      <c r="AG98" s="227"/>
      <c r="AH98" s="227"/>
      <c r="AI98" s="227"/>
      <c r="AJ98" s="227"/>
      <c r="AK98" s="227"/>
      <c r="AL98" s="1232"/>
      <c r="AM98" s="1232"/>
      <c r="AN98" s="1232"/>
      <c r="AO98" s="1233"/>
      <c r="AP98" s="1233"/>
    </row>
    <row customHeight="1" ht="9.945">
      <c r="E99" s="794">
        <v>10.2</v>
      </c>
      <c r="U99" s="176" t="s">
        <v>235</v>
      </c>
      <c r="V99" s="168" t="s">
        <v>1994</v>
      </c>
    </row>
    <row customHeight="1" ht="11.25" hidden="1">
      <c r="E100" s="794">
        <v>0</v>
      </c>
    </row>
    <row customHeight="1" ht="14.625">
      <c r="E101" s="794">
        <v>15</v>
      </c>
      <c r="AB101" s="1558" t="s">
        <v>700</v>
      </c>
      <c r="AC101" s="1559"/>
      <c r="AD101" s="1559"/>
      <c r="AE101" s="1559"/>
      <c r="AF101" s="1559"/>
      <c r="AG101" s="1559"/>
      <c r="AH101" s="1559"/>
      <c r="AI101" s="1560"/>
    </row>
    <row customHeight="1" ht="14.625">
      <c r="E102" s="794">
        <v>15</v>
      </c>
      <c r="AA102" s="918"/>
      <c r="AB102" s="1561"/>
      <c r="AC102" s="1562"/>
      <c r="AD102" s="1562"/>
      <c r="AE102" s="1562"/>
      <c r="AF102" s="1562"/>
      <c r="AG102" s="1562"/>
      <c r="AH102" s="1562"/>
      <c r="AI102" s="1563"/>
    </row>
    <row customHeight="1" ht="14.625" hidden="1">
      <c r="A103" s="1183"/>
      <c r="B103" s="924"/>
      <c r="C103" s="225"/>
      <c r="D103" s="225"/>
      <c r="E103" s="794">
        <v>15</v>
      </c>
      <c r="F103" s="225"/>
      <c r="G103" s="227"/>
      <c r="H103" s="227"/>
      <c r="I103" s="227"/>
      <c r="J103" s="227"/>
      <c r="K103" s="227"/>
      <c r="L103" s="227"/>
      <c r="M103" s="227"/>
      <c r="N103" s="227"/>
      <c r="O103" s="227"/>
      <c r="P103" s="227"/>
      <c r="Q103" s="190"/>
      <c r="R103" s="190"/>
      <c r="S103" s="227"/>
      <c r="T103" s="805">
        <f>ROW(W103)&gt;ROW(W$103)</f>
        <v>0</v>
      </c>
      <c r="U103" s="1461"/>
      <c r="V103" s="1461"/>
      <c r="W103" s="172" t="s">
        <v>233</v>
      </c>
      <c r="X103" s="1461"/>
      <c r="Y103" s="1461"/>
      <c r="Z103" s="1461"/>
      <c r="AA103" s="914" t="s">
        <v>217</v>
      </c>
      <c r="AB103" s="1987"/>
      <c r="AC103" s="1988"/>
      <c r="AD103" s="1988"/>
      <c r="AE103" s="1988"/>
      <c r="AF103" s="1988"/>
      <c r="AG103" s="1988"/>
      <c r="AH103" s="1988"/>
      <c r="AI103" s="1989"/>
      <c r="AJ103" s="227"/>
      <c r="AK103" s="227"/>
      <c r="AL103" s="1232"/>
      <c r="AM103" s="1232"/>
      <c r="AN103" s="1232"/>
      <c r="AO103" s="1233"/>
      <c r="AP103" s="1233"/>
    </row>
    <row customHeight="1" ht="14.625">
      <c r="E104" s="794">
        <v>15</v>
      </c>
      <c r="W104" s="168" t="s">
        <v>1014</v>
      </c>
      <c r="AA104" s="210"/>
      <c r="AB104" s="1475" t="s">
        <v>701</v>
      </c>
      <c r="AC104" s="1476"/>
      <c r="AD104" s="984"/>
      <c r="AE104" s="380"/>
      <c r="AF104" s="380"/>
      <c r="AG104" s="380"/>
      <c r="AH104" s="380"/>
      <c r="AI104" s="347"/>
    </row>
    <row customHeight="1" ht="11.25">
      <c r="AJ105" s="227"/>
    </row>
  </sheetData>
  <sheetProtection formatColumns="0" formatRows="0" insertRows="0" deleteColumns="0" deleteRows="0" sort="0" autoFilter="0" insertColumns="1"/>
  <mergeCells count="17">
    <mergeCell ref="AB104:AC104"/>
    <mergeCell ref="AB22:AI22"/>
    <mergeCell ref="AB24:AB25"/>
    <mergeCell ref="AC24:AC25"/>
    <mergeCell ref="AD24:AD25"/>
    <mergeCell ref="AG24:AG25"/>
    <mergeCell ref="AH24:AH25"/>
    <mergeCell ref="AI24:AI25"/>
    <mergeCell ref="X27:X50"/>
    <mergeCell ref="Z27:Z50"/>
    <mergeCell ref="AB101:AI101"/>
    <mergeCell ref="AB102:AI102"/>
    <mergeCell ref="AB103:AI103"/>
    <mergeCell ref="X51:X74"/>
    <mergeCell ref="Z51:Z74"/>
    <mergeCell ref="X75:X98"/>
    <mergeCell ref="Z75:Z98"/>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AE86 AF86 AE87 AF87 AE88 AF88 AG88 AH88 AI88 AE89 AF89 AE91 AF91 AG91 AH91 AI9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ACC86-D9BE-5CE8-0071-5B1CFE60F088}" mc:Ignorable="x14ac xr xr2 xr3">
  <sheetPr>
    <tabColor rgb="FF92D050"/>
    <outlinePr summaryRight="0" summaryBelow="0"/>
    <pageSetUpPr fitToPage="1"/>
  </sheetPr>
  <dimension ref="A1:BI114"/>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5" style="227" width="12.6328125" customWidth="1"/>
    <col min="36" max="40" style="227" width="12.6328125" hidden="1" customWidth="1"/>
    <col min="41" max="45" style="227" width="12.6328125" customWidth="1"/>
    <col min="46"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1566</v>
      </c>
      <c r="N1" s="1305" t="s">
        <v>1794</v>
      </c>
      <c r="O1" s="1305" t="s">
        <v>1568</v>
      </c>
      <c r="P1" s="1305" t="s">
        <v>1995</v>
      </c>
      <c r="Q1" s="1306" t="s">
        <v>1996</v>
      </c>
      <c r="R1" s="1306" t="s">
        <v>98</v>
      </c>
      <c r="S1" s="1305" t="s">
        <v>1567</v>
      </c>
      <c r="T1" s="805" t="s">
        <v>86</v>
      </c>
      <c r="U1" s="805" t="s">
        <v>91</v>
      </c>
      <c r="V1" s="805" t="s">
        <v>87</v>
      </c>
      <c r="W1" s="805" t="s">
        <v>88</v>
      </c>
      <c r="X1" s="805" t="s">
        <v>89</v>
      </c>
      <c r="Y1" s="816" t="s">
        <v>376</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377</v>
      </c>
      <c r="BE1" s="1342" t="s">
        <v>378</v>
      </c>
      <c r="BF1" s="1342" t="s">
        <v>379</v>
      </c>
      <c r="BG1" s="1343" t="s">
        <v>382</v>
      </c>
      <c r="BH1" s="1343" t="s">
        <v>383</v>
      </c>
      <c r="BI1" s="1261" t="s">
        <v>1570</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430</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431</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432</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388</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379</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1571</v>
      </c>
      <c r="AF13" s="1266" t="s">
        <v>1571</v>
      </c>
      <c r="AG13" s="1266" t="s">
        <v>1571</v>
      </c>
      <c r="AH13" s="1266" t="s">
        <v>1571</v>
      </c>
      <c r="AI13" s="1266" t="s">
        <v>1571</v>
      </c>
      <c r="AJ13" s="1266" t="s">
        <v>1571</v>
      </c>
      <c r="AK13" s="1266" t="s">
        <v>1571</v>
      </c>
      <c r="AL13" s="1266" t="s">
        <v>1571</v>
      </c>
      <c r="AM13" s="1266" t="s">
        <v>1571</v>
      </c>
      <c r="AN13" s="1266" t="s">
        <v>1571</v>
      </c>
      <c r="AO13" s="1266" t="s">
        <v>1571</v>
      </c>
      <c r="AP13" s="1266" t="s">
        <v>1571</v>
      </c>
      <c r="AQ13" s="1266" t="s">
        <v>1571</v>
      </c>
      <c r="AR13" s="1266" t="s">
        <v>1571</v>
      </c>
      <c r="AS13" s="1266" t="s">
        <v>1571</v>
      </c>
      <c r="AT13" s="1266" t="s">
        <v>1571</v>
      </c>
      <c r="AU13" s="1266" t="s">
        <v>1571</v>
      </c>
      <c r="AV13" s="1266" t="s">
        <v>1571</v>
      </c>
      <c r="AW13" s="1266" t="s">
        <v>1571</v>
      </c>
      <c r="AX13" s="1266" t="s">
        <v>1571</v>
      </c>
      <c r="BD13" s="1272"/>
      <c r="BE13" s="1272"/>
      <c r="BF13" s="1272"/>
      <c r="BG13" s="1272"/>
      <c r="BH13" s="1272"/>
    </row>
    <row s="1267" customFormat="1" customHeight="1" ht="12" hidden="1">
      <c r="A14" s="1273" t="s">
        <v>1572</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2026</v>
      </c>
      <c r="AF14" s="1270">
        <f>AE14+1</f>
        <v>2027</v>
      </c>
      <c r="AG14" s="1270">
        <f>AF14+1</f>
        <v>2028</v>
      </c>
      <c r="AH14" s="1270">
        <f>AG14+1</f>
        <v>2029</v>
      </c>
      <c r="AI14" s="1270">
        <f>AH14+1</f>
        <v>2030</v>
      </c>
      <c r="AJ14" s="1270">
        <f>AI14+1</f>
        <v>2031</v>
      </c>
      <c r="AK14" s="1270">
        <f>AJ14+1</f>
        <v>2032</v>
      </c>
      <c r="AL14" s="1270">
        <f>AK14+1</f>
        <v>2033</v>
      </c>
      <c r="AM14" s="1270">
        <f>AL14+1</f>
        <v>2034</v>
      </c>
      <c r="AN14" s="1270">
        <f>AM14+1</f>
        <v>2035</v>
      </c>
      <c r="AO14" s="1270" cm="1" t="str">
        <f t="array" ref="AO14:AO14">first_year</f>
        <v>2026</v>
      </c>
      <c r="AP14" s="1270">
        <f>AO14+1</f>
        <v>2027</v>
      </c>
      <c r="AQ14" s="1270">
        <f>AP14+1</f>
        <v>2028</v>
      </c>
      <c r="AR14" s="1270">
        <f>AQ14+1</f>
        <v>2029</v>
      </c>
      <c r="AS14" s="1270">
        <f>AR14+1</f>
        <v>2030</v>
      </c>
      <c r="AT14" s="1270">
        <f>AS14+1</f>
        <v>2031</v>
      </c>
      <c r="AU14" s="1270">
        <f>AT14+1</f>
        <v>2032</v>
      </c>
      <c r="AV14" s="1270">
        <f>AU14+1</f>
        <v>2033</v>
      </c>
      <c r="AW14" s="1270">
        <f>AV14+1</f>
        <v>2034</v>
      </c>
      <c r="AX14" s="1270">
        <f>AW14+1</f>
        <v>2035</v>
      </c>
      <c r="BD14" s="1272"/>
      <c r="BE14" s="1272"/>
      <c r="BF14" s="1272"/>
      <c r="BG14" s="1272"/>
      <c r="BH14" s="1272"/>
    </row>
    <row s="1267" customFormat="1" customHeight="1" ht="12" hidden="1">
      <c r="A15" s="1273" t="s">
        <v>1573</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1575</v>
      </c>
      <c r="AF15" s="1266" t="s">
        <v>1575</v>
      </c>
      <c r="AG15" s="1266" t="s">
        <v>1575</v>
      </c>
      <c r="AH15" s="1266" t="s">
        <v>1575</v>
      </c>
      <c r="AI15" s="1266" t="s">
        <v>1575</v>
      </c>
      <c r="AJ15" s="1266" t="s">
        <v>1575</v>
      </c>
      <c r="AK15" s="1266" t="s">
        <v>1575</v>
      </c>
      <c r="AL15" s="1266" t="s">
        <v>1575</v>
      </c>
      <c r="AM15" s="1266" t="s">
        <v>1575</v>
      </c>
      <c r="AN15" s="1266" t="s">
        <v>1575</v>
      </c>
      <c r="AO15" s="1266" t="s">
        <v>1574</v>
      </c>
      <c r="AP15" s="1266" t="s">
        <v>1574</v>
      </c>
      <c r="AQ15" s="1266" t="s">
        <v>1574</v>
      </c>
      <c r="AR15" s="1266" t="s">
        <v>1574</v>
      </c>
      <c r="AS15" s="1266" t="s">
        <v>1574</v>
      </c>
      <c r="AT15" s="1266" t="s">
        <v>1574</v>
      </c>
      <c r="AU15" s="1266" t="s">
        <v>1574</v>
      </c>
      <c r="AV15" s="1266" t="s">
        <v>1574</v>
      </c>
      <c r="AW15" s="1266" t="s">
        <v>1574</v>
      </c>
      <c r="AX15" s="1266" t="s">
        <v>1574</v>
      </c>
      <c r="BD15" s="1272"/>
      <c r="BE15" s="1272"/>
      <c r="BF15" s="1272"/>
      <c r="BG15" s="1272"/>
      <c r="BH15" s="1272"/>
    </row>
    <row s="1267" customFormat="1" customHeight="1" ht="12" hidden="1">
      <c r="A16" s="1305" t="s">
        <v>1581</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1582</v>
      </c>
      <c r="AZ16" s="1266" t="s">
        <v>1583</v>
      </c>
      <c r="BA16" s="1266" t="s">
        <v>1584</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390</v>
      </c>
      <c r="AC24" s="1544" t="s">
        <v>433</v>
      </c>
      <c r="AD24" s="1544" t="s">
        <v>434</v>
      </c>
      <c r="AE24" s="1357" t="str">
        <f>first_year&amp;" год"</f>
        <v>2026 год</v>
      </c>
      <c r="AF24" s="1357" t="str">
        <f>first_year+1&amp;" год"</f>
        <v>2027 год</v>
      </c>
      <c r="AG24" s="1357" t="str">
        <f>first_year+2&amp;" год"</f>
        <v>2028 год</v>
      </c>
      <c r="AH24" s="1357" t="str">
        <f>first_year+3&amp;" год"</f>
        <v>2029 год</v>
      </c>
      <c r="AI24" s="1357" t="str">
        <f>first_year+4&amp;" год"</f>
        <v>2030 год</v>
      </c>
      <c r="AJ24" s="1353" t="str">
        <f>first_year+5&amp;" год"</f>
        <v>2031 год</v>
      </c>
      <c r="AK24" s="1353" t="str">
        <f>first_year+6&amp;" год"</f>
        <v>2032 год</v>
      </c>
      <c r="AL24" s="1353" t="str">
        <f>first_year+7&amp;" год"</f>
        <v>2033 год</v>
      </c>
      <c r="AM24" s="1353" t="str">
        <f>first_year+8&amp;" год"</f>
        <v>2034 год</v>
      </c>
      <c r="AN24" s="1353" t="str">
        <f>first_year+9&amp;" год"</f>
        <v>2035 год</v>
      </c>
      <c r="AO24" s="167" t="str">
        <f>first_year&amp;" год"</f>
        <v>2026 год</v>
      </c>
      <c r="AP24" s="167" t="str">
        <f>first_year+1&amp;" год"</f>
        <v>2027 год</v>
      </c>
      <c r="AQ24" s="167" t="str">
        <f>first_year+2&amp;" год"</f>
        <v>2028 год</v>
      </c>
      <c r="AR24" s="167" t="str">
        <f>first_year+3&amp;" год"</f>
        <v>2029 год</v>
      </c>
      <c r="AS24" s="167" t="str">
        <f>first_year+4&amp;" год"</f>
        <v>2030 год</v>
      </c>
      <c r="AT24" s="167" t="str">
        <f>first_year+5&amp;" год"</f>
        <v>2031 год</v>
      </c>
      <c r="AU24" s="167" t="str">
        <f>first_year+6&amp;" год"</f>
        <v>2032 год</v>
      </c>
      <c r="AV24" s="167" t="str">
        <f>first_year+7&amp;" год"</f>
        <v>2033 год</v>
      </c>
      <c r="AW24" s="167" t="str">
        <f>first_year+8&amp;" год"</f>
        <v>2034 год</v>
      </c>
      <c r="AX24" s="171" t="str">
        <f>first_year+9&amp;" год"</f>
        <v>2035 год</v>
      </c>
      <c r="AY24" s="1543" t="s">
        <v>1288</v>
      </c>
      <c r="AZ24" s="1543" t="s">
        <v>587</v>
      </c>
      <c r="BA24" s="1543" t="s">
        <v>1289</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408</v>
      </c>
      <c r="AF25" s="1354" t="s">
        <v>408</v>
      </c>
      <c r="AG25" s="1354" t="s">
        <v>408</v>
      </c>
      <c r="AH25" s="1354" t="s">
        <v>408</v>
      </c>
      <c r="AI25" s="1354" t="s">
        <v>408</v>
      </c>
      <c r="AJ25" s="1354" t="s">
        <v>408</v>
      </c>
      <c r="AK25" s="1354" t="s">
        <v>408</v>
      </c>
      <c r="AL25" s="1354" t="s">
        <v>408</v>
      </c>
      <c r="AM25" s="1354" t="s">
        <v>408</v>
      </c>
      <c r="AN25" s="1354" t="s">
        <v>408</v>
      </c>
      <c r="AO25" s="410" t="s">
        <v>407</v>
      </c>
      <c r="AP25" s="410" t="s">
        <v>407</v>
      </c>
      <c r="AQ25" s="410" t="s">
        <v>407</v>
      </c>
      <c r="AR25" s="410" t="s">
        <v>407</v>
      </c>
      <c r="AS25" s="410" t="s">
        <v>407</v>
      </c>
      <c r="AT25" s="410" t="s">
        <v>407</v>
      </c>
      <c r="AU25" s="410" t="s">
        <v>407</v>
      </c>
      <c r="AV25" s="410" t="s">
        <v>407</v>
      </c>
      <c r="AW25" s="410" t="s">
        <v>407</v>
      </c>
      <c r="AX25" s="166" t="s">
        <v>407</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сведения'!$AK$169:$AK$218,MATCH($F27,'Общие сведения'!$Z$169:$Z$218,0))</f>
        <v>0</v>
      </c>
      <c r="I27" s="210" cm="1" t="str">
        <f t="array" ref="I27:I27">INDEX('Общие сведения'!$AE$169:$AE$218,MATCH($F27,'Общие сведения'!$Z$169:$Z$218,0))</f>
        <v>Теплоснабжение</v>
      </c>
      <c r="K27" s="210" cm="1" t="str">
        <f t="array" ref="K27:K27">INDEX('Общие сведения'!$AL$169:$AL$218,MATCH($F27,'Общие сведения'!$Z$169:$Z$218,0))</f>
        <v>0</v>
      </c>
      <c r="L27" s="1296"/>
      <c r="M27" s="1296"/>
      <c r="N27" s="1296"/>
      <c r="O27" s="1296"/>
      <c r="P27" s="1296"/>
      <c r="Q27" s="1292"/>
      <c r="R27" s="1292"/>
      <c r="S27" s="1296"/>
      <c r="T27" s="805">
        <f>AND(F27&gt;0,OR(ISBLANK(Y27),Y27&gt;0))</f>
        <v>0</v>
      </c>
      <c r="V27" s="172" t="s">
        <v>309</v>
      </c>
      <c r="X27" s="1554">
        <v>0</v>
      </c>
      <c r="AB27" s="327" cm="1" t="str">
        <f t="array" ref="AB27:AB27">INDEX('Общие сведения'!$AG$169:$AG$218,MATCH($F27,'Общие сведения'!$Z$169:$Z$218,0))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1693</v>
      </c>
      <c r="D28" s="1317" t="s">
        <v>1694</v>
      </c>
      <c r="E28" s="794">
        <v>17</v>
      </c>
      <c r="F28" s="736" cm="1" t="str">
        <f t="array" ref="F28:F28">OFFSET(G28,-1,-1)</f>
        <v>0</v>
      </c>
      <c r="L28" s="1284"/>
      <c r="M28" s="1284" cm="1" t="str">
        <f t="array" ref="M28:M28">INDEX('Общие сведения'!$N$169:$N$218,MATCH($F27,'Общие сведения'!$Z$169:$Z$218,0)+1)</f>
        <v>0</v>
      </c>
      <c r="N28" s="1284" t="s">
        <v>1997</v>
      </c>
      <c r="O28" s="1284"/>
      <c r="P28" s="1284"/>
      <c r="Q28" s="1286"/>
      <c r="R28" s="1286"/>
      <c r="S28" s="1284"/>
      <c r="T28" s="805">
        <f>AND(F28&gt;0,OR(ISBLANK(Y28),Y28&gt;0))</f>
        <v>0</v>
      </c>
      <c r="AB28" s="170">
        <v>1</v>
      </c>
      <c r="AC28" s="624" t="s">
        <v>1998</v>
      </c>
      <c r="AD28" s="555" t="s">
        <v>1400</v>
      </c>
      <c r="AE28" s="308">
        <f>AE29+AE35+AE45</f>
        <v>0</v>
      </c>
      <c r="AF28" s="308">
        <f>AF29+AF35+AF45</f>
        <v>0</v>
      </c>
      <c r="AG28" s="308">
        <f>AG29+AG35+AG45</f>
        <v>0</v>
      </c>
      <c r="AH28" s="308">
        <f>AH29+AH35+AH45</f>
        <v>0</v>
      </c>
      <c r="AI28" s="308">
        <f>AI29+AI35+AI45</f>
        <v>0</v>
      </c>
      <c r="AJ28" s="98">
        <f>AJ29+AJ35+AJ45</f>
        <v>0</v>
      </c>
      <c r="AK28" s="98">
        <f>AK29+AK35+AK45</f>
        <v>0</v>
      </c>
      <c r="AL28" s="98">
        <f>AL29+AL35+AL45</f>
        <v>0</v>
      </c>
      <c r="AM28" s="98">
        <f>AM29+AM35+AM45</f>
        <v>0</v>
      </c>
      <c r="AN28" s="98">
        <f>AN29+AN35+AN45</f>
        <v>0</v>
      </c>
      <c r="AO28" s="308">
        <f>AO29+AO35+AO45</f>
        <v>0</v>
      </c>
      <c r="AP28" s="308">
        <f>AP29+AP35+AP45</f>
        <v>0</v>
      </c>
      <c r="AQ28" s="308">
        <f>AQ29+AQ35+AQ45</f>
        <v>0</v>
      </c>
      <c r="AR28" s="308">
        <f>AR29+AR35+AR45</f>
        <v>0</v>
      </c>
      <c r="AS28" s="308">
        <f>AS29+AS35+AS45</f>
        <v>0</v>
      </c>
      <c r="AT28" s="98">
        <f>AT29+AT35+AT45</f>
        <v>0</v>
      </c>
      <c r="AU28" s="98">
        <f>AU29+AU35+AU45</f>
        <v>0</v>
      </c>
      <c r="AV28" s="98">
        <f>AV29+AV35+AV45</f>
        <v>0</v>
      </c>
      <c r="AW28" s="98">
        <f>AW29+AW35+AW45</f>
        <v>0</v>
      </c>
      <c r="AX28" s="98">
        <f>AX29+AX35+AX45</f>
        <v>0</v>
      </c>
      <c r="AY28" s="73"/>
      <c r="AZ28" s="73"/>
      <c r="BA28" s="73"/>
      <c r="BD28" s="1232" t="s">
        <v>1999</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1693</v>
      </c>
      <c r="D29" s="1317" t="s">
        <v>1694</v>
      </c>
      <c r="E29" s="794">
        <v>17</v>
      </c>
      <c r="F29" s="736" cm="1" t="str">
        <f t="array" ref="F29:F29">OFFSET(G29,-1,-1)</f>
        <v>0</v>
      </c>
      <c r="L29" s="1284"/>
      <c r="M29" s="1284" cm="1" t="str">
        <f t="array" ref="M29:M29">OFFSET(L29,-1,1)</f>
        <v>0</v>
      </c>
      <c r="N29" s="1284" t="s">
        <v>1997</v>
      </c>
      <c r="O29" s="1284" t="s">
        <v>1770</v>
      </c>
      <c r="P29" s="1284"/>
      <c r="Q29" s="1286"/>
      <c r="R29" s="1286"/>
      <c r="S29" s="1284"/>
      <c r="T29" s="805">
        <f>AND(F29&gt;0,OR(ISBLANK(Y29),Y29&gt;0))</f>
        <v>0</v>
      </c>
      <c r="AB29" s="170" t="s">
        <v>442</v>
      </c>
      <c r="AC29" s="1031" t="s">
        <v>2000</v>
      </c>
      <c r="AD29" s="555" t="s">
        <v>1400</v>
      </c>
      <c r="AE29" s="308">
        <f>AE30+AE34</f>
        <v>0</v>
      </c>
      <c r="AF29" s="308">
        <f>AF30+AF34</f>
        <v>0</v>
      </c>
      <c r="AG29" s="308">
        <f>AG30+AG34</f>
        <v>0</v>
      </c>
      <c r="AH29" s="308">
        <f>AH30+AH34</f>
        <v>0</v>
      </c>
      <c r="AI29" s="308">
        <f>AI30+AI34</f>
        <v>0</v>
      </c>
      <c r="AJ29" s="98">
        <f>AJ30+AJ34</f>
        <v>0</v>
      </c>
      <c r="AK29" s="98">
        <f>AK30+AK34</f>
        <v>0</v>
      </c>
      <c r="AL29" s="98">
        <f>AL30+AL34</f>
        <v>0</v>
      </c>
      <c r="AM29" s="98">
        <f>AM30+AM34</f>
        <v>0</v>
      </c>
      <c r="AN29" s="98">
        <f>AN30+AN34</f>
        <v>0</v>
      </c>
      <c r="AO29" s="308">
        <f>AO30+AO34</f>
        <v>0</v>
      </c>
      <c r="AP29" s="308">
        <f>AP30+AP34</f>
        <v>0</v>
      </c>
      <c r="AQ29" s="308">
        <f>AQ30+AQ34</f>
        <v>0</v>
      </c>
      <c r="AR29" s="308">
        <f>AR30+AR34</f>
        <v>0</v>
      </c>
      <c r="AS29" s="308">
        <f>AS30+AS34</f>
        <v>0</v>
      </c>
      <c r="AT29" s="98">
        <f>AT30+AT34</f>
        <v>0</v>
      </c>
      <c r="AU29" s="98">
        <f>AU30+AU34</f>
        <v>0</v>
      </c>
      <c r="AV29" s="98">
        <f>AV30+AV34</f>
        <v>0</v>
      </c>
      <c r="AW29" s="98">
        <f>AW30+AW34</f>
        <v>0</v>
      </c>
      <c r="AX29" s="98">
        <f>AX30+AX34</f>
        <v>0</v>
      </c>
      <c r="AY29" s="73"/>
      <c r="AZ29" s="73"/>
      <c r="BA29" s="73"/>
      <c r="BD29" s="1232" t="s">
        <v>2001</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1693</v>
      </c>
      <c r="D30" s="1317" t="s">
        <v>1694</v>
      </c>
      <c r="E30" s="794">
        <v>17</v>
      </c>
      <c r="F30" s="736" cm="1" t="str">
        <f t="array" ref="F30:F30">OFFSET(G30,-1,-1)</f>
        <v>0</v>
      </c>
      <c r="L30" s="1284"/>
      <c r="M30" s="1284" cm="1" t="str">
        <f t="array" ref="M30:M30">OFFSET(L30,-1,1)</f>
        <v>0</v>
      </c>
      <c r="N30" s="1284" t="s">
        <v>1997</v>
      </c>
      <c r="O30" s="1284" t="s">
        <v>1770</v>
      </c>
      <c r="P30" s="1284" t="s">
        <v>2002</v>
      </c>
      <c r="Q30" s="1286"/>
      <c r="R30" s="1286"/>
      <c r="S30" s="1284"/>
      <c r="T30" s="805">
        <f>AND(F30&gt;0,OR(ISBLANK(Y30),Y30&gt;0))</f>
        <v>0</v>
      </c>
      <c r="AB30" s="577" t="s">
        <v>1152</v>
      </c>
      <c r="AC30" s="559" t="s">
        <v>2003</v>
      </c>
      <c r="AD30" s="1013" t="s">
        <v>1400</v>
      </c>
      <c r="AE30" s="308"/>
      <c r="AF30" s="308"/>
      <c r="AG30" s="308"/>
      <c r="AH30" s="308"/>
      <c r="AI30" s="308"/>
      <c r="AJ30" s="98"/>
      <c r="AK30" s="98"/>
      <c r="AL30" s="98"/>
      <c r="AM30" s="98"/>
      <c r="AN30" s="98"/>
      <c r="AO30" s="308"/>
      <c r="AP30" s="308"/>
      <c r="AQ30" s="308"/>
      <c r="AR30" s="308"/>
      <c r="AS30" s="308"/>
      <c r="AT30" s="98"/>
      <c r="AU30" s="98"/>
      <c r="AV30" s="98"/>
      <c r="AW30" s="98"/>
      <c r="AX30" s="98"/>
      <c r="AY30" s="73"/>
      <c r="AZ30" s="73"/>
      <c r="BA30" s="73"/>
      <c r="BD30" s="1232" t="s">
        <v>2004</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1693</v>
      </c>
      <c r="D31" s="1317" t="s">
        <v>1694</v>
      </c>
      <c r="E31" s="794">
        <v>17</v>
      </c>
      <c r="F31" s="736" cm="1" t="str">
        <f t="array" ref="F31:F31">OFFSET(G31,-1,-1)</f>
        <v>0</v>
      </c>
      <c r="L31" s="1284"/>
      <c r="M31" s="1284" cm="1" t="str">
        <f t="array" ref="M31:M31">OFFSET(L31,-1,1)</f>
        <v>0</v>
      </c>
      <c r="N31" s="1284" t="s">
        <v>1997</v>
      </c>
      <c r="O31" s="1284" t="s">
        <v>1770</v>
      </c>
      <c r="P31" s="1284" t="s">
        <v>2002</v>
      </c>
      <c r="Q31" s="1286"/>
      <c r="R31" s="1286" t="s">
        <v>2005</v>
      </c>
      <c r="S31" s="1284"/>
      <c r="T31" s="805">
        <f>AND(F31&gt;0,OR(ISBLANK(Y31),Y31&gt;0))</f>
        <v>0</v>
      </c>
      <c r="AB31" s="577" t="s">
        <v>2006</v>
      </c>
      <c r="AC31" s="587" t="s">
        <v>2007</v>
      </c>
      <c r="AD31" s="1013" t="s">
        <v>1400</v>
      </c>
      <c r="AE31" s="308"/>
      <c r="AF31" s="308"/>
      <c r="AG31" s="308"/>
      <c r="AH31" s="308"/>
      <c r="AI31" s="308"/>
      <c r="AJ31" s="98"/>
      <c r="AK31" s="98"/>
      <c r="AL31" s="98"/>
      <c r="AM31" s="98"/>
      <c r="AN31" s="98"/>
      <c r="AO31" s="308"/>
      <c r="AP31" s="308"/>
      <c r="AQ31" s="308"/>
      <c r="AR31" s="308"/>
      <c r="AS31" s="308"/>
      <c r="AT31" s="98"/>
      <c r="AU31" s="98"/>
      <c r="AV31" s="98"/>
      <c r="AW31" s="98"/>
      <c r="AX31" s="98"/>
      <c r="AY31" s="73"/>
      <c r="AZ31" s="73"/>
      <c r="BA31" s="73"/>
      <c r="BD31" s="1232" t="s">
        <v>2008</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1693</v>
      </c>
      <c r="D32" s="1317" t="s">
        <v>1694</v>
      </c>
      <c r="E32" s="794">
        <v>35</v>
      </c>
      <c r="F32" s="736" cm="1" t="str">
        <f t="array" ref="F32:F32">OFFSET(G32,-1,-1)</f>
        <v>0</v>
      </c>
      <c r="L32" s="1284"/>
      <c r="M32" s="1284" cm="1" t="str">
        <f t="array" ref="M32:M32">OFFSET(L32,-1,1)</f>
        <v>0</v>
      </c>
      <c r="N32" s="1284" t="s">
        <v>1997</v>
      </c>
      <c r="O32" s="1284" t="s">
        <v>1770</v>
      </c>
      <c r="P32" s="1284" t="s">
        <v>2002</v>
      </c>
      <c r="Q32" s="1286" t="s">
        <v>2009</v>
      </c>
      <c r="R32" s="1286"/>
      <c r="S32" s="1284"/>
      <c r="T32" s="805">
        <f>AND(F32&gt;0,OR(ISBLANK(Y32),Y32&gt;0))</f>
        <v>0</v>
      </c>
      <c r="AB32" s="577" t="s">
        <v>2010</v>
      </c>
      <c r="AC32" s="578" t="s">
        <v>2011</v>
      </c>
      <c r="AD32" s="1013" t="s">
        <v>1400</v>
      </c>
      <c r="AE32" s="308"/>
      <c r="AF32" s="308"/>
      <c r="AG32" s="308"/>
      <c r="AH32" s="308"/>
      <c r="AI32" s="308"/>
      <c r="AJ32" s="98"/>
      <c r="AK32" s="98"/>
      <c r="AL32" s="98"/>
      <c r="AM32" s="98"/>
      <c r="AN32" s="98"/>
      <c r="AO32" s="308"/>
      <c r="AP32" s="308"/>
      <c r="AQ32" s="308"/>
      <c r="AR32" s="308"/>
      <c r="AS32" s="308"/>
      <c r="AT32" s="98"/>
      <c r="AU32" s="98"/>
      <c r="AV32" s="98"/>
      <c r="AW32" s="98"/>
      <c r="AX32" s="98"/>
      <c r="AY32" s="73"/>
      <c r="AZ32" s="73"/>
      <c r="BA32" s="73"/>
      <c r="BD32" s="1232" t="s">
        <v>2012</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1693</v>
      </c>
      <c r="D33" s="1317" t="s">
        <v>1694</v>
      </c>
      <c r="E33" s="794">
        <v>17</v>
      </c>
      <c r="F33" s="736" cm="1" t="str">
        <f t="array" ref="F33:F33">OFFSET(G33,-1,-1)</f>
        <v>0</v>
      </c>
      <c r="L33" s="1284"/>
      <c r="M33" s="1284" cm="1" t="str">
        <f t="array" ref="M33:M33">OFFSET(L33,-1,1)</f>
        <v>0</v>
      </c>
      <c r="N33" s="1284" t="s">
        <v>1997</v>
      </c>
      <c r="O33" s="1284" t="s">
        <v>1770</v>
      </c>
      <c r="P33" s="1284" t="s">
        <v>2002</v>
      </c>
      <c r="Q33" s="1286" t="s">
        <v>2013</v>
      </c>
      <c r="R33" s="1286"/>
      <c r="S33" s="1284"/>
      <c r="T33" s="805">
        <f>AND(F33&gt;0,OR(ISBLANK(Y33),Y33&gt;0))</f>
        <v>0</v>
      </c>
      <c r="AB33" s="577" t="s">
        <v>2014</v>
      </c>
      <c r="AC33" s="578" t="s">
        <v>2015</v>
      </c>
      <c r="AD33" s="1013" t="s">
        <v>1400</v>
      </c>
      <c r="AE33" s="308"/>
      <c r="AF33" s="308"/>
      <c r="AG33" s="308"/>
      <c r="AH33" s="308"/>
      <c r="AI33" s="308"/>
      <c r="AJ33" s="98"/>
      <c r="AK33" s="98"/>
      <c r="AL33" s="98"/>
      <c r="AM33" s="98"/>
      <c r="AN33" s="98"/>
      <c r="AO33" s="308"/>
      <c r="AP33" s="308"/>
      <c r="AQ33" s="308"/>
      <c r="AR33" s="308"/>
      <c r="AS33" s="308"/>
      <c r="AT33" s="98"/>
      <c r="AU33" s="98"/>
      <c r="AV33" s="98"/>
      <c r="AW33" s="98"/>
      <c r="AX33" s="98"/>
      <c r="AY33" s="73"/>
      <c r="AZ33" s="73"/>
      <c r="BA33" s="73"/>
      <c r="BD33" s="1232" t="s">
        <v>2016</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1693</v>
      </c>
      <c r="D34" s="1317" t="s">
        <v>1694</v>
      </c>
      <c r="E34" s="794">
        <v>17</v>
      </c>
      <c r="F34" s="736" cm="1" t="str">
        <f t="array" ref="F34:F34">OFFSET(G34,-1,-1)</f>
        <v>0</v>
      </c>
      <c r="L34" s="1284"/>
      <c r="M34" s="1284" cm="1" t="str">
        <f t="array" ref="M34:M34">OFFSET(L34,-1,1)</f>
        <v>0</v>
      </c>
      <c r="N34" s="1284" t="s">
        <v>1997</v>
      </c>
      <c r="O34" s="1284" t="s">
        <v>1770</v>
      </c>
      <c r="P34" s="1284" t="s">
        <v>2017</v>
      </c>
      <c r="Q34" s="1286"/>
      <c r="R34" s="1286"/>
      <c r="S34" s="1284"/>
      <c r="T34" s="805">
        <f>AND(F34&gt;0,OR(ISBLANK(Y34),Y34&gt;0))</f>
        <v>0</v>
      </c>
      <c r="AB34" s="1117" t="s">
        <v>1156</v>
      </c>
      <c r="AC34" s="559" t="s">
        <v>2018</v>
      </c>
      <c r="AD34" s="1013" t="s">
        <v>1400</v>
      </c>
      <c r="AE34" s="308"/>
      <c r="AF34" s="308"/>
      <c r="AG34" s="308"/>
      <c r="AH34" s="308"/>
      <c r="AI34" s="308"/>
      <c r="AJ34" s="98"/>
      <c r="AK34" s="98"/>
      <c r="AL34" s="98"/>
      <c r="AM34" s="98"/>
      <c r="AN34" s="98"/>
      <c r="AO34" s="308"/>
      <c r="AP34" s="308"/>
      <c r="AQ34" s="308"/>
      <c r="AR34" s="308"/>
      <c r="AS34" s="308"/>
      <c r="AT34" s="98"/>
      <c r="AU34" s="98"/>
      <c r="AV34" s="98"/>
      <c r="AW34" s="98"/>
      <c r="AX34" s="98"/>
      <c r="AY34" s="73"/>
      <c r="AZ34" s="73"/>
      <c r="BA34" s="73"/>
      <c r="BD34" s="1232" t="s">
        <v>2019</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1693</v>
      </c>
      <c r="D35" s="1317" t="s">
        <v>1694</v>
      </c>
      <c r="E35" s="794">
        <v>35</v>
      </c>
      <c r="F35" s="736" cm="1" t="str">
        <f t="array" ref="F35:F35">OFFSET(G35,-1,-1)</f>
        <v>0</v>
      </c>
      <c r="L35" s="1284"/>
      <c r="M35" s="1284" cm="1" t="str">
        <f t="array" ref="M35:M35">OFFSET(L35,-1,1)</f>
        <v>0</v>
      </c>
      <c r="N35" s="1284" t="s">
        <v>1997</v>
      </c>
      <c r="O35" s="1284" t="s">
        <v>1770</v>
      </c>
      <c r="P35" s="1284" t="s">
        <v>2020</v>
      </c>
      <c r="Q35" s="1286"/>
      <c r="R35" s="1286"/>
      <c r="S35" s="1284"/>
      <c r="T35" s="805">
        <f>AND(F35&gt;0,OR(ISBLANK(Y35),Y35&gt;0))</f>
        <v>0</v>
      </c>
      <c r="AB35" s="577" t="s">
        <v>931</v>
      </c>
      <c r="AC35" s="161" t="s">
        <v>2021</v>
      </c>
      <c r="AD35" s="1013" t="s">
        <v>1400</v>
      </c>
      <c r="AE35" s="308">
        <f>AE36+AE39+AE42</f>
        <v>0</v>
      </c>
      <c r="AF35" s="308">
        <f>AF36+AF39+AF42</f>
        <v>0</v>
      </c>
      <c r="AG35" s="308">
        <f>AG36+AG39+AG42</f>
        <v>0</v>
      </c>
      <c r="AH35" s="308">
        <f>AH36+AH39+AH42</f>
        <v>0</v>
      </c>
      <c r="AI35" s="308">
        <f>AI36+AI39+AI42</f>
        <v>0</v>
      </c>
      <c r="AJ35" s="98">
        <f>AJ36+AJ39+AJ42</f>
        <v>0</v>
      </c>
      <c r="AK35" s="98">
        <f>AK36+AK39+AK42</f>
        <v>0</v>
      </c>
      <c r="AL35" s="98">
        <f>AL36+AL39+AL42</f>
        <v>0</v>
      </c>
      <c r="AM35" s="98">
        <f>AM36+AM39+AM42</f>
        <v>0</v>
      </c>
      <c r="AN35" s="98">
        <f>AN36+AN39+AN42</f>
        <v>0</v>
      </c>
      <c r="AO35" s="308">
        <f>AO36+AO39+AO42</f>
        <v>0</v>
      </c>
      <c r="AP35" s="308">
        <f>AP36+AP39+AP42</f>
        <v>0</v>
      </c>
      <c r="AQ35" s="308">
        <f>AQ36+AQ39+AQ42</f>
        <v>0</v>
      </c>
      <c r="AR35" s="308">
        <f>AR36+AR39+AR42</f>
        <v>0</v>
      </c>
      <c r="AS35" s="308">
        <f>AS36+AS39+AS42</f>
        <v>0</v>
      </c>
      <c r="AT35" s="98">
        <f>AT36+AT39+AT42</f>
        <v>0</v>
      </c>
      <c r="AU35" s="98">
        <f>AU36+AU39+AU42</f>
        <v>0</v>
      </c>
      <c r="AV35" s="98">
        <f>AV36+AV39+AV42</f>
        <v>0</v>
      </c>
      <c r="AW35" s="98">
        <f>AW36+AW39+AW42</f>
        <v>0</v>
      </c>
      <c r="AX35" s="98">
        <f>AX36+AX39+AX42</f>
        <v>0</v>
      </c>
      <c r="AY35" s="73"/>
      <c r="AZ35" s="73"/>
      <c r="BA35" s="73"/>
      <c r="BD35" s="1232" t="s">
        <v>2022</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1693</v>
      </c>
      <c r="D36" s="1317" t="s">
        <v>1694</v>
      </c>
      <c r="E36" s="794">
        <v>17</v>
      </c>
      <c r="F36" s="736" cm="1" t="str">
        <f t="array" ref="F36:F36">OFFSET(G36,-1,-1)</f>
        <v>0</v>
      </c>
      <c r="L36" s="1338"/>
      <c r="M36" s="1284" cm="1" t="str">
        <f t="array" ref="M36:M36">OFFSET(L36,-1,1)</f>
        <v>0</v>
      </c>
      <c r="N36" s="1284" t="s">
        <v>1997</v>
      </c>
      <c r="O36" s="1338" t="s">
        <v>1770</v>
      </c>
      <c r="P36" s="1338"/>
      <c r="Q36" s="1340"/>
      <c r="R36" s="1340" t="s">
        <v>2005</v>
      </c>
      <c r="S36" s="1338"/>
      <c r="T36" s="805">
        <f>AND(F36&gt;0,OR(ISBLANK(Y36),Y36&gt;0))</f>
        <v>0</v>
      </c>
      <c r="AB36" s="577" t="s">
        <v>2023</v>
      </c>
      <c r="AC36" s="559" t="s">
        <v>2007</v>
      </c>
      <c r="AD36" s="1013" t="s">
        <v>1400</v>
      </c>
      <c r="AE36" s="308">
        <f>SUM(AE37:AE38)</f>
        <v>0</v>
      </c>
      <c r="AF36" s="308">
        <f>SUM(AF37:AF38)</f>
        <v>0</v>
      </c>
      <c r="AG36" s="308">
        <f>SUM(AG37:AG38)</f>
        <v>0</v>
      </c>
      <c r="AH36" s="308">
        <f>SUM(AH37:AH38)</f>
        <v>0</v>
      </c>
      <c r="AI36" s="308">
        <f>SUM(AI37:AI38)</f>
        <v>0</v>
      </c>
      <c r="AJ36" s="98">
        <f>SUM(AJ37:AJ38)</f>
        <v>0</v>
      </c>
      <c r="AK36" s="98">
        <f>SUM(AK37:AK38)</f>
        <v>0</v>
      </c>
      <c r="AL36" s="98">
        <f>SUM(AL37:AL38)</f>
        <v>0</v>
      </c>
      <c r="AM36" s="98">
        <f>SUM(AM37:AM38)</f>
        <v>0</v>
      </c>
      <c r="AN36" s="98">
        <f>SUM(AN37:AN38)</f>
        <v>0</v>
      </c>
      <c r="AO36" s="308">
        <f>SUM(AO37:AO38)</f>
        <v>0</v>
      </c>
      <c r="AP36" s="308">
        <f>SUM(AP37:AP38)</f>
        <v>0</v>
      </c>
      <c r="AQ36" s="308">
        <f>SUM(AQ37:AQ38)</f>
        <v>0</v>
      </c>
      <c r="AR36" s="308">
        <f>SUM(AR37:AR38)</f>
        <v>0</v>
      </c>
      <c r="AS36" s="308">
        <f>SUM(AS37:AS38)</f>
        <v>0</v>
      </c>
      <c r="AT36" s="98">
        <f>SUM(AT37:AT38)</f>
        <v>0</v>
      </c>
      <c r="AU36" s="98">
        <f>SUM(AU37:AU38)</f>
        <v>0</v>
      </c>
      <c r="AV36" s="98">
        <f>SUM(AV37:AV38)</f>
        <v>0</v>
      </c>
      <c r="AW36" s="98">
        <f>SUM(AW37:AW38)</f>
        <v>0</v>
      </c>
      <c r="AX36" s="98">
        <f>SUM(AX37:AX38)</f>
        <v>0</v>
      </c>
      <c r="AY36" s="73"/>
      <c r="AZ36" s="73"/>
      <c r="BA36" s="73"/>
      <c r="BD36" s="1232" t="s">
        <v>2024</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1693</v>
      </c>
      <c r="D37" s="1317" t="s">
        <v>1694</v>
      </c>
      <c r="E37" s="794">
        <v>17</v>
      </c>
      <c r="F37" s="736" cm="1" t="str">
        <f t="array" ref="F37:F37">OFFSET(G37,-1,-1)</f>
        <v>0</v>
      </c>
      <c r="L37" s="1284" cm="1" t="str">
        <f t="array" ref="L37:L37">AC37</f>
        <v>0</v>
      </c>
      <c r="M37" s="1284" cm="1" t="str">
        <f t="array" ref="M37:M37">OFFSET(L37,-1,1)</f>
        <v>0</v>
      </c>
      <c r="N37" s="1284"/>
      <c r="O37" s="1284"/>
      <c r="P37" s="1284"/>
      <c r="Q37" s="1286"/>
      <c r="R37" s="1286" t="s">
        <v>2005</v>
      </c>
      <c r="S37" s="1284"/>
      <c r="T37" s="805">
        <f>AND(F37&gt;0,OR(ISBLANK(Y37),Y37&gt;0))</f>
        <v>0</v>
      </c>
      <c r="W37" s="172" t="s">
        <v>233</v>
      </c>
      <c r="Y37" s="172">
        <v>0</v>
      </c>
      <c r="AA37" s="914" t="s">
        <v>217</v>
      </c>
      <c r="AB37" s="577" t="str">
        <f>"1.2.1."&amp;Y37</f>
        <v>1.2.1.0</v>
      </c>
      <c r="AC37" s="143"/>
      <c r="AD37" s="1013" t="s">
        <v>1400</v>
      </c>
      <c r="AE37" s="308"/>
      <c r="AF37" s="308"/>
      <c r="AG37" s="308"/>
      <c r="AH37" s="308"/>
      <c r="AI37" s="308"/>
      <c r="AJ37" s="98"/>
      <c r="AK37" s="98"/>
      <c r="AL37" s="98"/>
      <c r="AM37" s="98"/>
      <c r="AN37" s="98"/>
      <c r="AO37" s="308"/>
      <c r="AP37" s="308"/>
      <c r="AQ37" s="308"/>
      <c r="AR37" s="308"/>
      <c r="AS37" s="308"/>
      <c r="AT37" s="98"/>
      <c r="AU37" s="98"/>
      <c r="AV37" s="98"/>
      <c r="AW37" s="98"/>
      <c r="AX37" s="98"/>
      <c r="AY37" s="73"/>
      <c r="AZ37" s="73"/>
      <c r="BA37" s="73"/>
      <c r="BD37" s="1232" t="s">
        <v>2024</v>
      </c>
      <c r="BE37" s="1232" t="s">
        <v>2025</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947</v>
      </c>
      <c r="AB38" s="299"/>
      <c r="AC38" s="732" t="s">
        <v>235</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2025</v>
      </c>
    </row>
    <row customHeight="1" ht="34.125" hidden="1">
      <c r="C39" s="1298" t="s">
        <v>1693</v>
      </c>
      <c r="D39" s="1317" t="s">
        <v>1694</v>
      </c>
      <c r="E39" s="794">
        <v>35</v>
      </c>
      <c r="F39" s="736" cm="1" t="str">
        <f t="array" ref="F39:F39">OFFSET(G39,-1,-1)</f>
        <v>0</v>
      </c>
      <c r="L39" s="1284"/>
      <c r="M39" s="1284" cm="1" t="str">
        <f t="array" ref="M39:M39">OFFSET(L39,-1,1)</f>
        <v>0</v>
      </c>
      <c r="N39" s="1284"/>
      <c r="O39" s="1284"/>
      <c r="P39" s="1284"/>
      <c r="Q39" s="1286" t="s">
        <v>2009</v>
      </c>
      <c r="R39" s="1286"/>
      <c r="S39" s="1284"/>
      <c r="T39" s="805">
        <f>AND(F39&gt;0,OR(ISBLANK(Y39),Y39&gt;0))</f>
        <v>0</v>
      </c>
      <c r="AB39" s="577" t="s">
        <v>2026</v>
      </c>
      <c r="AC39" s="559" t="s">
        <v>2011</v>
      </c>
      <c r="AD39" s="1013" t="s">
        <v>1400</v>
      </c>
      <c r="AE39" s="308">
        <f>SUM(AE40:AE41)</f>
        <v>0</v>
      </c>
      <c r="AF39" s="308">
        <f>SUM(AF40:AF41)</f>
        <v>0</v>
      </c>
      <c r="AG39" s="308">
        <f>SUM(AG40:AG41)</f>
        <v>0</v>
      </c>
      <c r="AH39" s="308">
        <f>SUM(AH40:AH41)</f>
        <v>0</v>
      </c>
      <c r="AI39" s="308">
        <f>SUM(AI40:AI41)</f>
        <v>0</v>
      </c>
      <c r="AJ39" s="98">
        <f>SUM(AJ40:AJ41)</f>
        <v>0</v>
      </c>
      <c r="AK39" s="98">
        <f>SUM(AK40:AK41)</f>
        <v>0</v>
      </c>
      <c r="AL39" s="98">
        <f>SUM(AL40:AL41)</f>
        <v>0</v>
      </c>
      <c r="AM39" s="98">
        <f>SUM(AM40:AM41)</f>
        <v>0</v>
      </c>
      <c r="AN39" s="98">
        <f>SUM(AN40:AN41)</f>
        <v>0</v>
      </c>
      <c r="AO39" s="308">
        <f>SUM(AO40:AO41)</f>
        <v>0</v>
      </c>
      <c r="AP39" s="308">
        <f>SUM(AP40:AP41)</f>
        <v>0</v>
      </c>
      <c r="AQ39" s="308">
        <f>SUM(AQ40:AQ41)</f>
        <v>0</v>
      </c>
      <c r="AR39" s="308">
        <f>SUM(AR40:AR41)</f>
        <v>0</v>
      </c>
      <c r="AS39" s="308">
        <f>SUM(AS40:AS41)</f>
        <v>0</v>
      </c>
      <c r="AT39" s="98">
        <f>SUM(AT40:AT41)</f>
        <v>0</v>
      </c>
      <c r="AU39" s="98">
        <f>SUM(AU40:AU41)</f>
        <v>0</v>
      </c>
      <c r="AV39" s="98">
        <f>SUM(AV40:AV41)</f>
        <v>0</v>
      </c>
      <c r="AW39" s="98">
        <f>SUM(AW40:AW41)</f>
        <v>0</v>
      </c>
      <c r="AX39" s="98">
        <f>SUM(AX40:AX41)</f>
        <v>0</v>
      </c>
      <c r="AY39" s="73"/>
      <c r="AZ39" s="73"/>
      <c r="BA39" s="73"/>
      <c r="BD39" s="1232" t="s">
        <v>2027</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1693</v>
      </c>
      <c r="D40" s="1317" t="s">
        <v>1694</v>
      </c>
      <c r="E40" s="794">
        <v>17</v>
      </c>
      <c r="F40" s="736" cm="1" t="str">
        <f t="array" ref="F40:F40">OFFSET(G40,-1,-1)</f>
        <v>0</v>
      </c>
      <c r="L40" s="1284" cm="1" t="str">
        <f t="array" ref="L40:L40">AC40</f>
        <v>0</v>
      </c>
      <c r="M40" s="1284" cm="1" t="str">
        <f t="array" ref="M40:M40">OFFSET(L40,-1,1)</f>
        <v>0</v>
      </c>
      <c r="N40" s="1284"/>
      <c r="O40" s="1284"/>
      <c r="P40" s="1284"/>
      <c r="Q40" s="1286" t="s">
        <v>2009</v>
      </c>
      <c r="R40" s="1286"/>
      <c r="S40" s="1284"/>
      <c r="T40" s="805">
        <f>AND(F40&gt;0,OR(ISBLANK(Y40),Y40&gt;0))</f>
        <v>0</v>
      </c>
      <c r="W40" s="172" t="s">
        <v>233</v>
      </c>
      <c r="Y40" s="172">
        <v>0</v>
      </c>
      <c r="AA40" s="914" t="s">
        <v>217</v>
      </c>
      <c r="AB40" s="577" t="str">
        <f>"1.2.2."&amp;Y40</f>
        <v>1.2.2.0</v>
      </c>
      <c r="AC40" s="143"/>
      <c r="AD40" s="1013" t="s">
        <v>1400</v>
      </c>
      <c r="AE40" s="308"/>
      <c r="AF40" s="308"/>
      <c r="AG40" s="308"/>
      <c r="AH40" s="308"/>
      <c r="AI40" s="308"/>
      <c r="AJ40" s="98"/>
      <c r="AK40" s="98"/>
      <c r="AL40" s="98"/>
      <c r="AM40" s="98"/>
      <c r="AN40" s="98"/>
      <c r="AO40" s="308"/>
      <c r="AP40" s="308"/>
      <c r="AQ40" s="308"/>
      <c r="AR40" s="308"/>
      <c r="AS40" s="308"/>
      <c r="AT40" s="98"/>
      <c r="AU40" s="98"/>
      <c r="AV40" s="98"/>
      <c r="AW40" s="98"/>
      <c r="AX40" s="98"/>
      <c r="AY40" s="73"/>
      <c r="AZ40" s="73"/>
      <c r="BA40" s="73"/>
      <c r="BD40" s="1232" t="s">
        <v>2027</v>
      </c>
      <c r="BE40" s="1232" t="s">
        <v>2028</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958</v>
      </c>
      <c r="AB41" s="299"/>
      <c r="AC41" s="732" t="s">
        <v>235</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2028</v>
      </c>
    </row>
    <row customHeight="1" ht="16.575" hidden="1">
      <c r="C42" s="1298" t="s">
        <v>1693</v>
      </c>
      <c r="D42" s="1317" t="s">
        <v>1694</v>
      </c>
      <c r="E42" s="794">
        <v>17</v>
      </c>
      <c r="F42" s="736" cm="1" t="str">
        <f t="array" ref="F42:F42">OFFSET(G42,-1,-1)</f>
        <v>0</v>
      </c>
      <c r="L42" s="1284"/>
      <c r="M42" s="1284" cm="1" t="str">
        <f t="array" ref="M42:M42">OFFSET(L42,-1,1)</f>
        <v>0</v>
      </c>
      <c r="N42" s="1284"/>
      <c r="O42" s="1284"/>
      <c r="P42" s="1284"/>
      <c r="Q42" s="1286" t="s">
        <v>2013</v>
      </c>
      <c r="R42" s="1286"/>
      <c r="S42" s="1284"/>
      <c r="T42" s="805">
        <f>AND(F42&gt;0,OR(ISBLANK(Y42),Y42&gt;0))</f>
        <v>0</v>
      </c>
      <c r="AB42" s="1118" t="s">
        <v>2029</v>
      </c>
      <c r="AC42" s="559" t="s">
        <v>2015</v>
      </c>
      <c r="AD42" s="1013" t="s">
        <v>1400</v>
      </c>
      <c r="AE42" s="308">
        <f>SUM(AE43:AE44)</f>
        <v>0</v>
      </c>
      <c r="AF42" s="308">
        <f>SUM(AF43:AF44)</f>
        <v>0</v>
      </c>
      <c r="AG42" s="308">
        <f>SUM(AG43:AG44)</f>
        <v>0</v>
      </c>
      <c r="AH42" s="308">
        <f>SUM(AH43:AH44)</f>
        <v>0</v>
      </c>
      <c r="AI42" s="308">
        <f>SUM(AI43:AI44)</f>
        <v>0</v>
      </c>
      <c r="AJ42" s="98">
        <f>SUM(AJ43:AJ44)</f>
        <v>0</v>
      </c>
      <c r="AK42" s="98">
        <f>SUM(AK43:AK44)</f>
        <v>0</v>
      </c>
      <c r="AL42" s="98">
        <f>SUM(AL43:AL44)</f>
        <v>0</v>
      </c>
      <c r="AM42" s="98">
        <f>SUM(AM43:AM44)</f>
        <v>0</v>
      </c>
      <c r="AN42" s="98">
        <f>SUM(AN43:AN44)</f>
        <v>0</v>
      </c>
      <c r="AO42" s="308">
        <f>SUM(AO43:AO44)</f>
        <v>0</v>
      </c>
      <c r="AP42" s="308">
        <f>SUM(AP43:AP44)</f>
        <v>0</v>
      </c>
      <c r="AQ42" s="308">
        <f>SUM(AQ43:AQ44)</f>
        <v>0</v>
      </c>
      <c r="AR42" s="308">
        <f>SUM(AR43:AR44)</f>
        <v>0</v>
      </c>
      <c r="AS42" s="308">
        <f>SUM(AS43:AS44)</f>
        <v>0</v>
      </c>
      <c r="AT42" s="98">
        <f>SUM(AT43:AT44)</f>
        <v>0</v>
      </c>
      <c r="AU42" s="98">
        <f>SUM(AU43:AU44)</f>
        <v>0</v>
      </c>
      <c r="AV42" s="98">
        <f>SUM(AV43:AV44)</f>
        <v>0</v>
      </c>
      <c r="AW42" s="98">
        <f>SUM(AW43:AW44)</f>
        <v>0</v>
      </c>
      <c r="AX42" s="98">
        <f>SUM(AX43:AX44)</f>
        <v>0</v>
      </c>
      <c r="AY42" s="73"/>
      <c r="AZ42" s="73"/>
      <c r="BA42" s="73"/>
      <c r="BD42" s="1232" t="s">
        <v>2030</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1693</v>
      </c>
      <c r="D43" s="1317" t="s">
        <v>1694</v>
      </c>
      <c r="E43" s="794">
        <v>17</v>
      </c>
      <c r="F43" s="736" cm="1" t="str">
        <f t="array" ref="F43:F43">OFFSET(G43,-1,-1)</f>
        <v>0</v>
      </c>
      <c r="L43" s="1284" cm="1" t="str">
        <f t="array" ref="L43:L43">AC43</f>
        <v>0</v>
      </c>
      <c r="M43" s="1284" cm="1" t="str">
        <f t="array" ref="M43:M43">OFFSET(L43,-1,1)</f>
        <v>0</v>
      </c>
      <c r="N43" s="1284"/>
      <c r="O43" s="1284"/>
      <c r="P43" s="1284"/>
      <c r="Q43" s="1286" t="s">
        <v>2013</v>
      </c>
      <c r="R43" s="1286"/>
      <c r="S43" s="1284"/>
      <c r="T43" s="805">
        <f>AND(F43&gt;0,OR(ISBLANK(Y43),Y43&gt;0))</f>
        <v>0</v>
      </c>
      <c r="W43" s="172" t="s">
        <v>233</v>
      </c>
      <c r="Y43" s="172">
        <v>0</v>
      </c>
      <c r="AA43" s="914" t="s">
        <v>217</v>
      </c>
      <c r="AB43" s="577" t="str">
        <f>"1.2.3."&amp;Y43</f>
        <v>1.2.3.0</v>
      </c>
      <c r="AC43" s="143"/>
      <c r="AD43" s="1013" t="s">
        <v>1400</v>
      </c>
      <c r="AE43" s="308"/>
      <c r="AF43" s="308"/>
      <c r="AG43" s="308"/>
      <c r="AH43" s="308"/>
      <c r="AI43" s="308"/>
      <c r="AJ43" s="98"/>
      <c r="AK43" s="98"/>
      <c r="AL43" s="98"/>
      <c r="AM43" s="98"/>
      <c r="AN43" s="98"/>
      <c r="AO43" s="308"/>
      <c r="AP43" s="308"/>
      <c r="AQ43" s="308"/>
      <c r="AR43" s="308"/>
      <c r="AS43" s="308"/>
      <c r="AT43" s="98"/>
      <c r="AU43" s="98"/>
      <c r="AV43" s="98"/>
      <c r="AW43" s="98"/>
      <c r="AX43" s="98"/>
      <c r="AY43" s="73"/>
      <c r="AZ43" s="73"/>
      <c r="BA43" s="73"/>
      <c r="BD43" s="1232" t="s">
        <v>2030</v>
      </c>
      <c r="BE43" s="1232" t="s">
        <v>2031</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1199</v>
      </c>
      <c r="AB44" s="299"/>
      <c r="AC44" s="732" t="s">
        <v>235</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2031</v>
      </c>
    </row>
    <row customHeight="1" ht="16.575" hidden="1">
      <c r="C45" s="1298" t="s">
        <v>1693</v>
      </c>
      <c r="D45" s="1317" t="s">
        <v>1694</v>
      </c>
      <c r="E45" s="794">
        <v>17</v>
      </c>
      <c r="F45" s="736" cm="1" t="str">
        <f t="array" ref="F45:F45">OFFSET(G45,-1,-1)</f>
        <v>0</v>
      </c>
      <c r="L45" s="1284"/>
      <c r="M45" s="1284" cm="1" t="str">
        <f t="array" ref="M45:M45">OFFSET(L45,-1,1)</f>
        <v>0</v>
      </c>
      <c r="N45" s="1284" t="s">
        <v>2032</v>
      </c>
      <c r="O45" s="1284"/>
      <c r="P45" s="1284"/>
      <c r="Q45" s="1286"/>
      <c r="R45" s="1286"/>
      <c r="S45" s="1284"/>
      <c r="T45" s="805">
        <f>AND(F45&gt;0,OR(ISBLANK(Y45),Y45&gt;0))</f>
        <v>0</v>
      </c>
      <c r="AB45" s="1118" t="s">
        <v>933</v>
      </c>
      <c r="AC45" s="161" t="s">
        <v>2033</v>
      </c>
      <c r="AD45" s="1013" t="s">
        <v>1400</v>
      </c>
      <c r="AE45" s="308"/>
      <c r="AF45" s="308"/>
      <c r="AG45" s="308"/>
      <c r="AH45" s="308"/>
      <c r="AI45" s="308"/>
      <c r="AJ45" s="98"/>
      <c r="AK45" s="98"/>
      <c r="AL45" s="98"/>
      <c r="AM45" s="98"/>
      <c r="AN45" s="98"/>
      <c r="AO45" s="308"/>
      <c r="AP45" s="308"/>
      <c r="AQ45" s="308"/>
      <c r="AR45" s="308"/>
      <c r="AS45" s="308"/>
      <c r="AT45" s="98"/>
      <c r="AU45" s="98"/>
      <c r="AV45" s="98"/>
      <c r="AW45" s="98"/>
      <c r="AX45" s="98"/>
      <c r="AY45" s="73"/>
      <c r="AZ45" s="73"/>
      <c r="BA45" s="73"/>
      <c r="BD45" s="1232" t="s">
        <v>1388</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343</v>
      </c>
      <c r="AC46" s="320" t="s">
        <v>2034</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1721</v>
      </c>
      <c r="D47" s="1317" t="s">
        <v>1722</v>
      </c>
      <c r="E47" s="794">
        <v>17</v>
      </c>
      <c r="F47" s="736" cm="1" t="str">
        <f t="array" ref="F47:F47">OFFSET(G47,-1,-1)</f>
        <v>0</v>
      </c>
      <c r="G47" s="190" t="s">
        <v>1723</v>
      </c>
      <c r="L47" s="1284"/>
      <c r="M47" s="1284" cm="1" t="str">
        <f t="array" ref="M47:M47">OFFSET(L47,-1,1)</f>
        <v>0</v>
      </c>
      <c r="N47" s="1284"/>
      <c r="O47" s="1284"/>
      <c r="P47" s="1284"/>
      <c r="Q47" s="1286"/>
      <c r="R47" s="1286"/>
      <c r="S47" s="1286" t="s">
        <v>1724</v>
      </c>
      <c r="T47" s="805">
        <f>AND(F47&gt;0,OR(ISBLANK(Y47),Y47&gt;0))</f>
        <v>0</v>
      </c>
      <c r="AB47" s="170" t="s">
        <v>448</v>
      </c>
      <c r="AC47" s="286" t="s">
        <v>1725</v>
      </c>
      <c r="AD47" s="555" t="s">
        <v>591</v>
      </c>
      <c r="AE47" s="308"/>
      <c r="AF47" s="308"/>
      <c r="AG47" s="308"/>
      <c r="AH47" s="308"/>
      <c r="AI47" s="308"/>
      <c r="AJ47" s="98"/>
      <c r="AK47" s="98"/>
      <c r="AL47" s="98"/>
      <c r="AM47" s="98"/>
      <c r="AN47" s="98"/>
      <c r="AO47" s="308"/>
      <c r="AP47" s="308"/>
      <c r="AQ47" s="308"/>
      <c r="AR47" s="308"/>
      <c r="AS47" s="308"/>
      <c r="AT47" s="98"/>
      <c r="AU47" s="98"/>
      <c r="AV47" s="98"/>
      <c r="AW47" s="98"/>
      <c r="AX47" s="98"/>
      <c r="AY47" s="73"/>
      <c r="AZ47" s="73"/>
      <c r="BA47" s="73"/>
      <c r="BD47" s="1232" t="s">
        <v>2035</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1727</v>
      </c>
      <c r="D48" s="1317" t="s">
        <v>1728</v>
      </c>
      <c r="E48" s="794">
        <v>17</v>
      </c>
      <c r="F48" s="736" cm="1" t="str">
        <f t="array" ref="F48:F48">OFFSET(G48,-1,-1)</f>
        <v>0</v>
      </c>
      <c r="G48" s="736" t="s">
        <v>1729</v>
      </c>
      <c r="L48" s="1284"/>
      <c r="M48" s="1284" cm="1" t="str">
        <f t="array" ref="M48:M48">OFFSET(L48,-1,1)</f>
        <v>0</v>
      </c>
      <c r="N48" s="1284"/>
      <c r="O48" s="1284"/>
      <c r="P48" s="1284"/>
      <c r="Q48" s="1286"/>
      <c r="R48" s="1286"/>
      <c r="S48" s="1286" t="s">
        <v>1724</v>
      </c>
      <c r="T48" s="805">
        <f>AND(F48&gt;0,OR(ISBLANK(Y48),Y48&gt;0))</f>
        <v>0</v>
      </c>
      <c r="AB48" s="170" t="s">
        <v>475</v>
      </c>
      <c r="AC48" s="286" t="s">
        <v>1730</v>
      </c>
      <c r="AD48" s="555" t="s">
        <v>895</v>
      </c>
      <c r="AE48" s="308"/>
      <c r="AF48" s="308"/>
      <c r="AG48" s="308"/>
      <c r="AH48" s="308"/>
      <c r="AI48" s="308"/>
      <c r="AJ48" s="98"/>
      <c r="AK48" s="98"/>
      <c r="AL48" s="98"/>
      <c r="AM48" s="98"/>
      <c r="AN48" s="98"/>
      <c r="AO48" s="308"/>
      <c r="AP48" s="308"/>
      <c r="AQ48" s="308"/>
      <c r="AR48" s="308"/>
      <c r="AS48" s="308"/>
      <c r="AT48" s="98"/>
      <c r="AU48" s="98"/>
      <c r="AV48" s="98"/>
      <c r="AW48" s="98"/>
      <c r="AX48" s="98"/>
      <c r="AY48" s="73"/>
      <c r="AZ48" s="73"/>
      <c r="BA48" s="73"/>
      <c r="BD48" s="1232" t="s">
        <v>2036</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1721</v>
      </c>
      <c r="D49" s="1317" t="s">
        <v>1722</v>
      </c>
      <c r="E49" s="794">
        <v>17</v>
      </c>
      <c r="F49" s="736" cm="1" t="str">
        <f t="array" ref="F49:F49">OFFSET(G49,-1,-1)</f>
        <v>0</v>
      </c>
      <c r="G49" s="190" t="s">
        <v>1732</v>
      </c>
      <c r="L49" s="1284"/>
      <c r="M49" s="1284" cm="1" t="str">
        <f t="array" ref="M49:M49">OFFSET(L49,-1,1)</f>
        <v>0</v>
      </c>
      <c r="N49" s="1284"/>
      <c r="O49" s="1284"/>
      <c r="P49" s="1284"/>
      <c r="Q49" s="1286"/>
      <c r="R49" s="1286"/>
      <c r="S49" s="1286" t="s">
        <v>1733</v>
      </c>
      <c r="T49" s="805">
        <f>AND(F49&gt;0,OR(ISBLANK(Y49),Y49&gt;0))</f>
        <v>0</v>
      </c>
      <c r="AB49" s="170" t="s">
        <v>479</v>
      </c>
      <c r="AC49" s="286" t="s">
        <v>1734</v>
      </c>
      <c r="AD49" s="309" t="s">
        <v>591</v>
      </c>
      <c r="AE49" s="308"/>
      <c r="AF49" s="308"/>
      <c r="AG49" s="308"/>
      <c r="AH49" s="308"/>
      <c r="AI49" s="308"/>
      <c r="AJ49" s="98"/>
      <c r="AK49" s="98"/>
      <c r="AL49" s="98"/>
      <c r="AM49" s="98"/>
      <c r="AN49" s="98"/>
      <c r="AO49" s="308"/>
      <c r="AP49" s="308"/>
      <c r="AQ49" s="308"/>
      <c r="AR49" s="308"/>
      <c r="AS49" s="308"/>
      <c r="AT49" s="98"/>
      <c r="AU49" s="98"/>
      <c r="AV49" s="98"/>
      <c r="AW49" s="98"/>
      <c r="AX49" s="98"/>
      <c r="AY49" s="73"/>
      <c r="AZ49" s="73"/>
      <c r="BA49" s="73"/>
      <c r="BD49" s="1232" t="s">
        <v>2037</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1727</v>
      </c>
      <c r="D50" s="1317" t="s">
        <v>1728</v>
      </c>
      <c r="E50" s="794">
        <v>17</v>
      </c>
      <c r="F50" s="736" cm="1" t="str">
        <f t="array" ref="F50:F50">OFFSET(G50,-1,-1)</f>
        <v>0</v>
      </c>
      <c r="G50" s="736" t="s">
        <v>1736</v>
      </c>
      <c r="L50" s="1283"/>
      <c r="M50" s="1284" cm="1" t="str">
        <f t="array" ref="M50:M50">OFFSET(L50,-1,1)</f>
        <v>0</v>
      </c>
      <c r="N50" s="1283"/>
      <c r="O50" s="1283"/>
      <c r="P50" s="1283"/>
      <c r="Q50" s="1294"/>
      <c r="R50" s="1294"/>
      <c r="S50" s="1286" t="s">
        <v>1733</v>
      </c>
      <c r="T50" s="805">
        <f>AND(F50&gt;0,OR(ISBLANK(Y50),Y50&gt;0))</f>
        <v>0</v>
      </c>
      <c r="AB50" s="170" t="s">
        <v>483</v>
      </c>
      <c r="AC50" s="286" t="s">
        <v>1737</v>
      </c>
      <c r="AD50" s="166" t="s">
        <v>895</v>
      </c>
      <c r="AE50" s="308">
        <f>_xlfn.IFERROR((AE28*1000-AE47*AE48)/AE49,0)</f>
        <v>0</v>
      </c>
      <c r="AF50" s="308">
        <f>_xlfn.IFERROR((AF28*1000-AF47*AF48)/AF49,0)</f>
        <v>0</v>
      </c>
      <c r="AG50" s="308">
        <f>_xlfn.IFERROR((AG28*1000-AG47*AG48)/AG49,0)</f>
        <v>0</v>
      </c>
      <c r="AH50" s="308">
        <f>_xlfn.IFERROR((AH28*1000-AH47*AH48)/AH49,0)</f>
        <v>0</v>
      </c>
      <c r="AI50" s="30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8">
        <f>_xlfn.IFERROR((AO28*1000-AO47*AO48)/AO49,0)</f>
        <v>0</v>
      </c>
      <c r="AP50" s="308">
        <f>_xlfn.IFERROR((AP28*1000-AP47*AP48)/AP49,0)</f>
        <v>0</v>
      </c>
      <c r="AQ50" s="308">
        <f>_xlfn.IFERROR((AQ28*1000-AQ47*AQ48)/AQ49,0)</f>
        <v>0</v>
      </c>
      <c r="AR50" s="308">
        <f>_xlfn.IFERROR((AR28*1000-AR47*AR48)/AR49,0)</f>
        <v>0</v>
      </c>
      <c r="AS50" s="30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2" t="s">
        <v>2038</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1739</v>
      </c>
      <c r="D51" s="1317" t="s">
        <v>1740</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1559</v>
      </c>
      <c r="AC51" s="161" t="s">
        <v>2039</v>
      </c>
      <c r="AD51" s="555" t="s">
        <v>490</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3"/>
      <c r="AZ51" s="73"/>
      <c r="BA51" s="73"/>
      <c r="BD51" s="1232" t="s">
        <v>2040</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1743</v>
      </c>
      <c r="D52" s="1317" t="s">
        <v>1744</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1986</v>
      </c>
      <c r="AC52" s="161" t="s">
        <v>2041</v>
      </c>
      <c r="AD52" s="555" t="s">
        <v>895</v>
      </c>
      <c r="AE52" s="705">
        <f>_xlfn.IFERROR(AE28*1000/(AE47+AE49),0)</f>
        <v>0</v>
      </c>
      <c r="AF52" s="705">
        <f>_xlfn.IFERROR(AF28*1000/(AF47+AF49),0)</f>
        <v>0</v>
      </c>
      <c r="AG52" s="705">
        <f>_xlfn.IFERROR(AG28*1000/(AG47+AG49),0)</f>
        <v>0</v>
      </c>
      <c r="AH52" s="705">
        <f>_xlfn.IFERROR(AH28*1000/(AH47+AH49),0)</f>
        <v>0</v>
      </c>
      <c r="AI52" s="70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5">
        <f>_xlfn.IFERROR(AO28*1000/(AO47+AO49),0)</f>
        <v>0</v>
      </c>
      <c r="AP52" s="705">
        <f>_xlfn.IFERROR(AP28*1000/(AP47+AP49),0)</f>
        <v>0</v>
      </c>
      <c r="AQ52" s="705">
        <f>_xlfn.IFERROR(AQ28*1000/(AQ47+AQ49),0)</f>
        <v>0</v>
      </c>
      <c r="AR52" s="705">
        <f>_xlfn.IFERROR(AR28*1000/(AR47+AR49),0)</f>
        <v>0</v>
      </c>
      <c r="AS52" s="70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2" t="s">
        <v>2042</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1787</v>
      </c>
      <c r="D53" s="1317" t="s">
        <v>1788</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614</v>
      </c>
      <c r="AC53" s="320" t="s">
        <v>1790</v>
      </c>
      <c r="AD53" s="571" t="s">
        <v>1400</v>
      </c>
      <c r="AE53" s="308"/>
      <c r="AF53" s="308"/>
      <c r="AG53" s="308"/>
      <c r="AH53" s="308"/>
      <c r="AI53" s="308"/>
      <c r="AJ53" s="98"/>
      <c r="AK53" s="98"/>
      <c r="AL53" s="98"/>
      <c r="AM53" s="98"/>
      <c r="AN53" s="98"/>
      <c r="AO53" s="308"/>
      <c r="AP53" s="308"/>
      <c r="AQ53" s="308"/>
      <c r="AR53" s="308"/>
      <c r="AS53" s="308"/>
      <c r="AT53" s="98"/>
      <c r="AU53" s="98"/>
      <c r="AV53" s="98"/>
      <c r="AW53" s="98"/>
      <c r="AX53" s="98"/>
      <c r="AY53" s="73"/>
      <c r="AZ53" s="73"/>
      <c r="BA53" s="73"/>
      <c r="BD53" s="1232" t="s">
        <v>1791</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37" customFormat="1" customHeight="1" ht="16.5">
      <c r="A54" s="217"/>
      <c r="B54" s="217"/>
      <c r="C54" s="1302"/>
      <c r="D54" s="1316"/>
      <c r="E54" s="794">
        <v>17.1</v>
      </c>
      <c r="F54" s="736" cm="1" t="str">
        <f t="array" ref="F54:F54">X54</f>
        <v>1</v>
      </c>
      <c r="G54" s="736" cm="1" t="str">
        <f t="array" ref="G54:G54">INDEX('Общие сведения'!$AK$169:$AK$218,MATCH($F54,'Общие сведения'!$Z$169:$Z$218,0))</f>
        <v>одноставочный</v>
      </c>
      <c r="H54" s="217"/>
      <c r="I54" s="210" cm="1" t="str">
        <f t="array" ref="I54:I54">INDEX('Общие сведения'!$AE$169:$AE$218,MATCH($F54,'Общие сведения'!$Z$169:$Z$218,0))</f>
        <v>Теплоснабжение</v>
      </c>
      <c r="J54" s="217"/>
      <c r="K54" s="210" cm="1" t="str">
        <f t="array" ref="K54:K54">INDEX('Общие сведения'!$AL$169:$AL$218,MATCH($F54,'Общие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W54" s="217"/>
      <c r="X54" s="1554" t="s">
        <v>335</v>
      </c>
      <c r="Y54" s="217"/>
      <c r="Z54" s="217"/>
      <c r="AA54" s="217"/>
      <c r="AB54" s="327"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(Тариф: Носитель - горячая вода (Т); Носитель - горячая вода (Т))</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19" customFormat="1" customHeight="1" ht="16.5">
      <c r="A55" s="1183"/>
      <c r="B55" s="924"/>
      <c r="C55" s="1298" t="s">
        <v>1693</v>
      </c>
      <c r="D55" s="1317" t="s">
        <v>1694</v>
      </c>
      <c r="E55" s="794">
        <v>17</v>
      </c>
      <c r="F55" s="736" cm="1" t="str">
        <f t="array" ref="F55:F55">OFFSET(G55,-1,-1)</f>
        <v>1</v>
      </c>
      <c r="G55" s="227"/>
      <c r="H55" s="227"/>
      <c r="I55" s="227"/>
      <c r="J55" s="227"/>
      <c r="K55" s="227"/>
      <c r="L55" s="1284"/>
      <c r="M55" s="1284" cm="1" t="str">
        <f t="array" ref="M55:M55">INDEX('Общие сведения'!$N$169:$N$218,MATCH($F54,'Общие сведения'!$Z$169:$Z$218,0)+1)</f>
        <v>ТЭ.42.26824396.0004</v>
      </c>
      <c r="N55" s="1284" t="s">
        <v>1997</v>
      </c>
      <c r="O55" s="1284"/>
      <c r="P55" s="1284"/>
      <c r="Q55" s="1286"/>
      <c r="R55" s="1286"/>
      <c r="S55" s="1284"/>
      <c r="T55" s="805">
        <f>AND(F55&gt;0,OR(ISBLANK(Y55),Y55&gt;0))</f>
        <v>1</v>
      </c>
      <c r="U55" s="1461"/>
      <c r="V55" s="1461"/>
      <c r="W55" s="1461"/>
      <c r="X55" s="1461"/>
      <c r="Y55" s="1461"/>
      <c r="Z55" s="1461"/>
      <c r="AA55" s="227"/>
      <c r="AB55" s="170">
        <v>1</v>
      </c>
      <c r="AC55" s="624" t="s">
        <v>1998</v>
      </c>
      <c r="AD55" s="555" t="s">
        <v>1400</v>
      </c>
      <c r="AE55" s="308">
        <f>AE56+AE62+AE72</f>
        <v>0</v>
      </c>
      <c r="AF55" s="308">
        <f>AF56+AF62+AF72</f>
        <v>0</v>
      </c>
      <c r="AG55" s="308">
        <f>AG56+AG62+AG72</f>
        <v>0</v>
      </c>
      <c r="AH55" s="308">
        <f>AH56+AH62+AH72</f>
        <v>0</v>
      </c>
      <c r="AI55" s="308">
        <f>AI56+AI62+AI72</f>
        <v>0</v>
      </c>
      <c r="AJ55" s="1785">
        <f>AJ56+AJ62+AJ72</f>
        <v>0</v>
      </c>
      <c r="AK55" s="1785">
        <f>AK56+AK62+AK72</f>
        <v>0</v>
      </c>
      <c r="AL55" s="1785">
        <f>AL56+AL62+AL72</f>
        <v>0</v>
      </c>
      <c r="AM55" s="1785">
        <f>AM56+AM62+AM72</f>
        <v>0</v>
      </c>
      <c r="AN55" s="1785">
        <f>AN56+AN62+AN72</f>
        <v>0</v>
      </c>
      <c r="AO55" s="308">
        <f>AO56+AO62+AO72</f>
        <v>0</v>
      </c>
      <c r="AP55" s="308">
        <f>AP56+AP62+AP72</f>
        <v>0</v>
      </c>
      <c r="AQ55" s="308">
        <f>AQ56+AQ62+AQ72</f>
        <v>0</v>
      </c>
      <c r="AR55" s="308">
        <f>AR56+AR62+AR72</f>
        <v>0</v>
      </c>
      <c r="AS55" s="308">
        <f>AS56+AS62+AS72</f>
        <v>0</v>
      </c>
      <c r="AT55" s="1785">
        <f>AT56+AT62+AT72</f>
        <v>0</v>
      </c>
      <c r="AU55" s="1785">
        <f>AU56+AU62+AU72</f>
        <v>0</v>
      </c>
      <c r="AV55" s="1785">
        <f>AV56+AV62+AV72</f>
        <v>0</v>
      </c>
      <c r="AW55" s="1785">
        <f>AW56+AW62+AW72</f>
        <v>0</v>
      </c>
      <c r="AX55" s="1785">
        <f>AX56+AX62+AX72</f>
        <v>0</v>
      </c>
      <c r="AY55" s="1730"/>
      <c r="AZ55" s="1730"/>
      <c r="BA55" s="1730"/>
      <c r="BB55" s="227"/>
      <c r="BC55" s="227"/>
      <c r="BD55" s="1232" t="s">
        <v>1999</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M10655::ТЭ.42.26824396.0004::Неопределено::110.0.36.::Неопределено::Неопределено::Неопределено::Неопределено::Неопределено</v>
      </c>
    </row>
    <row s="1619" customFormat="1" customHeight="1" ht="16.5">
      <c r="A56" s="1183"/>
      <c r="B56" s="924"/>
      <c r="C56" s="1298" t="s">
        <v>1693</v>
      </c>
      <c r="D56" s="1317" t="s">
        <v>1694</v>
      </c>
      <c r="E56" s="794">
        <v>17</v>
      </c>
      <c r="F56" s="736" cm="1" t="str">
        <f t="array" ref="F56:F56">OFFSET(G56,-1,-1)</f>
        <v>1</v>
      </c>
      <c r="G56" s="227"/>
      <c r="H56" s="227"/>
      <c r="I56" s="227"/>
      <c r="J56" s="227"/>
      <c r="K56" s="227"/>
      <c r="L56" s="1284"/>
      <c r="M56" s="1284" cm="1" t="str">
        <f t="array" ref="M56:M56">OFFSET(L56,-1,1)</f>
        <v>ТЭ.42.26824396.0004</v>
      </c>
      <c r="N56" s="1284" t="s">
        <v>1997</v>
      </c>
      <c r="O56" s="1284" t="s">
        <v>1770</v>
      </c>
      <c r="P56" s="1284"/>
      <c r="Q56" s="1286"/>
      <c r="R56" s="1286"/>
      <c r="S56" s="1284"/>
      <c r="T56" s="805">
        <f>AND(F56&gt;0,OR(ISBLANK(Y56),Y56&gt;0))</f>
        <v>1</v>
      </c>
      <c r="U56" s="1461"/>
      <c r="V56" s="1461"/>
      <c r="W56" s="1461"/>
      <c r="X56" s="1461"/>
      <c r="Y56" s="1461"/>
      <c r="Z56" s="1461"/>
      <c r="AA56" s="227"/>
      <c r="AB56" s="170" t="s">
        <v>442</v>
      </c>
      <c r="AC56" s="1031" t="s">
        <v>2000</v>
      </c>
      <c r="AD56" s="555" t="s">
        <v>1400</v>
      </c>
      <c r="AE56" s="308">
        <f>AE57+AE61</f>
        <v>0</v>
      </c>
      <c r="AF56" s="308">
        <f>AF57+AF61</f>
        <v>0</v>
      </c>
      <c r="AG56" s="308">
        <f>AG57+AG61</f>
        <v>0</v>
      </c>
      <c r="AH56" s="308">
        <f>AH57+AH61</f>
        <v>0</v>
      </c>
      <c r="AI56" s="308">
        <f>AI57+AI61</f>
        <v>0</v>
      </c>
      <c r="AJ56" s="1785">
        <f>AJ57+AJ61</f>
        <v>0</v>
      </c>
      <c r="AK56" s="1785">
        <f>AK57+AK61</f>
        <v>0</v>
      </c>
      <c r="AL56" s="1785">
        <f>AL57+AL61</f>
        <v>0</v>
      </c>
      <c r="AM56" s="1785">
        <f>AM57+AM61</f>
        <v>0</v>
      </c>
      <c r="AN56" s="1785">
        <f>AN57+AN61</f>
        <v>0</v>
      </c>
      <c r="AO56" s="308">
        <f>AO57+AO61</f>
        <v>0</v>
      </c>
      <c r="AP56" s="308">
        <f>AP57+AP61</f>
        <v>0</v>
      </c>
      <c r="AQ56" s="308">
        <f>AQ57+AQ61</f>
        <v>0</v>
      </c>
      <c r="AR56" s="308">
        <f>AR57+AR61</f>
        <v>0</v>
      </c>
      <c r="AS56" s="308">
        <f>AS57+AS61</f>
        <v>0</v>
      </c>
      <c r="AT56" s="1785">
        <f>AT57+AT61</f>
        <v>0</v>
      </c>
      <c r="AU56" s="1785">
        <f>AU57+AU61</f>
        <v>0</v>
      </c>
      <c r="AV56" s="1785">
        <f>AV57+AV61</f>
        <v>0</v>
      </c>
      <c r="AW56" s="1785">
        <f>AW57+AW61</f>
        <v>0</v>
      </c>
      <c r="AX56" s="1785">
        <f>AX57+AX61</f>
        <v>0</v>
      </c>
      <c r="AY56" s="1730"/>
      <c r="AZ56" s="1730"/>
      <c r="BA56" s="1730"/>
      <c r="BB56" s="227"/>
      <c r="BC56" s="227"/>
      <c r="BD56" s="1232" t="s">
        <v>2001</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M10655::ТЭ.42.26824396.0004::Неопределено::110.0.36.::90.0.0.::Неопределено::Неопределено::Неопределено::Неопределено</v>
      </c>
    </row>
    <row s="1619" customFormat="1" customHeight="1" ht="16.5">
      <c r="A57" s="1183"/>
      <c r="B57" s="924"/>
      <c r="C57" s="1298" t="s">
        <v>1693</v>
      </c>
      <c r="D57" s="1317" t="s">
        <v>1694</v>
      </c>
      <c r="E57" s="794">
        <v>17</v>
      </c>
      <c r="F57" s="736" cm="1" t="str">
        <f t="array" ref="F57:F57">OFFSET(G57,-1,-1)</f>
        <v>1</v>
      </c>
      <c r="G57" s="227"/>
      <c r="H57" s="227"/>
      <c r="I57" s="227"/>
      <c r="J57" s="227"/>
      <c r="K57" s="227"/>
      <c r="L57" s="1284"/>
      <c r="M57" s="1284" cm="1" t="str">
        <f t="array" ref="M57:M57">OFFSET(L57,-1,1)</f>
        <v>ТЭ.42.26824396.0004</v>
      </c>
      <c r="N57" s="1284" t="s">
        <v>1997</v>
      </c>
      <c r="O57" s="1284" t="s">
        <v>1770</v>
      </c>
      <c r="P57" s="1284" t="s">
        <v>2002</v>
      </c>
      <c r="Q57" s="1286"/>
      <c r="R57" s="1286"/>
      <c r="S57" s="1284"/>
      <c r="T57" s="805">
        <f>AND(F57&gt;0,OR(ISBLANK(Y57),Y57&gt;0))</f>
        <v>1</v>
      </c>
      <c r="U57" s="1461"/>
      <c r="V57" s="1461"/>
      <c r="W57" s="1461"/>
      <c r="X57" s="1461"/>
      <c r="Y57" s="1461"/>
      <c r="Z57" s="1461"/>
      <c r="AA57" s="227"/>
      <c r="AB57" s="577" t="s">
        <v>1152</v>
      </c>
      <c r="AC57" s="559" t="s">
        <v>2003</v>
      </c>
      <c r="AD57" s="1013" t="s">
        <v>1400</v>
      </c>
      <c r="AE57" s="308"/>
      <c r="AF57" s="308"/>
      <c r="AG57" s="308"/>
      <c r="AH57" s="308"/>
      <c r="AI57" s="308"/>
      <c r="AJ57" s="1785"/>
      <c r="AK57" s="1785"/>
      <c r="AL57" s="1785"/>
      <c r="AM57" s="1785"/>
      <c r="AN57" s="1785"/>
      <c r="AO57" s="308"/>
      <c r="AP57" s="308"/>
      <c r="AQ57" s="308"/>
      <c r="AR57" s="308"/>
      <c r="AS57" s="308"/>
      <c r="AT57" s="1785"/>
      <c r="AU57" s="1785"/>
      <c r="AV57" s="1785"/>
      <c r="AW57" s="1785"/>
      <c r="AX57" s="1785"/>
      <c r="AY57" s="1730"/>
      <c r="AZ57" s="1730"/>
      <c r="BA57" s="1730"/>
      <c r="BB57" s="227"/>
      <c r="BC57" s="227"/>
      <c r="BD57" s="1232" t="s">
        <v>2004</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M10655::ТЭ.42.26824396.0004::Неопределено::110.0.36.::90.0.0.::33.0.8.::Неопределено::Неопределено::Неопределено</v>
      </c>
    </row>
    <row s="1619" customFormat="1" customHeight="1" ht="16.5">
      <c r="A58" s="1183"/>
      <c r="B58" s="924"/>
      <c r="C58" s="1298" t="s">
        <v>1693</v>
      </c>
      <c r="D58" s="1317" t="s">
        <v>1694</v>
      </c>
      <c r="E58" s="794">
        <v>17</v>
      </c>
      <c r="F58" s="736" cm="1" t="str">
        <f t="array" ref="F58:F58">OFFSET(G58,-1,-1)</f>
        <v>1</v>
      </c>
      <c r="G58" s="227"/>
      <c r="H58" s="227"/>
      <c r="I58" s="227"/>
      <c r="J58" s="227"/>
      <c r="K58" s="227"/>
      <c r="L58" s="1284"/>
      <c r="M58" s="1284" cm="1" t="str">
        <f t="array" ref="M58:M58">OFFSET(L58,-1,1)</f>
        <v>ТЭ.42.26824396.0004</v>
      </c>
      <c r="N58" s="1284" t="s">
        <v>1997</v>
      </c>
      <c r="O58" s="1284" t="s">
        <v>1770</v>
      </c>
      <c r="P58" s="1284" t="s">
        <v>2002</v>
      </c>
      <c r="Q58" s="1286"/>
      <c r="R58" s="1286" t="s">
        <v>2005</v>
      </c>
      <c r="S58" s="1284"/>
      <c r="T58" s="805">
        <f>AND(F58&gt;0,OR(ISBLANK(Y58),Y58&gt;0))</f>
        <v>1</v>
      </c>
      <c r="U58" s="1461"/>
      <c r="V58" s="1461"/>
      <c r="W58" s="1461"/>
      <c r="X58" s="1461"/>
      <c r="Y58" s="1461"/>
      <c r="Z58" s="1461"/>
      <c r="AA58" s="227"/>
      <c r="AB58" s="577" t="s">
        <v>2006</v>
      </c>
      <c r="AC58" s="587" t="s">
        <v>2007</v>
      </c>
      <c r="AD58" s="1013" t="s">
        <v>1400</v>
      </c>
      <c r="AE58" s="308"/>
      <c r="AF58" s="308"/>
      <c r="AG58" s="308"/>
      <c r="AH58" s="308"/>
      <c r="AI58" s="308"/>
      <c r="AJ58" s="1785"/>
      <c r="AK58" s="1785"/>
      <c r="AL58" s="1785"/>
      <c r="AM58" s="1785"/>
      <c r="AN58" s="1785"/>
      <c r="AO58" s="308"/>
      <c r="AP58" s="308"/>
      <c r="AQ58" s="308"/>
      <c r="AR58" s="308"/>
      <c r="AS58" s="308"/>
      <c r="AT58" s="1785"/>
      <c r="AU58" s="1785"/>
      <c r="AV58" s="1785"/>
      <c r="AW58" s="1785"/>
      <c r="AX58" s="1785"/>
      <c r="AY58" s="1730"/>
      <c r="AZ58" s="1730"/>
      <c r="BA58" s="1730"/>
      <c r="BB58" s="227"/>
      <c r="BC58" s="227"/>
      <c r="BD58" s="1232" t="s">
        <v>2008</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M10655::ТЭ.42.26824396.0004::Неопределено::110.0.36.::90.0.0.::33.0.8.::Неопределено::22.0.10.::Неопределено</v>
      </c>
    </row>
    <row s="1619" customFormat="1" customHeight="1" ht="33.75">
      <c r="A59" s="1183"/>
      <c r="B59" s="924"/>
      <c r="C59" s="1298" t="s">
        <v>1693</v>
      </c>
      <c r="D59" s="1317" t="s">
        <v>1694</v>
      </c>
      <c r="E59" s="794">
        <v>35</v>
      </c>
      <c r="F59" s="736" cm="1" t="str">
        <f t="array" ref="F59:F59">OFFSET(G59,-1,-1)</f>
        <v>1</v>
      </c>
      <c r="G59" s="227"/>
      <c r="H59" s="227"/>
      <c r="I59" s="227"/>
      <c r="J59" s="227"/>
      <c r="K59" s="227"/>
      <c r="L59" s="1284"/>
      <c r="M59" s="1284" cm="1" t="str">
        <f t="array" ref="M59:M59">OFFSET(L59,-1,1)</f>
        <v>ТЭ.42.26824396.0004</v>
      </c>
      <c r="N59" s="1284" t="s">
        <v>1997</v>
      </c>
      <c r="O59" s="1284" t="s">
        <v>1770</v>
      </c>
      <c r="P59" s="1284" t="s">
        <v>2002</v>
      </c>
      <c r="Q59" s="1286" t="s">
        <v>2009</v>
      </c>
      <c r="R59" s="1286"/>
      <c r="S59" s="1284"/>
      <c r="T59" s="805">
        <f>AND(F59&gt;0,OR(ISBLANK(Y59),Y59&gt;0))</f>
        <v>1</v>
      </c>
      <c r="U59" s="1461"/>
      <c r="V59" s="1461"/>
      <c r="W59" s="1461"/>
      <c r="X59" s="1461"/>
      <c r="Y59" s="1461"/>
      <c r="Z59" s="1461"/>
      <c r="AA59" s="227"/>
      <c r="AB59" s="577" t="s">
        <v>2010</v>
      </c>
      <c r="AC59" s="578" t="s">
        <v>2011</v>
      </c>
      <c r="AD59" s="1013" t="s">
        <v>1400</v>
      </c>
      <c r="AE59" s="308"/>
      <c r="AF59" s="308"/>
      <c r="AG59" s="308"/>
      <c r="AH59" s="308"/>
      <c r="AI59" s="308"/>
      <c r="AJ59" s="1785"/>
      <c r="AK59" s="1785"/>
      <c r="AL59" s="1785"/>
      <c r="AM59" s="1785"/>
      <c r="AN59" s="1785"/>
      <c r="AO59" s="308"/>
      <c r="AP59" s="308"/>
      <c r="AQ59" s="308"/>
      <c r="AR59" s="308"/>
      <c r="AS59" s="308"/>
      <c r="AT59" s="1785"/>
      <c r="AU59" s="1785"/>
      <c r="AV59" s="1785"/>
      <c r="AW59" s="1785"/>
      <c r="AX59" s="1785"/>
      <c r="AY59" s="1730"/>
      <c r="AZ59" s="1730"/>
      <c r="BA59" s="1730"/>
      <c r="BB59" s="227"/>
      <c r="BC59" s="227"/>
      <c r="BD59" s="1232" t="s">
        <v>2012</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M10655::ТЭ.42.26824396.0004::Неопределено::110.0.36.::90.0.0.::33.0.8.::147.0.5.::Неопределено::Неопределено</v>
      </c>
    </row>
    <row s="1619" customFormat="1" customHeight="1" ht="16.5">
      <c r="A60" s="1183"/>
      <c r="B60" s="924"/>
      <c r="C60" s="1298" t="s">
        <v>1693</v>
      </c>
      <c r="D60" s="1317" t="s">
        <v>1694</v>
      </c>
      <c r="E60" s="794">
        <v>17</v>
      </c>
      <c r="F60" s="736" cm="1" t="str">
        <f t="array" ref="F60:F60">OFFSET(G60,-1,-1)</f>
        <v>1</v>
      </c>
      <c r="G60" s="227"/>
      <c r="H60" s="227"/>
      <c r="I60" s="227"/>
      <c r="J60" s="227"/>
      <c r="K60" s="227"/>
      <c r="L60" s="1284"/>
      <c r="M60" s="1284" cm="1" t="str">
        <f t="array" ref="M60:M60">OFFSET(L60,-1,1)</f>
        <v>ТЭ.42.26824396.0004</v>
      </c>
      <c r="N60" s="1284" t="s">
        <v>1997</v>
      </c>
      <c r="O60" s="1284" t="s">
        <v>1770</v>
      </c>
      <c r="P60" s="1284" t="s">
        <v>2002</v>
      </c>
      <c r="Q60" s="1286" t="s">
        <v>2013</v>
      </c>
      <c r="R60" s="1286"/>
      <c r="S60" s="1284"/>
      <c r="T60" s="805">
        <f>AND(F60&gt;0,OR(ISBLANK(Y60),Y60&gt;0))</f>
        <v>1</v>
      </c>
      <c r="U60" s="1461"/>
      <c r="V60" s="1461"/>
      <c r="W60" s="1461"/>
      <c r="X60" s="1461"/>
      <c r="Y60" s="1461"/>
      <c r="Z60" s="1461"/>
      <c r="AA60" s="227"/>
      <c r="AB60" s="577" t="s">
        <v>2014</v>
      </c>
      <c r="AC60" s="578" t="s">
        <v>2015</v>
      </c>
      <c r="AD60" s="1013" t="s">
        <v>1400</v>
      </c>
      <c r="AE60" s="308"/>
      <c r="AF60" s="308"/>
      <c r="AG60" s="308"/>
      <c r="AH60" s="308"/>
      <c r="AI60" s="308"/>
      <c r="AJ60" s="1785"/>
      <c r="AK60" s="1785"/>
      <c r="AL60" s="1785"/>
      <c r="AM60" s="1785"/>
      <c r="AN60" s="1785"/>
      <c r="AO60" s="308"/>
      <c r="AP60" s="308"/>
      <c r="AQ60" s="308"/>
      <c r="AR60" s="308"/>
      <c r="AS60" s="308"/>
      <c r="AT60" s="1785"/>
      <c r="AU60" s="1785"/>
      <c r="AV60" s="1785"/>
      <c r="AW60" s="1785"/>
      <c r="AX60" s="1785"/>
      <c r="AY60" s="1730"/>
      <c r="AZ60" s="1730"/>
      <c r="BA60" s="1730"/>
      <c r="BB60" s="227"/>
      <c r="BC60" s="227"/>
      <c r="BD60" s="1232" t="s">
        <v>2016</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M10655::ТЭ.42.26824396.0004::Неопределено::110.0.36.::90.0.0.::33.0.8.::147.0.1.::Неопределено::Неопределено</v>
      </c>
    </row>
    <row s="1619" customFormat="1" customHeight="1" ht="16.5">
      <c r="A61" s="1183"/>
      <c r="B61" s="924"/>
      <c r="C61" s="1298" t="s">
        <v>1693</v>
      </c>
      <c r="D61" s="1317" t="s">
        <v>1694</v>
      </c>
      <c r="E61" s="794">
        <v>17</v>
      </c>
      <c r="F61" s="736" cm="1" t="str">
        <f t="array" ref="F61:F61">OFFSET(G61,-1,-1)</f>
        <v>1</v>
      </c>
      <c r="G61" s="227"/>
      <c r="H61" s="227"/>
      <c r="I61" s="227"/>
      <c r="J61" s="227"/>
      <c r="K61" s="227"/>
      <c r="L61" s="1284"/>
      <c r="M61" s="1284" cm="1" t="str">
        <f t="array" ref="M61:M61">OFFSET(L61,-1,1)</f>
        <v>ТЭ.42.26824396.0004</v>
      </c>
      <c r="N61" s="1284" t="s">
        <v>1997</v>
      </c>
      <c r="O61" s="1284" t="s">
        <v>1770</v>
      </c>
      <c r="P61" s="1284" t="s">
        <v>2017</v>
      </c>
      <c r="Q61" s="1286"/>
      <c r="R61" s="1286"/>
      <c r="S61" s="1284"/>
      <c r="T61" s="805">
        <f>AND(F61&gt;0,OR(ISBLANK(Y61),Y61&gt;0))</f>
        <v>1</v>
      </c>
      <c r="U61" s="1461"/>
      <c r="V61" s="1461"/>
      <c r="W61" s="1461"/>
      <c r="X61" s="1461"/>
      <c r="Y61" s="1461"/>
      <c r="Z61" s="1461"/>
      <c r="AA61" s="227"/>
      <c r="AB61" s="1117" t="s">
        <v>1156</v>
      </c>
      <c r="AC61" s="559" t="s">
        <v>2018</v>
      </c>
      <c r="AD61" s="1013" t="s">
        <v>1400</v>
      </c>
      <c r="AE61" s="308"/>
      <c r="AF61" s="308"/>
      <c r="AG61" s="308"/>
      <c r="AH61" s="308"/>
      <c r="AI61" s="308"/>
      <c r="AJ61" s="1785"/>
      <c r="AK61" s="1785"/>
      <c r="AL61" s="1785"/>
      <c r="AM61" s="1785"/>
      <c r="AN61" s="1785"/>
      <c r="AO61" s="308"/>
      <c r="AP61" s="308"/>
      <c r="AQ61" s="308"/>
      <c r="AR61" s="308"/>
      <c r="AS61" s="308"/>
      <c r="AT61" s="1785"/>
      <c r="AU61" s="1785"/>
      <c r="AV61" s="1785"/>
      <c r="AW61" s="1785"/>
      <c r="AX61" s="1785"/>
      <c r="AY61" s="1730"/>
      <c r="AZ61" s="1730"/>
      <c r="BA61" s="1730"/>
      <c r="BB61" s="227"/>
      <c r="BC61" s="227"/>
      <c r="BD61" s="1232" t="s">
        <v>2019</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M10655::ТЭ.42.26824396.0004::Неопределено::110.0.36.::90.0.0.::33.0.2.::Неопределено::Неопределено::Неопределено</v>
      </c>
    </row>
    <row s="1619" customFormat="1" customHeight="1" ht="33.75">
      <c r="A62" s="1183"/>
      <c r="B62" s="924"/>
      <c r="C62" s="1298" t="s">
        <v>1693</v>
      </c>
      <c r="D62" s="1317" t="s">
        <v>1694</v>
      </c>
      <c r="E62" s="794">
        <v>35</v>
      </c>
      <c r="F62" s="736" cm="1" t="str">
        <f t="array" ref="F62:F62">OFFSET(G62,-1,-1)</f>
        <v>1</v>
      </c>
      <c r="G62" s="227"/>
      <c r="H62" s="227"/>
      <c r="I62" s="227"/>
      <c r="J62" s="227"/>
      <c r="K62" s="227"/>
      <c r="L62" s="1284"/>
      <c r="M62" s="1284" cm="1" t="str">
        <f t="array" ref="M62:M62">OFFSET(L62,-1,1)</f>
        <v>ТЭ.42.26824396.0004</v>
      </c>
      <c r="N62" s="1284" t="s">
        <v>1997</v>
      </c>
      <c r="O62" s="1284" t="s">
        <v>1770</v>
      </c>
      <c r="P62" s="1284" t="s">
        <v>2020</v>
      </c>
      <c r="Q62" s="1286"/>
      <c r="R62" s="1286"/>
      <c r="S62" s="1284"/>
      <c r="T62" s="805">
        <f>AND(F62&gt;0,OR(ISBLANK(Y62),Y62&gt;0))</f>
        <v>1</v>
      </c>
      <c r="U62" s="1461"/>
      <c r="V62" s="1461"/>
      <c r="W62" s="1461"/>
      <c r="X62" s="1461"/>
      <c r="Y62" s="1461"/>
      <c r="Z62" s="1461"/>
      <c r="AA62" s="227"/>
      <c r="AB62" s="577" t="s">
        <v>931</v>
      </c>
      <c r="AC62" s="161" t="s">
        <v>2021</v>
      </c>
      <c r="AD62" s="1013" t="s">
        <v>1400</v>
      </c>
      <c r="AE62" s="308">
        <f>AE63+AE66+AE69</f>
        <v>0</v>
      </c>
      <c r="AF62" s="308">
        <f>AF63+AF66+AF69</f>
        <v>0</v>
      </c>
      <c r="AG62" s="308">
        <f>AG63+AG66+AG69</f>
        <v>0</v>
      </c>
      <c r="AH62" s="308">
        <f>AH63+AH66+AH69</f>
        <v>0</v>
      </c>
      <c r="AI62" s="308">
        <f>AI63+AI66+AI69</f>
        <v>0</v>
      </c>
      <c r="AJ62" s="1785">
        <f>AJ63+AJ66+AJ69</f>
        <v>0</v>
      </c>
      <c r="AK62" s="1785">
        <f>AK63+AK66+AK69</f>
        <v>0</v>
      </c>
      <c r="AL62" s="1785">
        <f>AL63+AL66+AL69</f>
        <v>0</v>
      </c>
      <c r="AM62" s="1785">
        <f>AM63+AM66+AM69</f>
        <v>0</v>
      </c>
      <c r="AN62" s="1785">
        <f>AN63+AN66+AN69</f>
        <v>0</v>
      </c>
      <c r="AO62" s="308">
        <f>AO63+AO66+AO69</f>
        <v>0</v>
      </c>
      <c r="AP62" s="308">
        <f>AP63+AP66+AP69</f>
        <v>0</v>
      </c>
      <c r="AQ62" s="308">
        <f>AQ63+AQ66+AQ69</f>
        <v>0</v>
      </c>
      <c r="AR62" s="308">
        <f>AR63+AR66+AR69</f>
        <v>0</v>
      </c>
      <c r="AS62" s="308">
        <f>AS63+AS66+AS69</f>
        <v>0</v>
      </c>
      <c r="AT62" s="1785">
        <f>AT63+AT66+AT69</f>
        <v>0</v>
      </c>
      <c r="AU62" s="1785">
        <f>AU63+AU66+AU69</f>
        <v>0</v>
      </c>
      <c r="AV62" s="1785">
        <f>AV63+AV66+AV69</f>
        <v>0</v>
      </c>
      <c r="AW62" s="1785">
        <f>AW63+AW66+AW69</f>
        <v>0</v>
      </c>
      <c r="AX62" s="1785">
        <f>AX63+AX66+AX69</f>
        <v>0</v>
      </c>
      <c r="AY62" s="1730"/>
      <c r="AZ62" s="1730"/>
      <c r="BA62" s="1730"/>
      <c r="BB62" s="227"/>
      <c r="BC62" s="227"/>
      <c r="BD62" s="1232" t="s">
        <v>2022</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M10655::ТЭ.42.26824396.0004::Неопределено::110.0.36.::90.0.0.::33.0.4.::Неопределено::Неопределено::Неопределено</v>
      </c>
    </row>
    <row s="1619" customFormat="1" customHeight="1" ht="16.5">
      <c r="A63" s="1183"/>
      <c r="B63" s="924"/>
      <c r="C63" s="1298" t="s">
        <v>1693</v>
      </c>
      <c r="D63" s="1317" t="s">
        <v>1694</v>
      </c>
      <c r="E63" s="794">
        <v>17</v>
      </c>
      <c r="F63" s="736" cm="1" t="str">
        <f t="array" ref="F63:F63">OFFSET(G63,-1,-1)</f>
        <v>1</v>
      </c>
      <c r="G63" s="227"/>
      <c r="H63" s="227"/>
      <c r="I63" s="227"/>
      <c r="J63" s="227"/>
      <c r="K63" s="227"/>
      <c r="L63" s="1338"/>
      <c r="M63" s="1284" cm="1" t="str">
        <f t="array" ref="M63:M63">OFFSET(L63,-1,1)</f>
        <v>ТЭ.42.26824396.0004</v>
      </c>
      <c r="N63" s="1284" t="s">
        <v>1997</v>
      </c>
      <c r="O63" s="1338" t="s">
        <v>1770</v>
      </c>
      <c r="P63" s="1338"/>
      <c r="Q63" s="1340"/>
      <c r="R63" s="1340" t="s">
        <v>2005</v>
      </c>
      <c r="S63" s="1338"/>
      <c r="T63" s="805">
        <f>AND(F63&gt;0,OR(ISBLANK(Y63),Y63&gt;0))</f>
        <v>1</v>
      </c>
      <c r="U63" s="1461"/>
      <c r="V63" s="1461"/>
      <c r="W63" s="1461"/>
      <c r="X63" s="1461"/>
      <c r="Y63" s="1461"/>
      <c r="Z63" s="1461"/>
      <c r="AA63" s="227"/>
      <c r="AB63" s="577" t="s">
        <v>2023</v>
      </c>
      <c r="AC63" s="559" t="s">
        <v>2007</v>
      </c>
      <c r="AD63" s="1013" t="s">
        <v>1400</v>
      </c>
      <c r="AE63" s="308">
        <f>SUM(AE64:AE65)</f>
        <v>0</v>
      </c>
      <c r="AF63" s="308">
        <f>SUM(AF64:AF65)</f>
        <v>0</v>
      </c>
      <c r="AG63" s="308">
        <f>SUM(AG64:AG65)</f>
        <v>0</v>
      </c>
      <c r="AH63" s="308">
        <f>SUM(AH64:AH65)</f>
        <v>0</v>
      </c>
      <c r="AI63" s="308">
        <f>SUM(AI64:AI65)</f>
        <v>0</v>
      </c>
      <c r="AJ63" s="1785">
        <f>SUM(AJ64:AJ65)</f>
        <v>0</v>
      </c>
      <c r="AK63" s="1785">
        <f>SUM(AK64:AK65)</f>
        <v>0</v>
      </c>
      <c r="AL63" s="1785">
        <f>SUM(AL64:AL65)</f>
        <v>0</v>
      </c>
      <c r="AM63" s="1785">
        <f>SUM(AM64:AM65)</f>
        <v>0</v>
      </c>
      <c r="AN63" s="1785">
        <f>SUM(AN64:AN65)</f>
        <v>0</v>
      </c>
      <c r="AO63" s="308">
        <f>SUM(AO64:AO65)</f>
        <v>0</v>
      </c>
      <c r="AP63" s="308">
        <f>SUM(AP64:AP65)</f>
        <v>0</v>
      </c>
      <c r="AQ63" s="308">
        <f>SUM(AQ64:AQ65)</f>
        <v>0</v>
      </c>
      <c r="AR63" s="308">
        <f>SUM(AR64:AR65)</f>
        <v>0</v>
      </c>
      <c r="AS63" s="308">
        <f>SUM(AS64:AS65)</f>
        <v>0</v>
      </c>
      <c r="AT63" s="1785">
        <f>SUM(AT64:AT65)</f>
        <v>0</v>
      </c>
      <c r="AU63" s="1785">
        <f>SUM(AU64:AU65)</f>
        <v>0</v>
      </c>
      <c r="AV63" s="1785">
        <f>SUM(AV64:AV65)</f>
        <v>0</v>
      </c>
      <c r="AW63" s="1785">
        <f>SUM(AW64:AW65)</f>
        <v>0</v>
      </c>
      <c r="AX63" s="1785">
        <f>SUM(AX64:AX65)</f>
        <v>0</v>
      </c>
      <c r="AY63" s="1730"/>
      <c r="AZ63" s="1730"/>
      <c r="BA63" s="1730"/>
      <c r="BB63" s="227"/>
      <c r="BC63" s="227"/>
      <c r="BD63" s="1232" t="s">
        <v>2024</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M10655::ТЭ.42.26824396.0004::Неопределено::110.0.36.::90.0.0.::Неопределено::Неопределено::22.0.10.::Неопределено</v>
      </c>
    </row>
    <row s="1619" customFormat="1" customHeight="1" ht="16.5" hidden="1">
      <c r="A64" s="1183"/>
      <c r="B64" s="924"/>
      <c r="C64" s="1298" t="s">
        <v>1693</v>
      </c>
      <c r="D64" s="1317" t="s">
        <v>1694</v>
      </c>
      <c r="E64" s="794">
        <v>17</v>
      </c>
      <c r="F64" s="736" cm="1" t="str">
        <f t="array" ref="F64:F64">OFFSET(G64,-1,-1)</f>
        <v>1</v>
      </c>
      <c r="G64" s="227"/>
      <c r="H64" s="227"/>
      <c r="I64" s="227"/>
      <c r="J64" s="227"/>
      <c r="K64" s="227"/>
      <c r="L64" s="1284" cm="1" t="str">
        <f t="array" ref="L64:L64">AC64</f>
        <v>0</v>
      </c>
      <c r="M64" s="1284" cm="1" t="str">
        <f t="array" ref="M64:M64">OFFSET(L64,-1,1)</f>
        <v>ТЭ.42.26824396.0004</v>
      </c>
      <c r="N64" s="1284"/>
      <c r="O64" s="1284"/>
      <c r="P64" s="1284"/>
      <c r="Q64" s="1286"/>
      <c r="R64" s="1286" t="s">
        <v>2005</v>
      </c>
      <c r="S64" s="1284"/>
      <c r="T64" s="805">
        <f>AND(F64&gt;0,OR(ISBLANK(Y64),Y64&gt;0))</f>
        <v>0</v>
      </c>
      <c r="U64" s="1461"/>
      <c r="V64" s="1461"/>
      <c r="W64" s="172" t="s">
        <v>233</v>
      </c>
      <c r="X64" s="1461"/>
      <c r="Y64" s="172">
        <v>0</v>
      </c>
      <c r="Z64" s="1461"/>
      <c r="AA64" s="914" t="s">
        <v>217</v>
      </c>
      <c r="AB64" s="577" t="str">
        <f>"1.2.1."&amp;Y64</f>
        <v>1.2.1.0</v>
      </c>
      <c r="AC64" s="143"/>
      <c r="AD64" s="1013" t="s">
        <v>1400</v>
      </c>
      <c r="AE64" s="308"/>
      <c r="AF64" s="308"/>
      <c r="AG64" s="308"/>
      <c r="AH64" s="308"/>
      <c r="AI64" s="308"/>
      <c r="AJ64" s="98"/>
      <c r="AK64" s="98"/>
      <c r="AL64" s="98"/>
      <c r="AM64" s="98"/>
      <c r="AN64" s="98"/>
      <c r="AO64" s="308"/>
      <c r="AP64" s="308"/>
      <c r="AQ64" s="308"/>
      <c r="AR64" s="308"/>
      <c r="AS64" s="308"/>
      <c r="AT64" s="98"/>
      <c r="AU64" s="98"/>
      <c r="AV64" s="98"/>
      <c r="AW64" s="98"/>
      <c r="AX64" s="98"/>
      <c r="AY64" s="73"/>
      <c r="AZ64" s="73"/>
      <c r="BA64" s="73"/>
      <c r="BB64" s="227"/>
      <c r="BC64" s="227"/>
      <c r="BD64" s="1232" t="s">
        <v>2024</v>
      </c>
      <c r="BE64" s="1232" t="s">
        <v>2025</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M10655::ТЭ.42.26824396.0004::0::Неопределено::Неопределено::Неопределено::Неопределено::22.0.10.::Неопределено</v>
      </c>
    </row>
    <row s="1619"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ТЭ.42.26824396.0004</v>
      </c>
      <c r="N65" s="1330"/>
      <c r="O65" s="1330"/>
      <c r="P65" s="1330"/>
      <c r="Q65" s="1328"/>
      <c r="R65" s="1328"/>
      <c r="S65" s="1330"/>
      <c r="T65" s="805">
        <f>AND(F65&gt;0,OR(ISBLANK(Y65),Y65&gt;0))</f>
        <v>1</v>
      </c>
      <c r="U65" s="1461"/>
      <c r="V65" s="1461"/>
      <c r="W65" s="1016" t="s">
        <v>947</v>
      </c>
      <c r="X65" s="1461"/>
      <c r="Y65" s="1461"/>
      <c r="Z65" s="1461"/>
      <c r="AA65" s="227"/>
      <c r="AB65" s="299"/>
      <c r="AC65" s="732" t="s">
        <v>235</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2025</v>
      </c>
      <c r="BH65" s="1233"/>
      <c r="BI65" s="1330"/>
    </row>
    <row s="1619" customFormat="1" customHeight="1" ht="33.75">
      <c r="A66" s="1183"/>
      <c r="B66" s="924"/>
      <c r="C66" s="1298" t="s">
        <v>1693</v>
      </c>
      <c r="D66" s="1317" t="s">
        <v>1694</v>
      </c>
      <c r="E66" s="794">
        <v>35</v>
      </c>
      <c r="F66" s="736" cm="1" t="str">
        <f t="array" ref="F66:F66">OFFSET(G66,-1,-1)</f>
        <v>1</v>
      </c>
      <c r="G66" s="227"/>
      <c r="H66" s="227"/>
      <c r="I66" s="227"/>
      <c r="J66" s="227"/>
      <c r="K66" s="227"/>
      <c r="L66" s="1284"/>
      <c r="M66" s="1284" cm="1" t="str">
        <f t="array" ref="M66:M66">OFFSET(L66,-1,1)</f>
        <v>ТЭ.42.26824396.0004</v>
      </c>
      <c r="N66" s="1284"/>
      <c r="O66" s="1284"/>
      <c r="P66" s="1284"/>
      <c r="Q66" s="1286" t="s">
        <v>2009</v>
      </c>
      <c r="R66" s="1286"/>
      <c r="S66" s="1284"/>
      <c r="T66" s="805">
        <f>AND(F66&gt;0,OR(ISBLANK(Y66),Y66&gt;0))</f>
        <v>1</v>
      </c>
      <c r="U66" s="1461"/>
      <c r="V66" s="1461"/>
      <c r="W66" s="1461"/>
      <c r="X66" s="1461"/>
      <c r="Y66" s="1461"/>
      <c r="Z66" s="1461"/>
      <c r="AA66" s="227"/>
      <c r="AB66" s="577" t="s">
        <v>2026</v>
      </c>
      <c r="AC66" s="559" t="s">
        <v>2011</v>
      </c>
      <c r="AD66" s="1013" t="s">
        <v>1400</v>
      </c>
      <c r="AE66" s="308">
        <f>SUM(AE67:AE68)</f>
        <v>0</v>
      </c>
      <c r="AF66" s="308">
        <f>SUM(AF67:AF68)</f>
        <v>0</v>
      </c>
      <c r="AG66" s="308">
        <f>SUM(AG67:AG68)</f>
        <v>0</v>
      </c>
      <c r="AH66" s="308">
        <f>SUM(AH67:AH68)</f>
        <v>0</v>
      </c>
      <c r="AI66" s="308">
        <f>SUM(AI67:AI68)</f>
        <v>0</v>
      </c>
      <c r="AJ66" s="1785">
        <f>SUM(AJ67:AJ68)</f>
        <v>0</v>
      </c>
      <c r="AK66" s="1785">
        <f>SUM(AK67:AK68)</f>
        <v>0</v>
      </c>
      <c r="AL66" s="1785">
        <f>SUM(AL67:AL68)</f>
        <v>0</v>
      </c>
      <c r="AM66" s="1785">
        <f>SUM(AM67:AM68)</f>
        <v>0</v>
      </c>
      <c r="AN66" s="1785">
        <f>SUM(AN67:AN68)</f>
        <v>0</v>
      </c>
      <c r="AO66" s="308">
        <f>SUM(AO67:AO68)</f>
        <v>0</v>
      </c>
      <c r="AP66" s="308">
        <f>SUM(AP67:AP68)</f>
        <v>0</v>
      </c>
      <c r="AQ66" s="308">
        <f>SUM(AQ67:AQ68)</f>
        <v>0</v>
      </c>
      <c r="AR66" s="308">
        <f>SUM(AR67:AR68)</f>
        <v>0</v>
      </c>
      <c r="AS66" s="308">
        <f>SUM(AS67:AS68)</f>
        <v>0</v>
      </c>
      <c r="AT66" s="1785">
        <f>SUM(AT67:AT68)</f>
        <v>0</v>
      </c>
      <c r="AU66" s="1785">
        <f>SUM(AU67:AU68)</f>
        <v>0</v>
      </c>
      <c r="AV66" s="1785">
        <f>SUM(AV67:AV68)</f>
        <v>0</v>
      </c>
      <c r="AW66" s="1785">
        <f>SUM(AW67:AW68)</f>
        <v>0</v>
      </c>
      <c r="AX66" s="1785">
        <f>SUM(AX67:AX68)</f>
        <v>0</v>
      </c>
      <c r="AY66" s="1730"/>
      <c r="AZ66" s="1730"/>
      <c r="BA66" s="1730"/>
      <c r="BB66" s="227"/>
      <c r="BC66" s="227"/>
      <c r="BD66" s="1232" t="s">
        <v>2027</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M10655::ТЭ.42.26824396.0004::Неопределено::Неопределено::Неопределено::Неопределено::147.0.5.::Неопределено::Неопределено</v>
      </c>
    </row>
    <row s="1619" customFormat="1" customHeight="1" ht="16.5" hidden="1">
      <c r="A67" s="1183"/>
      <c r="B67" s="924"/>
      <c r="C67" s="1298" t="s">
        <v>1693</v>
      </c>
      <c r="D67" s="1317" t="s">
        <v>1694</v>
      </c>
      <c r="E67" s="794">
        <v>17</v>
      </c>
      <c r="F67" s="736" cm="1" t="str">
        <f t="array" ref="F67:F67">OFFSET(G67,-1,-1)</f>
        <v>1</v>
      </c>
      <c r="G67" s="227"/>
      <c r="H67" s="227"/>
      <c r="I67" s="227"/>
      <c r="J67" s="227"/>
      <c r="K67" s="227"/>
      <c r="L67" s="1284" cm="1" t="str">
        <f t="array" ref="L67:L67">AC67</f>
        <v>0</v>
      </c>
      <c r="M67" s="1284" cm="1" t="str">
        <f t="array" ref="M67:M67">OFFSET(L67,-1,1)</f>
        <v>ТЭ.42.26824396.0004</v>
      </c>
      <c r="N67" s="1284"/>
      <c r="O67" s="1284"/>
      <c r="P67" s="1284"/>
      <c r="Q67" s="1286" t="s">
        <v>2009</v>
      </c>
      <c r="R67" s="1286"/>
      <c r="S67" s="1284"/>
      <c r="T67" s="805">
        <f>AND(F67&gt;0,OR(ISBLANK(Y67),Y67&gt;0))</f>
        <v>0</v>
      </c>
      <c r="U67" s="1461"/>
      <c r="V67" s="1461"/>
      <c r="W67" s="172" t="s">
        <v>233</v>
      </c>
      <c r="X67" s="1461"/>
      <c r="Y67" s="172">
        <v>0</v>
      </c>
      <c r="Z67" s="1461"/>
      <c r="AA67" s="914" t="s">
        <v>217</v>
      </c>
      <c r="AB67" s="577" t="str">
        <f>"1.2.2."&amp;Y67</f>
        <v>1.2.2.0</v>
      </c>
      <c r="AC67" s="143"/>
      <c r="AD67" s="1013" t="s">
        <v>1400</v>
      </c>
      <c r="AE67" s="308"/>
      <c r="AF67" s="308"/>
      <c r="AG67" s="308"/>
      <c r="AH67" s="308"/>
      <c r="AI67" s="308"/>
      <c r="AJ67" s="98"/>
      <c r="AK67" s="98"/>
      <c r="AL67" s="98"/>
      <c r="AM67" s="98"/>
      <c r="AN67" s="98"/>
      <c r="AO67" s="308"/>
      <c r="AP67" s="308"/>
      <c r="AQ67" s="308"/>
      <c r="AR67" s="308"/>
      <c r="AS67" s="308"/>
      <c r="AT67" s="98"/>
      <c r="AU67" s="98"/>
      <c r="AV67" s="98"/>
      <c r="AW67" s="98"/>
      <c r="AX67" s="98"/>
      <c r="AY67" s="73"/>
      <c r="AZ67" s="73"/>
      <c r="BA67" s="73"/>
      <c r="BB67" s="227"/>
      <c r="BC67" s="227"/>
      <c r="BD67" s="1232" t="s">
        <v>2027</v>
      </c>
      <c r="BE67" s="1232" t="s">
        <v>2028</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M10655::ТЭ.42.26824396.0004::0::Неопределено::Неопределено::Неопределено::147.0.5.::Неопределено::Неопределено</v>
      </c>
    </row>
    <row s="1619"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ТЭ.42.26824396.0004</v>
      </c>
      <c r="N68" s="1330"/>
      <c r="O68" s="1330"/>
      <c r="P68" s="1330"/>
      <c r="Q68" s="1328"/>
      <c r="R68" s="1328"/>
      <c r="S68" s="1330"/>
      <c r="T68" s="805">
        <f>AND(F68&gt;0,OR(ISBLANK(Y68),Y68&gt;0))</f>
        <v>1</v>
      </c>
      <c r="U68" s="1461"/>
      <c r="V68" s="1461"/>
      <c r="W68" s="1016" t="s">
        <v>958</v>
      </c>
      <c r="X68" s="1461"/>
      <c r="Y68" s="1461"/>
      <c r="Z68" s="1461"/>
      <c r="AA68" s="227"/>
      <c r="AB68" s="299"/>
      <c r="AC68" s="732" t="s">
        <v>235</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2028</v>
      </c>
      <c r="BH68" s="1233"/>
      <c r="BI68" s="1330"/>
    </row>
    <row s="1619" customFormat="1" customHeight="1" ht="16.5">
      <c r="A69" s="1183"/>
      <c r="B69" s="924"/>
      <c r="C69" s="1298" t="s">
        <v>1693</v>
      </c>
      <c r="D69" s="1317" t="s">
        <v>1694</v>
      </c>
      <c r="E69" s="794">
        <v>17</v>
      </c>
      <c r="F69" s="736" cm="1" t="str">
        <f t="array" ref="F69:F69">OFFSET(G69,-1,-1)</f>
        <v>1</v>
      </c>
      <c r="G69" s="227"/>
      <c r="H69" s="227"/>
      <c r="I69" s="227"/>
      <c r="J69" s="227"/>
      <c r="K69" s="227"/>
      <c r="L69" s="1284"/>
      <c r="M69" s="1284" cm="1" t="str">
        <f t="array" ref="M69:M69">OFFSET(L69,-1,1)</f>
        <v>ТЭ.42.26824396.0004</v>
      </c>
      <c r="N69" s="1284"/>
      <c r="O69" s="1284"/>
      <c r="P69" s="1284"/>
      <c r="Q69" s="1286" t="s">
        <v>2013</v>
      </c>
      <c r="R69" s="1286"/>
      <c r="S69" s="1284"/>
      <c r="T69" s="805">
        <f>AND(F69&gt;0,OR(ISBLANK(Y69),Y69&gt;0))</f>
        <v>1</v>
      </c>
      <c r="U69" s="1461"/>
      <c r="V69" s="1461"/>
      <c r="W69" s="1461"/>
      <c r="X69" s="1461"/>
      <c r="Y69" s="1461"/>
      <c r="Z69" s="1461"/>
      <c r="AA69" s="227"/>
      <c r="AB69" s="1118" t="s">
        <v>2029</v>
      </c>
      <c r="AC69" s="559" t="s">
        <v>2015</v>
      </c>
      <c r="AD69" s="1013" t="s">
        <v>1400</v>
      </c>
      <c r="AE69" s="308">
        <f>SUM(AE70:AE71)</f>
        <v>0</v>
      </c>
      <c r="AF69" s="308">
        <f>SUM(AF70:AF71)</f>
        <v>0</v>
      </c>
      <c r="AG69" s="308">
        <f>SUM(AG70:AG71)</f>
        <v>0</v>
      </c>
      <c r="AH69" s="308">
        <f>SUM(AH70:AH71)</f>
        <v>0</v>
      </c>
      <c r="AI69" s="308">
        <f>SUM(AI70:AI71)</f>
        <v>0</v>
      </c>
      <c r="AJ69" s="1785">
        <f>SUM(AJ70:AJ71)</f>
        <v>0</v>
      </c>
      <c r="AK69" s="1785">
        <f>SUM(AK70:AK71)</f>
        <v>0</v>
      </c>
      <c r="AL69" s="1785">
        <f>SUM(AL70:AL71)</f>
        <v>0</v>
      </c>
      <c r="AM69" s="1785">
        <f>SUM(AM70:AM71)</f>
        <v>0</v>
      </c>
      <c r="AN69" s="1785">
        <f>SUM(AN70:AN71)</f>
        <v>0</v>
      </c>
      <c r="AO69" s="308">
        <f>SUM(AO70:AO71)</f>
        <v>0</v>
      </c>
      <c r="AP69" s="308">
        <f>SUM(AP70:AP71)</f>
        <v>0</v>
      </c>
      <c r="AQ69" s="308">
        <f>SUM(AQ70:AQ71)</f>
        <v>0</v>
      </c>
      <c r="AR69" s="308">
        <f>SUM(AR70:AR71)</f>
        <v>0</v>
      </c>
      <c r="AS69" s="308">
        <f>SUM(AS70:AS71)</f>
        <v>0</v>
      </c>
      <c r="AT69" s="1785">
        <f>SUM(AT70:AT71)</f>
        <v>0</v>
      </c>
      <c r="AU69" s="1785">
        <f>SUM(AU70:AU71)</f>
        <v>0</v>
      </c>
      <c r="AV69" s="1785">
        <f>SUM(AV70:AV71)</f>
        <v>0</v>
      </c>
      <c r="AW69" s="1785">
        <f>SUM(AW70:AW71)</f>
        <v>0</v>
      </c>
      <c r="AX69" s="1785">
        <f>SUM(AX70:AX71)</f>
        <v>0</v>
      </c>
      <c r="AY69" s="1730"/>
      <c r="AZ69" s="1730"/>
      <c r="BA69" s="1730"/>
      <c r="BB69" s="227"/>
      <c r="BC69" s="227"/>
      <c r="BD69" s="1232" t="s">
        <v>2030</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M10655::ТЭ.42.26824396.0004::Неопределено::Неопределено::Неопределено::Неопределено::147.0.1.::Неопределено::Неопределено</v>
      </c>
    </row>
    <row s="1619" customFormat="1" customHeight="1" ht="16.5" hidden="1">
      <c r="A70" s="1183"/>
      <c r="B70" s="924"/>
      <c r="C70" s="1298" t="s">
        <v>1693</v>
      </c>
      <c r="D70" s="1317" t="s">
        <v>1694</v>
      </c>
      <c r="E70" s="794">
        <v>17</v>
      </c>
      <c r="F70" s="736" cm="1" t="str">
        <f t="array" ref="F70:F70">OFFSET(G70,-1,-1)</f>
        <v>1</v>
      </c>
      <c r="G70" s="227"/>
      <c r="H70" s="227"/>
      <c r="I70" s="227"/>
      <c r="J70" s="227"/>
      <c r="K70" s="227"/>
      <c r="L70" s="1284" cm="1" t="str">
        <f t="array" ref="L70:L70">AC70</f>
        <v>0</v>
      </c>
      <c r="M70" s="1284" cm="1" t="str">
        <f t="array" ref="M70:M70">OFFSET(L70,-1,1)</f>
        <v>ТЭ.42.26824396.0004</v>
      </c>
      <c r="N70" s="1284"/>
      <c r="O70" s="1284"/>
      <c r="P70" s="1284"/>
      <c r="Q70" s="1286" t="s">
        <v>2013</v>
      </c>
      <c r="R70" s="1286"/>
      <c r="S70" s="1284"/>
      <c r="T70" s="805">
        <f>AND(F70&gt;0,OR(ISBLANK(Y70),Y70&gt;0))</f>
        <v>0</v>
      </c>
      <c r="U70" s="1461"/>
      <c r="V70" s="1461"/>
      <c r="W70" s="172" t="s">
        <v>233</v>
      </c>
      <c r="X70" s="1461"/>
      <c r="Y70" s="172">
        <v>0</v>
      </c>
      <c r="Z70" s="1461"/>
      <c r="AA70" s="914" t="s">
        <v>217</v>
      </c>
      <c r="AB70" s="577" t="str">
        <f>"1.2.3."&amp;Y70</f>
        <v>1.2.3.0</v>
      </c>
      <c r="AC70" s="143"/>
      <c r="AD70" s="1013" t="s">
        <v>1400</v>
      </c>
      <c r="AE70" s="308"/>
      <c r="AF70" s="308"/>
      <c r="AG70" s="308"/>
      <c r="AH70" s="308"/>
      <c r="AI70" s="308"/>
      <c r="AJ70" s="98"/>
      <c r="AK70" s="98"/>
      <c r="AL70" s="98"/>
      <c r="AM70" s="98"/>
      <c r="AN70" s="98"/>
      <c r="AO70" s="308"/>
      <c r="AP70" s="308"/>
      <c r="AQ70" s="308"/>
      <c r="AR70" s="308"/>
      <c r="AS70" s="308"/>
      <c r="AT70" s="98"/>
      <c r="AU70" s="98"/>
      <c r="AV70" s="98"/>
      <c r="AW70" s="98"/>
      <c r="AX70" s="98"/>
      <c r="AY70" s="73"/>
      <c r="AZ70" s="73"/>
      <c r="BA70" s="73"/>
      <c r="BB70" s="227"/>
      <c r="BC70" s="227"/>
      <c r="BD70" s="1232" t="s">
        <v>2030</v>
      </c>
      <c r="BE70" s="1232" t="s">
        <v>2031</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M10655::ТЭ.42.26824396.0004::0::Неопределено::Неопределено::Неопределено::147.0.1.::Неопределено::Неопределено</v>
      </c>
    </row>
    <row s="1619"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ТЭ.42.26824396.0004</v>
      </c>
      <c r="N71" s="1330"/>
      <c r="O71" s="1330"/>
      <c r="P71" s="1330"/>
      <c r="Q71" s="1328"/>
      <c r="R71" s="1328"/>
      <c r="S71" s="1330"/>
      <c r="T71" s="805">
        <f>AND(F71&gt;0,OR(ISBLANK(Y71),Y71&gt;0))</f>
        <v>1</v>
      </c>
      <c r="U71" s="1461"/>
      <c r="V71" s="1461"/>
      <c r="W71" s="1016" t="s">
        <v>1199</v>
      </c>
      <c r="X71" s="1461"/>
      <c r="Y71" s="1461"/>
      <c r="Z71" s="1461"/>
      <c r="AA71" s="227"/>
      <c r="AB71" s="299"/>
      <c r="AC71" s="732" t="s">
        <v>235</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2031</v>
      </c>
      <c r="BH71" s="1233"/>
      <c r="BI71" s="1330"/>
    </row>
    <row s="1619" customFormat="1" customHeight="1" ht="16.5">
      <c r="A72" s="1183"/>
      <c r="B72" s="924"/>
      <c r="C72" s="1298" t="s">
        <v>1693</v>
      </c>
      <c r="D72" s="1317" t="s">
        <v>1694</v>
      </c>
      <c r="E72" s="794">
        <v>17</v>
      </c>
      <c r="F72" s="736" cm="1" t="str">
        <f t="array" ref="F72:F72">OFFSET(G72,-1,-1)</f>
        <v>1</v>
      </c>
      <c r="G72" s="227"/>
      <c r="H72" s="227"/>
      <c r="I72" s="227"/>
      <c r="J72" s="227"/>
      <c r="K72" s="227"/>
      <c r="L72" s="1284"/>
      <c r="M72" s="1284" cm="1" t="str">
        <f t="array" ref="M72:M72">OFFSET(L72,-1,1)</f>
        <v>ТЭ.42.26824396.0004</v>
      </c>
      <c r="N72" s="1284" t="s">
        <v>2032</v>
      </c>
      <c r="O72" s="1284"/>
      <c r="P72" s="1284"/>
      <c r="Q72" s="1286"/>
      <c r="R72" s="1286"/>
      <c r="S72" s="1284"/>
      <c r="T72" s="805">
        <f>AND(F72&gt;0,OR(ISBLANK(Y72),Y72&gt;0))</f>
        <v>1</v>
      </c>
      <c r="U72" s="1461"/>
      <c r="V72" s="1461"/>
      <c r="W72" s="1461"/>
      <c r="X72" s="1461"/>
      <c r="Y72" s="1461"/>
      <c r="Z72" s="1461"/>
      <c r="AA72" s="227"/>
      <c r="AB72" s="1118" t="s">
        <v>933</v>
      </c>
      <c r="AC72" s="161" t="s">
        <v>2033</v>
      </c>
      <c r="AD72" s="1013" t="s">
        <v>1400</v>
      </c>
      <c r="AE72" s="308"/>
      <c r="AF72" s="308"/>
      <c r="AG72" s="308"/>
      <c r="AH72" s="308"/>
      <c r="AI72" s="308"/>
      <c r="AJ72" s="1785"/>
      <c r="AK72" s="1785"/>
      <c r="AL72" s="1785"/>
      <c r="AM72" s="1785"/>
      <c r="AN72" s="1785"/>
      <c r="AO72" s="308"/>
      <c r="AP72" s="308"/>
      <c r="AQ72" s="308"/>
      <c r="AR72" s="308"/>
      <c r="AS72" s="308"/>
      <c r="AT72" s="1785"/>
      <c r="AU72" s="1785"/>
      <c r="AV72" s="1785"/>
      <c r="AW72" s="1785"/>
      <c r="AX72" s="1785"/>
      <c r="AY72" s="1730"/>
      <c r="AZ72" s="1730"/>
      <c r="BA72" s="1730"/>
      <c r="BB72" s="227"/>
      <c r="BC72" s="227"/>
      <c r="BD72" s="1232" t="s">
        <v>1388</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M10655::ТЭ.42.26824396.0004::Неопределено::110.0.3.::Неопределено::Неопределено::Неопределено::Неопределено::Неопределено</v>
      </c>
    </row>
    <row s="1619"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ТЭ.42.26824396.0004</v>
      </c>
      <c r="N73" s="1339"/>
      <c r="O73" s="1339"/>
      <c r="P73" s="1339"/>
      <c r="Q73" s="1341"/>
      <c r="R73" s="1341"/>
      <c r="S73" s="1339"/>
      <c r="T73" s="805">
        <f>AND(F73&gt;0,OR(ISBLANK(Y73),Y73&gt;0))</f>
        <v>1</v>
      </c>
      <c r="U73" s="1461"/>
      <c r="V73" s="1461"/>
      <c r="W73" s="1461"/>
      <c r="X73" s="1461"/>
      <c r="Y73" s="1461"/>
      <c r="Z73" s="1461"/>
      <c r="AA73" s="227"/>
      <c r="AB73" s="577" t="s">
        <v>343</v>
      </c>
      <c r="AC73" s="320" t="s">
        <v>2034</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19" customFormat="1" customHeight="1" ht="16.5">
      <c r="A74" s="1183"/>
      <c r="B74" s="924"/>
      <c r="C74" s="1298" t="s">
        <v>1721</v>
      </c>
      <c r="D74" s="1317" t="s">
        <v>1722</v>
      </c>
      <c r="E74" s="794">
        <v>17</v>
      </c>
      <c r="F74" s="736" cm="1" t="str">
        <f t="array" ref="F74:F74">OFFSET(G74,-1,-1)</f>
        <v>1</v>
      </c>
      <c r="G74" s="190" t="s">
        <v>1723</v>
      </c>
      <c r="H74" s="227"/>
      <c r="I74" s="227"/>
      <c r="J74" s="227"/>
      <c r="K74" s="227"/>
      <c r="L74" s="1284"/>
      <c r="M74" s="1284" cm="1" t="str">
        <f t="array" ref="M74:M74">OFFSET(L74,-1,1)</f>
        <v>ТЭ.42.26824396.0004</v>
      </c>
      <c r="N74" s="1284"/>
      <c r="O74" s="1284"/>
      <c r="P74" s="1284"/>
      <c r="Q74" s="1286"/>
      <c r="R74" s="1286"/>
      <c r="S74" s="1286" t="s">
        <v>1724</v>
      </c>
      <c r="T74" s="805">
        <f>AND(F74&gt;0,OR(ISBLANK(Y74),Y74&gt;0))</f>
        <v>1</v>
      </c>
      <c r="U74" s="1461"/>
      <c r="V74" s="1461"/>
      <c r="W74" s="1461"/>
      <c r="X74" s="1461"/>
      <c r="Y74" s="1461"/>
      <c r="Z74" s="1461"/>
      <c r="AA74" s="227"/>
      <c r="AB74" s="170" t="s">
        <v>448</v>
      </c>
      <c r="AC74" s="286" t="s">
        <v>1725</v>
      </c>
      <c r="AD74" s="555" t="s">
        <v>591</v>
      </c>
      <c r="AE74" s="308"/>
      <c r="AF74" s="308"/>
      <c r="AG74" s="308"/>
      <c r="AH74" s="308"/>
      <c r="AI74" s="308"/>
      <c r="AJ74" s="1785"/>
      <c r="AK74" s="1785"/>
      <c r="AL74" s="1785"/>
      <c r="AM74" s="1785"/>
      <c r="AN74" s="1785"/>
      <c r="AO74" s="308"/>
      <c r="AP74" s="308"/>
      <c r="AQ74" s="308"/>
      <c r="AR74" s="308"/>
      <c r="AS74" s="308"/>
      <c r="AT74" s="1785"/>
      <c r="AU74" s="1785"/>
      <c r="AV74" s="1785"/>
      <c r="AW74" s="1785"/>
      <c r="AX74" s="1785"/>
      <c r="AY74" s="1730"/>
      <c r="AZ74" s="1730"/>
      <c r="BA74" s="1730"/>
      <c r="BB74" s="227"/>
      <c r="BC74" s="227"/>
      <c r="BD74" s="1232" t="s">
        <v>2035</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M10670::ТЭ.42.26824396.0004::Неопределено::Неопределено::Неопределено::Неопределено::Неопределено::Неопределено::8.0.3.</v>
      </c>
    </row>
    <row s="1619" customFormat="1" customHeight="1" ht="16.5">
      <c r="A75" s="1183"/>
      <c r="B75" s="924"/>
      <c r="C75" s="1298" t="s">
        <v>1727</v>
      </c>
      <c r="D75" s="1317" t="s">
        <v>1728</v>
      </c>
      <c r="E75" s="794">
        <v>17</v>
      </c>
      <c r="F75" s="736" cm="1" t="str">
        <f t="array" ref="F75:F75">OFFSET(G75,-1,-1)</f>
        <v>1</v>
      </c>
      <c r="G75" s="736" t="s">
        <v>1729</v>
      </c>
      <c r="H75" s="227"/>
      <c r="I75" s="227"/>
      <c r="J75" s="227"/>
      <c r="K75" s="227"/>
      <c r="L75" s="1284"/>
      <c r="M75" s="1284" cm="1" t="str">
        <f t="array" ref="M75:M75">OFFSET(L75,-1,1)</f>
        <v>ТЭ.42.26824396.0004</v>
      </c>
      <c r="N75" s="1284"/>
      <c r="O75" s="1284"/>
      <c r="P75" s="1284"/>
      <c r="Q75" s="1286"/>
      <c r="R75" s="1286"/>
      <c r="S75" s="1286" t="s">
        <v>1724</v>
      </c>
      <c r="T75" s="805">
        <f>AND(F75&gt;0,OR(ISBLANK(Y75),Y75&gt;0))</f>
        <v>1</v>
      </c>
      <c r="U75" s="1461"/>
      <c r="V75" s="1461"/>
      <c r="W75" s="1461"/>
      <c r="X75" s="1461"/>
      <c r="Y75" s="1461"/>
      <c r="Z75" s="1461"/>
      <c r="AA75" s="227"/>
      <c r="AB75" s="170" t="s">
        <v>475</v>
      </c>
      <c r="AC75" s="286" t="s">
        <v>1730</v>
      </c>
      <c r="AD75" s="555" t="s">
        <v>895</v>
      </c>
      <c r="AE75" s="308"/>
      <c r="AF75" s="308"/>
      <c r="AG75" s="308"/>
      <c r="AH75" s="308"/>
      <c r="AI75" s="308"/>
      <c r="AJ75" s="1785"/>
      <c r="AK75" s="1785"/>
      <c r="AL75" s="1785"/>
      <c r="AM75" s="1785"/>
      <c r="AN75" s="1785"/>
      <c r="AO75" s="308"/>
      <c r="AP75" s="308"/>
      <c r="AQ75" s="308"/>
      <c r="AR75" s="308"/>
      <c r="AS75" s="308"/>
      <c r="AT75" s="1785"/>
      <c r="AU75" s="1785"/>
      <c r="AV75" s="1785"/>
      <c r="AW75" s="1785"/>
      <c r="AX75" s="1785"/>
      <c r="AY75" s="1730"/>
      <c r="AZ75" s="1730"/>
      <c r="BA75" s="1730"/>
      <c r="BB75" s="227"/>
      <c r="BC75" s="227"/>
      <c r="BD75" s="1232" t="s">
        <v>2036</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M10546::ТЭ.42.26824396.0004::Неопределено::Неопределено::Неопределено::Неопределено::Неопределено::Неопределено::8.0.3.</v>
      </c>
    </row>
    <row s="1619" customFormat="1" customHeight="1" ht="16.5">
      <c r="A76" s="1183"/>
      <c r="B76" s="924"/>
      <c r="C76" s="1298" t="s">
        <v>1721</v>
      </c>
      <c r="D76" s="1317" t="s">
        <v>1722</v>
      </c>
      <c r="E76" s="794">
        <v>17</v>
      </c>
      <c r="F76" s="736" cm="1" t="str">
        <f t="array" ref="F76:F76">OFFSET(G76,-1,-1)</f>
        <v>1</v>
      </c>
      <c r="G76" s="190" t="s">
        <v>1732</v>
      </c>
      <c r="H76" s="227"/>
      <c r="I76" s="227"/>
      <c r="J76" s="227"/>
      <c r="K76" s="227"/>
      <c r="L76" s="1284"/>
      <c r="M76" s="1284" cm="1" t="str">
        <f t="array" ref="M76:M76">OFFSET(L76,-1,1)</f>
        <v>ТЭ.42.26824396.0004</v>
      </c>
      <c r="N76" s="1284"/>
      <c r="O76" s="1284"/>
      <c r="P76" s="1284"/>
      <c r="Q76" s="1286"/>
      <c r="R76" s="1286"/>
      <c r="S76" s="1286" t="s">
        <v>1733</v>
      </c>
      <c r="T76" s="805">
        <f>AND(F76&gt;0,OR(ISBLANK(Y76),Y76&gt;0))</f>
        <v>1</v>
      </c>
      <c r="U76" s="1461"/>
      <c r="V76" s="1461"/>
      <c r="W76" s="1461"/>
      <c r="X76" s="1461"/>
      <c r="Y76" s="1461"/>
      <c r="Z76" s="1461"/>
      <c r="AA76" s="227"/>
      <c r="AB76" s="170" t="s">
        <v>479</v>
      </c>
      <c r="AC76" s="286" t="s">
        <v>1734</v>
      </c>
      <c r="AD76" s="309" t="s">
        <v>591</v>
      </c>
      <c r="AE76" s="308"/>
      <c r="AF76" s="308"/>
      <c r="AG76" s="308"/>
      <c r="AH76" s="308"/>
      <c r="AI76" s="308"/>
      <c r="AJ76" s="1785"/>
      <c r="AK76" s="1785"/>
      <c r="AL76" s="1785"/>
      <c r="AM76" s="1785"/>
      <c r="AN76" s="1785"/>
      <c r="AO76" s="308"/>
      <c r="AP76" s="308"/>
      <c r="AQ76" s="308"/>
      <c r="AR76" s="308"/>
      <c r="AS76" s="308"/>
      <c r="AT76" s="1785"/>
      <c r="AU76" s="1785"/>
      <c r="AV76" s="1785"/>
      <c r="AW76" s="1785"/>
      <c r="AX76" s="1785"/>
      <c r="AY76" s="1730"/>
      <c r="AZ76" s="1730"/>
      <c r="BA76" s="1730"/>
      <c r="BB76" s="227"/>
      <c r="BC76" s="227"/>
      <c r="BD76" s="1232" t="s">
        <v>2037</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M10670::ТЭ.42.26824396.0004::Неопределено::Неопределено::Неопределено::Неопределено::Неопределено::Неопределено::8.0.5.</v>
      </c>
    </row>
    <row s="2038" customFormat="1" customHeight="1" ht="16.5">
      <c r="A77" s="232"/>
      <c r="B77" s="232"/>
      <c r="C77" s="1298" t="s">
        <v>1727</v>
      </c>
      <c r="D77" s="1317" t="s">
        <v>1728</v>
      </c>
      <c r="E77" s="794">
        <v>17</v>
      </c>
      <c r="F77" s="736" cm="1" t="str">
        <f t="array" ref="F77:F77">OFFSET(G77,-1,-1)</f>
        <v>1</v>
      </c>
      <c r="G77" s="736" t="s">
        <v>1736</v>
      </c>
      <c r="H77" s="232"/>
      <c r="I77" s="232"/>
      <c r="J77" s="232"/>
      <c r="K77" s="232"/>
      <c r="L77" s="1283"/>
      <c r="M77" s="1284" cm="1" t="str">
        <f t="array" ref="M77:M77">OFFSET(L77,-1,1)</f>
        <v>ТЭ.42.26824396.0004</v>
      </c>
      <c r="N77" s="1283"/>
      <c r="O77" s="1283"/>
      <c r="P77" s="1283"/>
      <c r="Q77" s="1294"/>
      <c r="R77" s="1294"/>
      <c r="S77" s="1286" t="s">
        <v>1733</v>
      </c>
      <c r="T77" s="805">
        <f>AND(F77&gt;0,OR(ISBLANK(Y77),Y77&gt;0))</f>
        <v>1</v>
      </c>
      <c r="U77" s="232"/>
      <c r="V77" s="232"/>
      <c r="W77" s="232"/>
      <c r="X77" s="232"/>
      <c r="Y77" s="232"/>
      <c r="Z77" s="232"/>
      <c r="AA77" s="232"/>
      <c r="AB77" s="170" t="s">
        <v>483</v>
      </c>
      <c r="AC77" s="286" t="s">
        <v>1737</v>
      </c>
      <c r="AD77" s="166" t="s">
        <v>895</v>
      </c>
      <c r="AE77" s="308">
        <f>_xlfn.IFERROR((AE55*1000-AE74*AE75)/AE76,0)</f>
        <v>0</v>
      </c>
      <c r="AF77" s="308">
        <f>_xlfn.IFERROR((AF55*1000-AF74*AF75)/AF76,0)</f>
        <v>0</v>
      </c>
      <c r="AG77" s="308">
        <f>_xlfn.IFERROR((AG55*1000-AG74*AG75)/AG76,0)</f>
        <v>0</v>
      </c>
      <c r="AH77" s="308">
        <f>_xlfn.IFERROR((AH55*1000-AH74*AH75)/AH76,0)</f>
        <v>0</v>
      </c>
      <c r="AI77" s="308">
        <f>_xlfn.IFERROR((AI55*1000-AI74*AI75)/AI76,0)</f>
        <v>0</v>
      </c>
      <c r="AJ77" s="1785">
        <f>_xlfn.IFERROR((AJ55*1000-AJ74*AJ75)/AJ76,0)</f>
        <v>0</v>
      </c>
      <c r="AK77" s="1785">
        <f>_xlfn.IFERROR((AK55*1000-AK74*AK75)/AK76,0)</f>
        <v>0</v>
      </c>
      <c r="AL77" s="1785">
        <f>_xlfn.IFERROR((AL55*1000-AL74*AL75)/AL76,0)</f>
        <v>0</v>
      </c>
      <c r="AM77" s="1785">
        <f>_xlfn.IFERROR((AM55*1000-AM74*AM75)/AM76,0)</f>
        <v>0</v>
      </c>
      <c r="AN77" s="1785">
        <f>_xlfn.IFERROR((AN55*1000-AN74*AN75)/AN76,0)</f>
        <v>0</v>
      </c>
      <c r="AO77" s="308">
        <f>_xlfn.IFERROR((AO55*1000-AO74*AO75)/AO76,0)</f>
        <v>0</v>
      </c>
      <c r="AP77" s="308">
        <f>_xlfn.IFERROR((AP55*1000-AP74*AP75)/AP76,0)</f>
        <v>0</v>
      </c>
      <c r="AQ77" s="308">
        <f>_xlfn.IFERROR((AQ55*1000-AQ74*AQ75)/AQ76,0)</f>
        <v>0</v>
      </c>
      <c r="AR77" s="308">
        <f>_xlfn.IFERROR((AR55*1000-AR74*AR75)/AR76,0)</f>
        <v>0</v>
      </c>
      <c r="AS77" s="308">
        <f>_xlfn.IFERROR((AS55*1000-AS74*AS75)/AS76,0)</f>
        <v>0</v>
      </c>
      <c r="AT77" s="1785">
        <f>_xlfn.IFERROR((AT55*1000-AT74*AT75)/AT76,0)</f>
        <v>0</v>
      </c>
      <c r="AU77" s="1785">
        <f>_xlfn.IFERROR((AU55*1000-AU74*AU75)/AU76,0)</f>
        <v>0</v>
      </c>
      <c r="AV77" s="1785">
        <f>_xlfn.IFERROR((AV55*1000-AV74*AV75)/AV76,0)</f>
        <v>0</v>
      </c>
      <c r="AW77" s="1785">
        <f>_xlfn.IFERROR((AW55*1000-AW74*AW75)/AW76,0)</f>
        <v>0</v>
      </c>
      <c r="AX77" s="1785">
        <f>_xlfn.IFERROR((AX55*1000-AX74*AX75)/AX76,0)</f>
        <v>0</v>
      </c>
      <c r="AY77" s="1730"/>
      <c r="AZ77" s="1730"/>
      <c r="BA77" s="1730"/>
      <c r="BB77" s="232"/>
      <c r="BC77" s="232"/>
      <c r="BD77" s="1232" t="s">
        <v>2038</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M10546::ТЭ.42.26824396.0004::Неопределено::Неопределено::Неопределено::Неопределено::Неопределено::Неопределено::8.0.5.</v>
      </c>
    </row>
    <row s="2039" customFormat="1" customHeight="1" ht="16.5">
      <c r="A78" s="232"/>
      <c r="B78" s="232"/>
      <c r="C78" s="1298" t="s">
        <v>1739</v>
      </c>
      <c r="D78" s="1317" t="s">
        <v>1740</v>
      </c>
      <c r="E78" s="794">
        <v>17</v>
      </c>
      <c r="F78" s="736" cm="1" t="str">
        <f t="array" ref="F78:F78">OFFSET(G78,-1,-1)</f>
        <v>1</v>
      </c>
      <c r="G78" s="232"/>
      <c r="H78" s="232"/>
      <c r="I78" s="232"/>
      <c r="J78" s="232"/>
      <c r="K78" s="232"/>
      <c r="L78" s="1283"/>
      <c r="M78" s="1284" cm="1" t="str">
        <f t="array" ref="M78:M78">OFFSET(L78,-1,1)</f>
        <v>ТЭ.42.26824396.0004</v>
      </c>
      <c r="N78" s="1283"/>
      <c r="O78" s="1283"/>
      <c r="P78" s="1283"/>
      <c r="Q78" s="1294"/>
      <c r="R78" s="1294"/>
      <c r="S78" s="1283"/>
      <c r="T78" s="805">
        <f>AND(F78&gt;0,OR(ISBLANK(Y78),Y78&gt;0))</f>
        <v>1</v>
      </c>
      <c r="U78" s="232"/>
      <c r="V78" s="232"/>
      <c r="W78" s="232"/>
      <c r="X78" s="232"/>
      <c r="Y78" s="232"/>
      <c r="Z78" s="232"/>
      <c r="AA78" s="232"/>
      <c r="AB78" s="170" t="s">
        <v>1559</v>
      </c>
      <c r="AC78" s="161" t="s">
        <v>2039</v>
      </c>
      <c r="AD78" s="555" t="s">
        <v>490</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30"/>
      <c r="AZ78" s="1730"/>
      <c r="BA78" s="1730"/>
      <c r="BB78" s="232"/>
      <c r="BC78" s="232"/>
      <c r="BD78" s="1232" t="s">
        <v>2040</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M11244::ТЭ.42.26824396.0004::Неопределено::Неопределено::Неопределено::Неопределено::Неопределено::Неопределено::Неопределено</v>
      </c>
    </row>
    <row s="1619" customFormat="1" customHeight="1" ht="16.5">
      <c r="A79" s="1183"/>
      <c r="B79" s="924"/>
      <c r="C79" s="1298" t="s">
        <v>1743</v>
      </c>
      <c r="D79" s="1317" t="s">
        <v>1744</v>
      </c>
      <c r="E79" s="794">
        <v>17</v>
      </c>
      <c r="F79" s="736" cm="1" t="str">
        <f t="array" ref="F79:F79">OFFSET(G79,-1,-1)</f>
        <v>1</v>
      </c>
      <c r="G79" s="227"/>
      <c r="H79" s="227"/>
      <c r="I79" s="227"/>
      <c r="J79" s="227"/>
      <c r="K79" s="227"/>
      <c r="L79" s="1284"/>
      <c r="M79" s="1284" cm="1" t="str">
        <f t="array" ref="M79:M79">OFFSET(L79,-1,1)</f>
        <v>ТЭ.42.26824396.0004</v>
      </c>
      <c r="N79" s="1284"/>
      <c r="O79" s="1284"/>
      <c r="P79" s="1284"/>
      <c r="Q79" s="1286"/>
      <c r="R79" s="1286"/>
      <c r="S79" s="1284"/>
      <c r="T79" s="805">
        <f>AND(F79&gt;0,OR(ISBLANK(Y79),Y79&gt;0))</f>
        <v>1</v>
      </c>
      <c r="U79" s="1461"/>
      <c r="V79" s="1461"/>
      <c r="W79" s="1461"/>
      <c r="X79" s="1461"/>
      <c r="Y79" s="1461"/>
      <c r="Z79" s="1461"/>
      <c r="AA79" s="227"/>
      <c r="AB79" s="170" t="s">
        <v>1986</v>
      </c>
      <c r="AC79" s="161" t="s">
        <v>2041</v>
      </c>
      <c r="AD79" s="555" t="s">
        <v>895</v>
      </c>
      <c r="AE79" s="705">
        <f>_xlfn.IFERROR(AE55*1000/(AE74+AE76),0)</f>
        <v>0</v>
      </c>
      <c r="AF79" s="705">
        <f>_xlfn.IFERROR(AF55*1000/(AF74+AF76),0)</f>
        <v>0</v>
      </c>
      <c r="AG79" s="705">
        <f>_xlfn.IFERROR(AG55*1000/(AG74+AG76),0)</f>
        <v>0</v>
      </c>
      <c r="AH79" s="705">
        <f>_xlfn.IFERROR(AH55*1000/(AH74+AH76),0)</f>
        <v>0</v>
      </c>
      <c r="AI79" s="705">
        <f>_xlfn.IFERROR(AI55*1000/(AI74+AI76),0)</f>
        <v>0</v>
      </c>
      <c r="AJ79" s="2041">
        <f>_xlfn.IFERROR(AJ55*1000/(AJ74+AJ76),0)</f>
        <v>0</v>
      </c>
      <c r="AK79" s="2041">
        <f>_xlfn.IFERROR(AK55*1000/(AK74+AK76),0)</f>
        <v>0</v>
      </c>
      <c r="AL79" s="2041">
        <f>_xlfn.IFERROR(AL55*1000/(AL74+AL76),0)</f>
        <v>0</v>
      </c>
      <c r="AM79" s="2041">
        <f>_xlfn.IFERROR(AM55*1000/(AM74+AM76),0)</f>
        <v>0</v>
      </c>
      <c r="AN79" s="2041">
        <f>_xlfn.IFERROR(AN55*1000/(AN74+AN76),0)</f>
        <v>0</v>
      </c>
      <c r="AO79" s="705">
        <f>_xlfn.IFERROR(AO55*1000/(AO74+AO76),0)</f>
        <v>0</v>
      </c>
      <c r="AP79" s="705">
        <f>_xlfn.IFERROR(AP55*1000/(AP74+AP76),0)</f>
        <v>0</v>
      </c>
      <c r="AQ79" s="705">
        <f>_xlfn.IFERROR(AQ55*1000/(AQ74+AQ76),0)</f>
        <v>0</v>
      </c>
      <c r="AR79" s="705">
        <f>_xlfn.IFERROR(AR55*1000/(AR74+AR76),0)</f>
        <v>0</v>
      </c>
      <c r="AS79" s="705">
        <f>_xlfn.IFERROR(AS55*1000/(AS74+AS76),0)</f>
        <v>0</v>
      </c>
      <c r="AT79" s="2041">
        <f>_xlfn.IFERROR(AT55*1000/(AT74+AT76),0)</f>
        <v>0</v>
      </c>
      <c r="AU79" s="2041">
        <f>_xlfn.IFERROR(AU55*1000/(AU74+AU76),0)</f>
        <v>0</v>
      </c>
      <c r="AV79" s="2041">
        <f>_xlfn.IFERROR(AV55*1000/(AV74+AV76),0)</f>
        <v>0</v>
      </c>
      <c r="AW79" s="2041">
        <f>_xlfn.IFERROR(AW55*1000/(AW74+AW76),0)</f>
        <v>0</v>
      </c>
      <c r="AX79" s="2041">
        <f>_xlfn.IFERROR(AX55*1000/(AX74+AX76),0)</f>
        <v>0</v>
      </c>
      <c r="AY79" s="1730"/>
      <c r="AZ79" s="1730"/>
      <c r="BA79" s="1730"/>
      <c r="BB79" s="227"/>
      <c r="BC79" s="227"/>
      <c r="BD79" s="1232" t="s">
        <v>2042</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M10552::ТЭ.42.26824396.0004::Неопределено::Неопределено::Неопределено::Неопределено::Неопределено::Неопределено::Неопределено</v>
      </c>
    </row>
    <row s="1619" customFormat="1" customHeight="1" ht="33.75">
      <c r="A80" s="1183"/>
      <c r="B80" s="924"/>
      <c r="C80" s="1298" t="s">
        <v>1787</v>
      </c>
      <c r="D80" s="1317" t="s">
        <v>1788</v>
      </c>
      <c r="E80" s="794">
        <v>35</v>
      </c>
      <c r="F80" s="736" cm="1" t="str">
        <f t="array" ref="F80:F80">OFFSET(G80,-1,-1)</f>
        <v>1</v>
      </c>
      <c r="G80" s="227"/>
      <c r="H80" s="227"/>
      <c r="I80" s="227"/>
      <c r="J80" s="227"/>
      <c r="K80" s="227"/>
      <c r="L80" s="1284"/>
      <c r="M80" s="1284" cm="1" t="str">
        <f t="array" ref="M80:M80">OFFSET(L80,-1,1)</f>
        <v>ТЭ.42.26824396.0004</v>
      </c>
      <c r="N80" s="1284"/>
      <c r="O80" s="1284"/>
      <c r="P80" s="1284"/>
      <c r="Q80" s="1286"/>
      <c r="R80" s="1286"/>
      <c r="S80" s="1284"/>
      <c r="T80" s="805">
        <f>AND(F80&gt;0,OR(ISBLANK(Y80),Y80&gt;0))</f>
        <v>1</v>
      </c>
      <c r="U80" s="1461"/>
      <c r="V80" s="1461"/>
      <c r="W80" s="1461"/>
      <c r="X80" s="1461"/>
      <c r="Y80" s="1461"/>
      <c r="Z80" s="1461"/>
      <c r="AA80" s="227"/>
      <c r="AB80" s="170" t="s">
        <v>614</v>
      </c>
      <c r="AC80" s="320" t="s">
        <v>1790</v>
      </c>
      <c r="AD80" s="571" t="s">
        <v>1400</v>
      </c>
      <c r="AE80" s="308"/>
      <c r="AF80" s="308"/>
      <c r="AG80" s="308"/>
      <c r="AH80" s="308"/>
      <c r="AI80" s="308"/>
      <c r="AJ80" s="1785"/>
      <c r="AK80" s="1785"/>
      <c r="AL80" s="1785"/>
      <c r="AM80" s="1785"/>
      <c r="AN80" s="1785"/>
      <c r="AO80" s="308"/>
      <c r="AP80" s="308"/>
      <c r="AQ80" s="308"/>
      <c r="AR80" s="308"/>
      <c r="AS80" s="308"/>
      <c r="AT80" s="1785"/>
      <c r="AU80" s="1785"/>
      <c r="AV80" s="1785"/>
      <c r="AW80" s="1785"/>
      <c r="AX80" s="1785"/>
      <c r="AY80" s="1730"/>
      <c r="AZ80" s="1730"/>
      <c r="BA80" s="1730"/>
      <c r="BB80" s="227"/>
      <c r="BC80" s="227"/>
      <c r="BD80" s="1232" t="s">
        <v>1791</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M10591::ТЭ.42.26824396.0004::Неопределено::Неопределено::Неопределено::Неопределено::Неопределено::Неопределено::Неопределено</v>
      </c>
    </row>
    <row s="2042" customFormat="1" customHeight="1" ht="16.5">
      <c r="A81" s="217"/>
      <c r="B81" s="217"/>
      <c r="C81" s="1302"/>
      <c r="D81" s="1316"/>
      <c r="E81" s="794">
        <v>17.1</v>
      </c>
      <c r="F81" s="736" cm="1" t="str">
        <f t="array" ref="F81:F81">X81</f>
        <v>2</v>
      </c>
      <c r="G81" s="736" cm="1" t="str">
        <f t="array" ref="G81:G81">INDEX('Общие сведения'!$AK$169:$AK$218,MATCH($F81,'Общие сведения'!$Z$169:$Z$218,0))</f>
        <v>одноставочный</v>
      </c>
      <c r="H81" s="217"/>
      <c r="I81" s="210" cm="1" t="str">
        <f t="array" ref="I81:I81">INDEX('Общие сведения'!$AE$169:$AE$218,MATCH($F81,'Общие сведения'!$Z$169:$Z$218,0))</f>
        <v>Теплоснабжение</v>
      </c>
      <c r="J81" s="217"/>
      <c r="K81" s="210" cm="1" t="str">
        <f t="array" ref="K81:K81">INDEX('Общие сведения'!$AL$169:$AL$218,MATCH($F81,'Общие сведения'!$Z$169:$Z$218,0))</f>
        <v>производство тепловой энергии (мощности) не в режиме комбинированной выработки электрической и тепловой энергии источниками тепловой энергии</v>
      </c>
      <c r="L81" s="1296"/>
      <c r="M81" s="1296"/>
      <c r="N81" s="1296"/>
      <c r="O81" s="1296"/>
      <c r="P81" s="1296"/>
      <c r="Q81" s="1292"/>
      <c r="R81" s="1292"/>
      <c r="S81" s="1296"/>
      <c r="T81" s="805">
        <f>AND(F81&gt;0,OR(ISBLANK(Y81),Y81&gt;0))</f>
        <v>1</v>
      </c>
      <c r="U81" s="217"/>
      <c r="V81" s="172" cm="1" t="str">
        <f t="array" ref="V81:V81">'Базовый уровень (МСА)'!$AB$75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81" s="217"/>
      <c r="X81" s="1554" t="s">
        <v>343</v>
      </c>
      <c r="Y81" s="217"/>
      <c r="Z81" s="217"/>
      <c r="AA81" s="217"/>
      <c r="AB81" s="327" cm="1" t="str">
        <f t="array" ref="AB81:AB81">IF(ISBLANK('Базовый уровень (МСА)'!$AB$75),"",'Базовый уровень (МСА)'!$AB$75)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217"/>
      <c r="BC81" s="217"/>
      <c r="BD81" s="1181"/>
      <c r="BE81" s="1181"/>
      <c r="BF81" s="1181"/>
      <c r="BG81" s="1184"/>
      <c r="BH81" s="1184"/>
      <c r="BI81" s="1280"/>
    </row>
    <row s="1619" customFormat="1" customHeight="1" ht="16.5">
      <c r="A82" s="1183"/>
      <c r="B82" s="924"/>
      <c r="C82" s="1298" t="s">
        <v>1693</v>
      </c>
      <c r="D82" s="1317" t="s">
        <v>1694</v>
      </c>
      <c r="E82" s="794">
        <v>17</v>
      </c>
      <c r="F82" s="736" cm="1" t="str">
        <f t="array" ref="F82:F82">OFFSET(G82,-1,-1)</f>
        <v>2</v>
      </c>
      <c r="G82" s="227"/>
      <c r="H82" s="227"/>
      <c r="I82" s="227"/>
      <c r="J82" s="227"/>
      <c r="K82" s="227"/>
      <c r="L82" s="1284"/>
      <c r="M82" s="1284" cm="1" t="str">
        <f t="array" ref="M82:M82">INDEX('Общие сведения'!$N$169:$N$218,MATCH($F81,'Общие сведения'!$Z$169:$Z$218,0)+1)</f>
        <v>ТЭ.42.26824396.0005</v>
      </c>
      <c r="N82" s="1284" t="s">
        <v>1997</v>
      </c>
      <c r="O82" s="1284"/>
      <c r="P82" s="1284"/>
      <c r="Q82" s="1286"/>
      <c r="R82" s="1286"/>
      <c r="S82" s="1284"/>
      <c r="T82" s="805">
        <f>AND(F82&gt;0,OR(ISBLANK(Y82),Y82&gt;0))</f>
        <v>1</v>
      </c>
      <c r="U82" s="1461"/>
      <c r="V82" s="1461"/>
      <c r="W82" s="1461"/>
      <c r="X82" s="1461"/>
      <c r="Y82" s="1461"/>
      <c r="Z82" s="1461"/>
      <c r="AA82" s="227"/>
      <c r="AB82" s="170">
        <v>1</v>
      </c>
      <c r="AC82" s="624" t="s">
        <v>1998</v>
      </c>
      <c r="AD82" s="555" t="s">
        <v>1400</v>
      </c>
      <c r="AE82" s="308">
        <f>AE83+AE89+AE99</f>
        <v>0</v>
      </c>
      <c r="AF82" s="308">
        <f>AF83+AF89+AF99</f>
        <v>0</v>
      </c>
      <c r="AG82" s="308">
        <f>AG83+AG89+AG99</f>
        <v>0</v>
      </c>
      <c r="AH82" s="308">
        <f>AH83+AH89+AH99</f>
        <v>0</v>
      </c>
      <c r="AI82" s="308">
        <f>AI83+AI89+AI99</f>
        <v>0</v>
      </c>
      <c r="AJ82" s="1785">
        <f>AJ83+AJ89+AJ99</f>
        <v>0</v>
      </c>
      <c r="AK82" s="1785">
        <f>AK83+AK89+AK99</f>
        <v>0</v>
      </c>
      <c r="AL82" s="1785">
        <f>AL83+AL89+AL99</f>
        <v>0</v>
      </c>
      <c r="AM82" s="1785">
        <f>AM83+AM89+AM99</f>
        <v>0</v>
      </c>
      <c r="AN82" s="1785">
        <f>AN83+AN89+AN99</f>
        <v>0</v>
      </c>
      <c r="AO82" s="308">
        <f>AO83+AO89+AO99</f>
        <v>0</v>
      </c>
      <c r="AP82" s="308">
        <f>AP83+AP89+AP99</f>
        <v>0</v>
      </c>
      <c r="AQ82" s="308">
        <f>AQ83+AQ89+AQ99</f>
        <v>0</v>
      </c>
      <c r="AR82" s="308">
        <f>AR83+AR89+AR99</f>
        <v>0</v>
      </c>
      <c r="AS82" s="308">
        <f>AS83+AS89+AS99</f>
        <v>0</v>
      </c>
      <c r="AT82" s="1785">
        <f>AT83+AT89+AT99</f>
        <v>0</v>
      </c>
      <c r="AU82" s="1785">
        <f>AU83+AU89+AU99</f>
        <v>0</v>
      </c>
      <c r="AV82" s="1785">
        <f>AV83+AV89+AV99</f>
        <v>0</v>
      </c>
      <c r="AW82" s="1785">
        <f>AW83+AW89+AW99</f>
        <v>0</v>
      </c>
      <c r="AX82" s="1785">
        <f>AX83+AX89+AX99</f>
        <v>0</v>
      </c>
      <c r="AY82" s="1730"/>
      <c r="AZ82" s="1730"/>
      <c r="BA82" s="1730"/>
      <c r="BB82" s="227"/>
      <c r="BC82" s="227"/>
      <c r="BD82" s="1232" t="s">
        <v>1999</v>
      </c>
      <c r="BE82" s="1232"/>
      <c r="BF82" s="1232"/>
      <c r="BG82" s="1233"/>
      <c r="BH82" s="1233"/>
      <c r="BI82" s="1268" cm="1" t="str">
        <f t="array" ref="BI82:BI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M10655::ТЭ.42.26824396.0005::Неопределено::110.0.36.::Неопределено::Неопределено::Неопределено::Неопределено::Неопределено</v>
      </c>
    </row>
    <row s="1619" customFormat="1" customHeight="1" ht="16.5">
      <c r="A83" s="1183"/>
      <c r="B83" s="924"/>
      <c r="C83" s="1298" t="s">
        <v>1693</v>
      </c>
      <c r="D83" s="1317" t="s">
        <v>1694</v>
      </c>
      <c r="E83" s="794">
        <v>17</v>
      </c>
      <c r="F83" s="736" cm="1" t="str">
        <f t="array" ref="F83:F83">OFFSET(G83,-1,-1)</f>
        <v>2</v>
      </c>
      <c r="G83" s="227"/>
      <c r="H83" s="227"/>
      <c r="I83" s="227"/>
      <c r="J83" s="227"/>
      <c r="K83" s="227"/>
      <c r="L83" s="1284"/>
      <c r="M83" s="1284" cm="1" t="str">
        <f t="array" ref="M83:M83">OFFSET(L83,-1,1)</f>
        <v>ТЭ.42.26824396.0005</v>
      </c>
      <c r="N83" s="1284" t="s">
        <v>1997</v>
      </c>
      <c r="O83" s="1284" t="s">
        <v>1770</v>
      </c>
      <c r="P83" s="1284"/>
      <c r="Q83" s="1286"/>
      <c r="R83" s="1286"/>
      <c r="S83" s="1284"/>
      <c r="T83" s="805">
        <f>AND(F83&gt;0,OR(ISBLANK(Y83),Y83&gt;0))</f>
        <v>1</v>
      </c>
      <c r="U83" s="1461"/>
      <c r="V83" s="1461"/>
      <c r="W83" s="1461"/>
      <c r="X83" s="1461"/>
      <c r="Y83" s="1461"/>
      <c r="Z83" s="1461"/>
      <c r="AA83" s="227"/>
      <c r="AB83" s="170" t="s">
        <v>442</v>
      </c>
      <c r="AC83" s="1031" t="s">
        <v>2000</v>
      </c>
      <c r="AD83" s="555" t="s">
        <v>1400</v>
      </c>
      <c r="AE83" s="308">
        <f>AE84+AE88</f>
        <v>0</v>
      </c>
      <c r="AF83" s="308">
        <f>AF84+AF88</f>
        <v>0</v>
      </c>
      <c r="AG83" s="308">
        <f>AG84+AG88</f>
        <v>0</v>
      </c>
      <c r="AH83" s="308">
        <f>AH84+AH88</f>
        <v>0</v>
      </c>
      <c r="AI83" s="308">
        <f>AI84+AI88</f>
        <v>0</v>
      </c>
      <c r="AJ83" s="1785">
        <f>AJ84+AJ88</f>
        <v>0</v>
      </c>
      <c r="AK83" s="1785">
        <f>AK84+AK88</f>
        <v>0</v>
      </c>
      <c r="AL83" s="1785">
        <f>AL84+AL88</f>
        <v>0</v>
      </c>
      <c r="AM83" s="1785">
        <f>AM84+AM88</f>
        <v>0</v>
      </c>
      <c r="AN83" s="1785">
        <f>AN84+AN88</f>
        <v>0</v>
      </c>
      <c r="AO83" s="308">
        <f>AO84+AO88</f>
        <v>0</v>
      </c>
      <c r="AP83" s="308">
        <f>AP84+AP88</f>
        <v>0</v>
      </c>
      <c r="AQ83" s="308">
        <f>AQ84+AQ88</f>
        <v>0</v>
      </c>
      <c r="AR83" s="308">
        <f>AR84+AR88</f>
        <v>0</v>
      </c>
      <c r="AS83" s="308">
        <f>AS84+AS88</f>
        <v>0</v>
      </c>
      <c r="AT83" s="1785">
        <f>AT84+AT88</f>
        <v>0</v>
      </c>
      <c r="AU83" s="1785">
        <f>AU84+AU88</f>
        <v>0</v>
      </c>
      <c r="AV83" s="1785">
        <f>AV84+AV88</f>
        <v>0</v>
      </c>
      <c r="AW83" s="1785">
        <f>AW84+AW88</f>
        <v>0</v>
      </c>
      <c r="AX83" s="1785">
        <f>AX84+AX88</f>
        <v>0</v>
      </c>
      <c r="AY83" s="1730"/>
      <c r="AZ83" s="1730"/>
      <c r="BA83" s="1730"/>
      <c r="BB83" s="227"/>
      <c r="BC83" s="227"/>
      <c r="BD83" s="1232" t="s">
        <v>2001</v>
      </c>
      <c r="BE83" s="1232"/>
      <c r="BF83" s="1232"/>
      <c r="BG83" s="1233"/>
      <c r="BH83" s="1233"/>
      <c r="BI83" s="1268" cm="1" t="str">
        <f t="array" ref="BI83:BI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M10655::ТЭ.42.26824396.0005::Неопределено::110.0.36.::90.0.0.::Неопределено::Неопределено::Неопределено::Неопределено</v>
      </c>
    </row>
    <row s="1619" customFormat="1" customHeight="1" ht="16.5">
      <c r="A84" s="1183"/>
      <c r="B84" s="924"/>
      <c r="C84" s="1298" t="s">
        <v>1693</v>
      </c>
      <c r="D84" s="1317" t="s">
        <v>1694</v>
      </c>
      <c r="E84" s="794">
        <v>17</v>
      </c>
      <c r="F84" s="736" cm="1" t="str">
        <f t="array" ref="F84:F84">OFFSET(G84,-1,-1)</f>
        <v>2</v>
      </c>
      <c r="G84" s="227"/>
      <c r="H84" s="227"/>
      <c r="I84" s="227"/>
      <c r="J84" s="227"/>
      <c r="K84" s="227"/>
      <c r="L84" s="1284"/>
      <c r="M84" s="1284" cm="1" t="str">
        <f t="array" ref="M84:M84">OFFSET(L84,-1,1)</f>
        <v>ТЭ.42.26824396.0005</v>
      </c>
      <c r="N84" s="1284" t="s">
        <v>1997</v>
      </c>
      <c r="O84" s="1284" t="s">
        <v>1770</v>
      </c>
      <c r="P84" s="1284" t="s">
        <v>2002</v>
      </c>
      <c r="Q84" s="1286"/>
      <c r="R84" s="1286"/>
      <c r="S84" s="1284"/>
      <c r="T84" s="805">
        <f>AND(F84&gt;0,OR(ISBLANK(Y84),Y84&gt;0))</f>
        <v>1</v>
      </c>
      <c r="U84" s="1461"/>
      <c r="V84" s="1461"/>
      <c r="W84" s="1461"/>
      <c r="X84" s="1461"/>
      <c r="Y84" s="1461"/>
      <c r="Z84" s="1461"/>
      <c r="AA84" s="227"/>
      <c r="AB84" s="577" t="s">
        <v>1152</v>
      </c>
      <c r="AC84" s="559" t="s">
        <v>2003</v>
      </c>
      <c r="AD84" s="1013" t="s">
        <v>1400</v>
      </c>
      <c r="AE84" s="308"/>
      <c r="AF84" s="308"/>
      <c r="AG84" s="308"/>
      <c r="AH84" s="308"/>
      <c r="AI84" s="308"/>
      <c r="AJ84" s="1785"/>
      <c r="AK84" s="1785"/>
      <c r="AL84" s="1785"/>
      <c r="AM84" s="1785"/>
      <c r="AN84" s="1785"/>
      <c r="AO84" s="308"/>
      <c r="AP84" s="308"/>
      <c r="AQ84" s="308"/>
      <c r="AR84" s="308"/>
      <c r="AS84" s="308"/>
      <c r="AT84" s="1785"/>
      <c r="AU84" s="1785"/>
      <c r="AV84" s="1785"/>
      <c r="AW84" s="1785"/>
      <c r="AX84" s="1785"/>
      <c r="AY84" s="1730"/>
      <c r="AZ84" s="1730"/>
      <c r="BA84" s="1730"/>
      <c r="BB84" s="227"/>
      <c r="BC84" s="227"/>
      <c r="BD84" s="1232" t="s">
        <v>2004</v>
      </c>
      <c r="BE84" s="1232"/>
      <c r="BF84" s="1232"/>
      <c r="BG84" s="1233"/>
      <c r="BH84" s="1233"/>
      <c r="BI84" s="1268" cm="1" t="str">
        <f t="array" ref="BI84:BI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M10655::ТЭ.42.26824396.0005::Неопределено::110.0.36.::90.0.0.::33.0.8.::Неопределено::Неопределено::Неопределено</v>
      </c>
    </row>
    <row s="1619" customFormat="1" customHeight="1" ht="16.5">
      <c r="A85" s="1183"/>
      <c r="B85" s="924"/>
      <c r="C85" s="1298" t="s">
        <v>1693</v>
      </c>
      <c r="D85" s="1317" t="s">
        <v>1694</v>
      </c>
      <c r="E85" s="794">
        <v>17</v>
      </c>
      <c r="F85" s="736" cm="1" t="str">
        <f t="array" ref="F85:F85">OFFSET(G85,-1,-1)</f>
        <v>2</v>
      </c>
      <c r="G85" s="227"/>
      <c r="H85" s="227"/>
      <c r="I85" s="227"/>
      <c r="J85" s="227"/>
      <c r="K85" s="227"/>
      <c r="L85" s="1284"/>
      <c r="M85" s="1284" cm="1" t="str">
        <f t="array" ref="M85:M85">OFFSET(L85,-1,1)</f>
        <v>ТЭ.42.26824396.0005</v>
      </c>
      <c r="N85" s="1284" t="s">
        <v>1997</v>
      </c>
      <c r="O85" s="1284" t="s">
        <v>1770</v>
      </c>
      <c r="P85" s="1284" t="s">
        <v>2002</v>
      </c>
      <c r="Q85" s="1286"/>
      <c r="R85" s="1286" t="s">
        <v>2005</v>
      </c>
      <c r="S85" s="1284"/>
      <c r="T85" s="805">
        <f>AND(F85&gt;0,OR(ISBLANK(Y85),Y85&gt;0))</f>
        <v>1</v>
      </c>
      <c r="U85" s="1461"/>
      <c r="V85" s="1461"/>
      <c r="W85" s="1461"/>
      <c r="X85" s="1461"/>
      <c r="Y85" s="1461"/>
      <c r="Z85" s="1461"/>
      <c r="AA85" s="227"/>
      <c r="AB85" s="577" t="s">
        <v>2006</v>
      </c>
      <c r="AC85" s="587" t="s">
        <v>2007</v>
      </c>
      <c r="AD85" s="1013" t="s">
        <v>1400</v>
      </c>
      <c r="AE85" s="308"/>
      <c r="AF85" s="308"/>
      <c r="AG85" s="308"/>
      <c r="AH85" s="308"/>
      <c r="AI85" s="308"/>
      <c r="AJ85" s="1785"/>
      <c r="AK85" s="1785"/>
      <c r="AL85" s="1785"/>
      <c r="AM85" s="1785"/>
      <c r="AN85" s="1785"/>
      <c r="AO85" s="308"/>
      <c r="AP85" s="308"/>
      <c r="AQ85" s="308"/>
      <c r="AR85" s="308"/>
      <c r="AS85" s="308"/>
      <c r="AT85" s="1785"/>
      <c r="AU85" s="1785"/>
      <c r="AV85" s="1785"/>
      <c r="AW85" s="1785"/>
      <c r="AX85" s="1785"/>
      <c r="AY85" s="1730"/>
      <c r="AZ85" s="1730"/>
      <c r="BA85" s="1730"/>
      <c r="BB85" s="227"/>
      <c r="BC85" s="227"/>
      <c r="BD85" s="1232" t="s">
        <v>2008</v>
      </c>
      <c r="BE85" s="1232"/>
      <c r="BF85" s="1232"/>
      <c r="BG85" s="1233"/>
      <c r="BH85" s="1233"/>
      <c r="BI85" s="1268" cm="1" t="str">
        <f t="array" ref="BI85:BI85">D85&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M10655::ТЭ.42.26824396.0005::Неопределено::110.0.36.::90.0.0.::33.0.8.::Неопределено::22.0.10.::Неопределено</v>
      </c>
    </row>
    <row s="1619" customFormat="1" customHeight="1" ht="33.75">
      <c r="A86" s="1183"/>
      <c r="B86" s="924"/>
      <c r="C86" s="1298" t="s">
        <v>1693</v>
      </c>
      <c r="D86" s="1317" t="s">
        <v>1694</v>
      </c>
      <c r="E86" s="794">
        <v>35</v>
      </c>
      <c r="F86" s="736" cm="1" t="str">
        <f t="array" ref="F86:F86">OFFSET(G86,-1,-1)</f>
        <v>2</v>
      </c>
      <c r="G86" s="227"/>
      <c r="H86" s="227"/>
      <c r="I86" s="227"/>
      <c r="J86" s="227"/>
      <c r="K86" s="227"/>
      <c r="L86" s="1284"/>
      <c r="M86" s="1284" cm="1" t="str">
        <f t="array" ref="M86:M86">OFFSET(L86,-1,1)</f>
        <v>ТЭ.42.26824396.0005</v>
      </c>
      <c r="N86" s="1284" t="s">
        <v>1997</v>
      </c>
      <c r="O86" s="1284" t="s">
        <v>1770</v>
      </c>
      <c r="P86" s="1284" t="s">
        <v>2002</v>
      </c>
      <c r="Q86" s="1286" t="s">
        <v>2009</v>
      </c>
      <c r="R86" s="1286"/>
      <c r="S86" s="1284"/>
      <c r="T86" s="805">
        <f>AND(F86&gt;0,OR(ISBLANK(Y86),Y86&gt;0))</f>
        <v>1</v>
      </c>
      <c r="U86" s="1461"/>
      <c r="V86" s="1461"/>
      <c r="W86" s="1461"/>
      <c r="X86" s="1461"/>
      <c r="Y86" s="1461"/>
      <c r="Z86" s="1461"/>
      <c r="AA86" s="227"/>
      <c r="AB86" s="577" t="s">
        <v>2010</v>
      </c>
      <c r="AC86" s="578" t="s">
        <v>2011</v>
      </c>
      <c r="AD86" s="1013" t="s">
        <v>1400</v>
      </c>
      <c r="AE86" s="308"/>
      <c r="AF86" s="308"/>
      <c r="AG86" s="308"/>
      <c r="AH86" s="308"/>
      <c r="AI86" s="308"/>
      <c r="AJ86" s="1785"/>
      <c r="AK86" s="1785"/>
      <c r="AL86" s="1785"/>
      <c r="AM86" s="1785"/>
      <c r="AN86" s="1785"/>
      <c r="AO86" s="308"/>
      <c r="AP86" s="308"/>
      <c r="AQ86" s="308"/>
      <c r="AR86" s="308"/>
      <c r="AS86" s="308"/>
      <c r="AT86" s="1785"/>
      <c r="AU86" s="1785"/>
      <c r="AV86" s="1785"/>
      <c r="AW86" s="1785"/>
      <c r="AX86" s="1785"/>
      <c r="AY86" s="1730"/>
      <c r="AZ86" s="1730"/>
      <c r="BA86" s="1730"/>
      <c r="BB86" s="227"/>
      <c r="BC86" s="227"/>
      <c r="BD86" s="1232" t="s">
        <v>2012</v>
      </c>
      <c r="BE86" s="1232"/>
      <c r="BF86" s="1232"/>
      <c r="BG86" s="1233"/>
      <c r="BH86" s="1233"/>
      <c r="BI86" s="1268" cm="1" t="str">
        <f t="array" ref="BI86:BI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M10655::ТЭ.42.26824396.0005::Неопределено::110.0.36.::90.0.0.::33.0.8.::147.0.5.::Неопределено::Неопределено</v>
      </c>
    </row>
    <row s="1619" customFormat="1" customHeight="1" ht="16.5">
      <c r="A87" s="1183"/>
      <c r="B87" s="924"/>
      <c r="C87" s="1298" t="s">
        <v>1693</v>
      </c>
      <c r="D87" s="1317" t="s">
        <v>1694</v>
      </c>
      <c r="E87" s="794">
        <v>17</v>
      </c>
      <c r="F87" s="736" cm="1" t="str">
        <f t="array" ref="F87:F87">OFFSET(G87,-1,-1)</f>
        <v>2</v>
      </c>
      <c r="G87" s="227"/>
      <c r="H87" s="227"/>
      <c r="I87" s="227"/>
      <c r="J87" s="227"/>
      <c r="K87" s="227"/>
      <c r="L87" s="1284"/>
      <c r="M87" s="1284" cm="1" t="str">
        <f t="array" ref="M87:M87">OFFSET(L87,-1,1)</f>
        <v>ТЭ.42.26824396.0005</v>
      </c>
      <c r="N87" s="1284" t="s">
        <v>1997</v>
      </c>
      <c r="O87" s="1284" t="s">
        <v>1770</v>
      </c>
      <c r="P87" s="1284" t="s">
        <v>2002</v>
      </c>
      <c r="Q87" s="1286" t="s">
        <v>2013</v>
      </c>
      <c r="R87" s="1286"/>
      <c r="S87" s="1284"/>
      <c r="T87" s="805">
        <f>AND(F87&gt;0,OR(ISBLANK(Y87),Y87&gt;0))</f>
        <v>1</v>
      </c>
      <c r="U87" s="1461"/>
      <c r="V87" s="1461"/>
      <c r="W87" s="1461"/>
      <c r="X87" s="1461"/>
      <c r="Y87" s="1461"/>
      <c r="Z87" s="1461"/>
      <c r="AA87" s="227"/>
      <c r="AB87" s="577" t="s">
        <v>2014</v>
      </c>
      <c r="AC87" s="578" t="s">
        <v>2015</v>
      </c>
      <c r="AD87" s="1013" t="s">
        <v>1400</v>
      </c>
      <c r="AE87" s="308"/>
      <c r="AF87" s="308"/>
      <c r="AG87" s="308"/>
      <c r="AH87" s="308"/>
      <c r="AI87" s="308"/>
      <c r="AJ87" s="1785"/>
      <c r="AK87" s="1785"/>
      <c r="AL87" s="1785"/>
      <c r="AM87" s="1785"/>
      <c r="AN87" s="1785"/>
      <c r="AO87" s="308"/>
      <c r="AP87" s="308"/>
      <c r="AQ87" s="308"/>
      <c r="AR87" s="308"/>
      <c r="AS87" s="308"/>
      <c r="AT87" s="1785"/>
      <c r="AU87" s="1785"/>
      <c r="AV87" s="1785"/>
      <c r="AW87" s="1785"/>
      <c r="AX87" s="1785"/>
      <c r="AY87" s="1730"/>
      <c r="AZ87" s="1730"/>
      <c r="BA87" s="1730"/>
      <c r="BB87" s="227"/>
      <c r="BC87" s="227"/>
      <c r="BD87" s="1232" t="s">
        <v>2016</v>
      </c>
      <c r="BE87" s="1232"/>
      <c r="BF87" s="1232"/>
      <c r="BG87" s="1233"/>
      <c r="BH87" s="1233"/>
      <c r="BI87" s="1268" cm="1" t="str">
        <f t="array" ref="BI87:BI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M10655::ТЭ.42.26824396.0005::Неопределено::110.0.36.::90.0.0.::33.0.8.::147.0.1.::Неопределено::Неопределено</v>
      </c>
    </row>
    <row s="1619" customFormat="1" customHeight="1" ht="16.5">
      <c r="A88" s="1183"/>
      <c r="B88" s="924"/>
      <c r="C88" s="1298" t="s">
        <v>1693</v>
      </c>
      <c r="D88" s="1317" t="s">
        <v>1694</v>
      </c>
      <c r="E88" s="794">
        <v>17</v>
      </c>
      <c r="F88" s="736" cm="1" t="str">
        <f t="array" ref="F88:F88">OFFSET(G88,-1,-1)</f>
        <v>2</v>
      </c>
      <c r="G88" s="227"/>
      <c r="H88" s="227"/>
      <c r="I88" s="227"/>
      <c r="J88" s="227"/>
      <c r="K88" s="227"/>
      <c r="L88" s="1284"/>
      <c r="M88" s="1284" cm="1" t="str">
        <f t="array" ref="M88:M88">OFFSET(L88,-1,1)</f>
        <v>ТЭ.42.26824396.0005</v>
      </c>
      <c r="N88" s="1284" t="s">
        <v>1997</v>
      </c>
      <c r="O88" s="1284" t="s">
        <v>1770</v>
      </c>
      <c r="P88" s="1284" t="s">
        <v>2017</v>
      </c>
      <c r="Q88" s="1286"/>
      <c r="R88" s="1286"/>
      <c r="S88" s="1284"/>
      <c r="T88" s="805">
        <f>AND(F88&gt;0,OR(ISBLANK(Y88),Y88&gt;0))</f>
        <v>1</v>
      </c>
      <c r="U88" s="1461"/>
      <c r="V88" s="1461"/>
      <c r="W88" s="1461"/>
      <c r="X88" s="1461"/>
      <c r="Y88" s="1461"/>
      <c r="Z88" s="1461"/>
      <c r="AA88" s="227"/>
      <c r="AB88" s="1117" t="s">
        <v>1156</v>
      </c>
      <c r="AC88" s="559" t="s">
        <v>2018</v>
      </c>
      <c r="AD88" s="1013" t="s">
        <v>1400</v>
      </c>
      <c r="AE88" s="308"/>
      <c r="AF88" s="308"/>
      <c r="AG88" s="308"/>
      <c r="AH88" s="308"/>
      <c r="AI88" s="308"/>
      <c r="AJ88" s="1785"/>
      <c r="AK88" s="1785"/>
      <c r="AL88" s="1785"/>
      <c r="AM88" s="1785"/>
      <c r="AN88" s="1785"/>
      <c r="AO88" s="308"/>
      <c r="AP88" s="308"/>
      <c r="AQ88" s="308"/>
      <c r="AR88" s="308"/>
      <c r="AS88" s="308"/>
      <c r="AT88" s="1785"/>
      <c r="AU88" s="1785"/>
      <c r="AV88" s="1785"/>
      <c r="AW88" s="1785"/>
      <c r="AX88" s="1785"/>
      <c r="AY88" s="1730"/>
      <c r="AZ88" s="1730"/>
      <c r="BA88" s="1730"/>
      <c r="BB88" s="227"/>
      <c r="BC88" s="227"/>
      <c r="BD88" s="1232" t="s">
        <v>2019</v>
      </c>
      <c r="BE88" s="1232"/>
      <c r="BF88" s="1232"/>
      <c r="BG88" s="1233"/>
      <c r="BH88" s="1233"/>
      <c r="BI88" s="1268" cm="1" t="str">
        <f t="array" ref="BI88:BI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M10655::ТЭ.42.26824396.0005::Неопределено::110.0.36.::90.0.0.::33.0.2.::Неопределено::Неопределено::Неопределено</v>
      </c>
    </row>
    <row s="1619" customFormat="1" customHeight="1" ht="33.75">
      <c r="A89" s="1183"/>
      <c r="B89" s="924"/>
      <c r="C89" s="1298" t="s">
        <v>1693</v>
      </c>
      <c r="D89" s="1317" t="s">
        <v>1694</v>
      </c>
      <c r="E89" s="794">
        <v>35</v>
      </c>
      <c r="F89" s="736" cm="1" t="str">
        <f t="array" ref="F89:F89">OFFSET(G89,-1,-1)</f>
        <v>2</v>
      </c>
      <c r="G89" s="227"/>
      <c r="H89" s="227"/>
      <c r="I89" s="227"/>
      <c r="J89" s="227"/>
      <c r="K89" s="227"/>
      <c r="L89" s="1284"/>
      <c r="M89" s="1284" cm="1" t="str">
        <f t="array" ref="M89:M89">OFFSET(L89,-1,1)</f>
        <v>ТЭ.42.26824396.0005</v>
      </c>
      <c r="N89" s="1284" t="s">
        <v>1997</v>
      </c>
      <c r="O89" s="1284" t="s">
        <v>1770</v>
      </c>
      <c r="P89" s="1284" t="s">
        <v>2020</v>
      </c>
      <c r="Q89" s="1286"/>
      <c r="R89" s="1286"/>
      <c r="S89" s="1284"/>
      <c r="T89" s="805">
        <f>AND(F89&gt;0,OR(ISBLANK(Y89),Y89&gt;0))</f>
        <v>1</v>
      </c>
      <c r="U89" s="1461"/>
      <c r="V89" s="1461"/>
      <c r="W89" s="1461"/>
      <c r="X89" s="1461"/>
      <c r="Y89" s="1461"/>
      <c r="Z89" s="1461"/>
      <c r="AA89" s="227"/>
      <c r="AB89" s="577" t="s">
        <v>931</v>
      </c>
      <c r="AC89" s="161" t="s">
        <v>2021</v>
      </c>
      <c r="AD89" s="1013" t="s">
        <v>1400</v>
      </c>
      <c r="AE89" s="308">
        <f>AE90+AE93+AE96</f>
        <v>0</v>
      </c>
      <c r="AF89" s="308">
        <f>AF90+AF93+AF96</f>
        <v>0</v>
      </c>
      <c r="AG89" s="308">
        <f>AG90+AG93+AG96</f>
        <v>0</v>
      </c>
      <c r="AH89" s="308">
        <f>AH90+AH93+AH96</f>
        <v>0</v>
      </c>
      <c r="AI89" s="308">
        <f>AI90+AI93+AI96</f>
        <v>0</v>
      </c>
      <c r="AJ89" s="1785">
        <f>AJ90+AJ93+AJ96</f>
        <v>0</v>
      </c>
      <c r="AK89" s="1785">
        <f>AK90+AK93+AK96</f>
        <v>0</v>
      </c>
      <c r="AL89" s="1785">
        <f>AL90+AL93+AL96</f>
        <v>0</v>
      </c>
      <c r="AM89" s="1785">
        <f>AM90+AM93+AM96</f>
        <v>0</v>
      </c>
      <c r="AN89" s="1785">
        <f>AN90+AN93+AN96</f>
        <v>0</v>
      </c>
      <c r="AO89" s="308">
        <f>AO90+AO93+AO96</f>
        <v>0</v>
      </c>
      <c r="AP89" s="308">
        <f>AP90+AP93+AP96</f>
        <v>0</v>
      </c>
      <c r="AQ89" s="308">
        <f>AQ90+AQ93+AQ96</f>
        <v>0</v>
      </c>
      <c r="AR89" s="308">
        <f>AR90+AR93+AR96</f>
        <v>0</v>
      </c>
      <c r="AS89" s="308">
        <f>AS90+AS93+AS96</f>
        <v>0</v>
      </c>
      <c r="AT89" s="1785">
        <f>AT90+AT93+AT96</f>
        <v>0</v>
      </c>
      <c r="AU89" s="1785">
        <f>AU90+AU93+AU96</f>
        <v>0</v>
      </c>
      <c r="AV89" s="1785">
        <f>AV90+AV93+AV96</f>
        <v>0</v>
      </c>
      <c r="AW89" s="1785">
        <f>AW90+AW93+AW96</f>
        <v>0</v>
      </c>
      <c r="AX89" s="1785">
        <f>AX90+AX93+AX96</f>
        <v>0</v>
      </c>
      <c r="AY89" s="1730"/>
      <c r="AZ89" s="1730"/>
      <c r="BA89" s="1730"/>
      <c r="BB89" s="227"/>
      <c r="BC89" s="227"/>
      <c r="BD89" s="1232" t="s">
        <v>2022</v>
      </c>
      <c r="BE89" s="1232"/>
      <c r="BF89" s="1232"/>
      <c r="BG89" s="1233"/>
      <c r="BH89" s="1233"/>
      <c r="BI89" s="1268" cm="1" t="str">
        <f t="array" ref="BI89:BI89">D89&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M10655::ТЭ.42.26824396.0005::Неопределено::110.0.36.::90.0.0.::33.0.4.::Неопределено::Неопределено::Неопределено</v>
      </c>
    </row>
    <row s="1619" customFormat="1" customHeight="1" ht="16.5">
      <c r="A90" s="1183"/>
      <c r="B90" s="924"/>
      <c r="C90" s="1298" t="s">
        <v>1693</v>
      </c>
      <c r="D90" s="1317" t="s">
        <v>1694</v>
      </c>
      <c r="E90" s="794">
        <v>17</v>
      </c>
      <c r="F90" s="736" cm="1" t="str">
        <f t="array" ref="F90:F90">OFFSET(G90,-1,-1)</f>
        <v>2</v>
      </c>
      <c r="G90" s="227"/>
      <c r="H90" s="227"/>
      <c r="I90" s="227"/>
      <c r="J90" s="227"/>
      <c r="K90" s="227"/>
      <c r="L90" s="1338"/>
      <c r="M90" s="1284" cm="1" t="str">
        <f t="array" ref="M90:M90">OFFSET(L90,-1,1)</f>
        <v>ТЭ.42.26824396.0005</v>
      </c>
      <c r="N90" s="1284" t="s">
        <v>1997</v>
      </c>
      <c r="O90" s="1338" t="s">
        <v>1770</v>
      </c>
      <c r="P90" s="1338"/>
      <c r="Q90" s="1340"/>
      <c r="R90" s="1340" t="s">
        <v>2005</v>
      </c>
      <c r="S90" s="1338"/>
      <c r="T90" s="805">
        <f>AND(F90&gt;0,OR(ISBLANK(Y90),Y90&gt;0))</f>
        <v>1</v>
      </c>
      <c r="U90" s="1461"/>
      <c r="V90" s="1461"/>
      <c r="W90" s="1461"/>
      <c r="X90" s="1461"/>
      <c r="Y90" s="1461"/>
      <c r="Z90" s="1461"/>
      <c r="AA90" s="227"/>
      <c r="AB90" s="577" t="s">
        <v>2023</v>
      </c>
      <c r="AC90" s="559" t="s">
        <v>2007</v>
      </c>
      <c r="AD90" s="1013" t="s">
        <v>1400</v>
      </c>
      <c r="AE90" s="308">
        <f>SUM(AE91:AE92)</f>
        <v>0</v>
      </c>
      <c r="AF90" s="308">
        <f>SUM(AF91:AF92)</f>
        <v>0</v>
      </c>
      <c r="AG90" s="308">
        <f>SUM(AG91:AG92)</f>
        <v>0</v>
      </c>
      <c r="AH90" s="308">
        <f>SUM(AH91:AH92)</f>
        <v>0</v>
      </c>
      <c r="AI90" s="308">
        <f>SUM(AI91:AI92)</f>
        <v>0</v>
      </c>
      <c r="AJ90" s="1785">
        <f>SUM(AJ91:AJ92)</f>
        <v>0</v>
      </c>
      <c r="AK90" s="1785">
        <f>SUM(AK91:AK92)</f>
        <v>0</v>
      </c>
      <c r="AL90" s="1785">
        <f>SUM(AL91:AL92)</f>
        <v>0</v>
      </c>
      <c r="AM90" s="1785">
        <f>SUM(AM91:AM92)</f>
        <v>0</v>
      </c>
      <c r="AN90" s="1785">
        <f>SUM(AN91:AN92)</f>
        <v>0</v>
      </c>
      <c r="AO90" s="308">
        <f>SUM(AO91:AO92)</f>
        <v>0</v>
      </c>
      <c r="AP90" s="308">
        <f>SUM(AP91:AP92)</f>
        <v>0</v>
      </c>
      <c r="AQ90" s="308">
        <f>SUM(AQ91:AQ92)</f>
        <v>0</v>
      </c>
      <c r="AR90" s="308">
        <f>SUM(AR91:AR92)</f>
        <v>0</v>
      </c>
      <c r="AS90" s="308">
        <f>SUM(AS91:AS92)</f>
        <v>0</v>
      </c>
      <c r="AT90" s="1785">
        <f>SUM(AT91:AT92)</f>
        <v>0</v>
      </c>
      <c r="AU90" s="1785">
        <f>SUM(AU91:AU92)</f>
        <v>0</v>
      </c>
      <c r="AV90" s="1785">
        <f>SUM(AV91:AV92)</f>
        <v>0</v>
      </c>
      <c r="AW90" s="1785">
        <f>SUM(AW91:AW92)</f>
        <v>0</v>
      </c>
      <c r="AX90" s="1785">
        <f>SUM(AX91:AX92)</f>
        <v>0</v>
      </c>
      <c r="AY90" s="1730"/>
      <c r="AZ90" s="1730"/>
      <c r="BA90" s="1730"/>
      <c r="BB90" s="227"/>
      <c r="BC90" s="227"/>
      <c r="BD90" s="1232" t="s">
        <v>2024</v>
      </c>
      <c r="BE90" s="1232"/>
      <c r="BF90" s="1232"/>
      <c r="BG90" s="1233"/>
      <c r="BH90" s="1233"/>
      <c r="BI90" s="1268" cm="1" t="str">
        <f t="array" ref="BI90:BI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M10655::ТЭ.42.26824396.0005::Неопределено::110.0.36.::90.0.0.::Неопределено::Неопределено::22.0.10.::Неопределено</v>
      </c>
    </row>
    <row s="1619" customFormat="1" customHeight="1" ht="16.5" hidden="1">
      <c r="A91" s="1183"/>
      <c r="B91" s="924"/>
      <c r="C91" s="1298" t="s">
        <v>1693</v>
      </c>
      <c r="D91" s="1317" t="s">
        <v>1694</v>
      </c>
      <c r="E91" s="794">
        <v>17</v>
      </c>
      <c r="F91" s="736" cm="1" t="str">
        <f t="array" ref="F91:F91">OFFSET(G91,-1,-1)</f>
        <v>2</v>
      </c>
      <c r="G91" s="227"/>
      <c r="H91" s="227"/>
      <c r="I91" s="227"/>
      <c r="J91" s="227"/>
      <c r="K91" s="227"/>
      <c r="L91" s="1284" cm="1" t="str">
        <f t="array" ref="L91:L91">AC91</f>
        <v>0</v>
      </c>
      <c r="M91" s="1284" cm="1" t="str">
        <f t="array" ref="M91:M91">OFFSET(L91,-1,1)</f>
        <v>ТЭ.42.26824396.0005</v>
      </c>
      <c r="N91" s="1284"/>
      <c r="O91" s="1284"/>
      <c r="P91" s="1284"/>
      <c r="Q91" s="1286"/>
      <c r="R91" s="1286" t="s">
        <v>2005</v>
      </c>
      <c r="S91" s="1284"/>
      <c r="T91" s="805">
        <f>AND(F91&gt;0,OR(ISBLANK(Y91),Y91&gt;0))</f>
        <v>0</v>
      </c>
      <c r="U91" s="1461"/>
      <c r="V91" s="1461"/>
      <c r="W91" s="172" t="s">
        <v>233</v>
      </c>
      <c r="X91" s="1461"/>
      <c r="Y91" s="172">
        <v>0</v>
      </c>
      <c r="Z91" s="1461"/>
      <c r="AA91" s="914" t="s">
        <v>217</v>
      </c>
      <c r="AB91" s="577" t="str">
        <f>"1.2.1."&amp;Y91</f>
        <v>1.2.1.0</v>
      </c>
      <c r="AC91" s="143"/>
      <c r="AD91" s="1013" t="s">
        <v>1400</v>
      </c>
      <c r="AE91" s="308"/>
      <c r="AF91" s="308"/>
      <c r="AG91" s="308"/>
      <c r="AH91" s="308"/>
      <c r="AI91" s="308"/>
      <c r="AJ91" s="98"/>
      <c r="AK91" s="98"/>
      <c r="AL91" s="98"/>
      <c r="AM91" s="98"/>
      <c r="AN91" s="98"/>
      <c r="AO91" s="308"/>
      <c r="AP91" s="308"/>
      <c r="AQ91" s="308"/>
      <c r="AR91" s="308"/>
      <c r="AS91" s="308"/>
      <c r="AT91" s="98"/>
      <c r="AU91" s="98"/>
      <c r="AV91" s="98"/>
      <c r="AW91" s="98"/>
      <c r="AX91" s="98"/>
      <c r="AY91" s="73"/>
      <c r="AZ91" s="73"/>
      <c r="BA91" s="73"/>
      <c r="BB91" s="227"/>
      <c r="BC91" s="227"/>
      <c r="BD91" s="1232" t="s">
        <v>2024</v>
      </c>
      <c r="BE91" s="1232" t="s">
        <v>2025</v>
      </c>
      <c r="BF91" s="1232" cm="1" t="str">
        <f t="array" ref="BF91:BF91">AC91</f>
        <v>0</v>
      </c>
      <c r="BG91" s="1233"/>
      <c r="BH91" s="1233" t="b">
        <v>1</v>
      </c>
      <c r="BI91" s="1268" cm="1" t="str">
        <f t="array" ref="BI91:BI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M10655::ТЭ.42.26824396.0005::0::Неопределено::Неопределено::Неопределено::Неопределено::22.0.10.::Неопределено</v>
      </c>
    </row>
    <row s="1619" customFormat="1" customHeight="1" ht="16.5">
      <c r="A92" s="1183"/>
      <c r="B92" s="924"/>
      <c r="C92" s="1303"/>
      <c r="D92" s="1287"/>
      <c r="E92" s="794">
        <v>17</v>
      </c>
      <c r="F92" s="736" cm="1" t="str">
        <f t="array" ref="F92:F92">OFFSET(G92,-1,-1)</f>
        <v>2</v>
      </c>
      <c r="G92" s="227"/>
      <c r="H92" s="227"/>
      <c r="I92" s="227"/>
      <c r="J92" s="227"/>
      <c r="K92" s="227"/>
      <c r="L92" s="1330"/>
      <c r="M92" s="1284" cm="1" t="str">
        <f t="array" ref="M92:M92">OFFSET(L92,-1,1)</f>
        <v>ТЭ.42.26824396.0005</v>
      </c>
      <c r="N92" s="1330"/>
      <c r="O92" s="1330"/>
      <c r="P92" s="1330"/>
      <c r="Q92" s="1328"/>
      <c r="R92" s="1328"/>
      <c r="S92" s="1330"/>
      <c r="T92" s="805">
        <f>AND(F92&gt;0,OR(ISBLANK(Y92),Y92&gt;0))</f>
        <v>1</v>
      </c>
      <c r="U92" s="1461"/>
      <c r="V92" s="1461"/>
      <c r="W92" s="1016" t="s">
        <v>947</v>
      </c>
      <c r="X92" s="1461"/>
      <c r="Y92" s="1461"/>
      <c r="Z92" s="1461"/>
      <c r="AA92" s="227"/>
      <c r="AB92" s="299"/>
      <c r="AC92" s="732" t="s">
        <v>235</v>
      </c>
      <c r="AD92" s="300"/>
      <c r="AE92" s="300"/>
      <c r="AF92" s="300"/>
      <c r="AG92" s="300"/>
      <c r="AH92" s="300"/>
      <c r="AI92" s="300"/>
      <c r="AJ92" s="300"/>
      <c r="AK92" s="300"/>
      <c r="AL92" s="300"/>
      <c r="AM92" s="300"/>
      <c r="AN92" s="300"/>
      <c r="AO92" s="300"/>
      <c r="AP92" s="300"/>
      <c r="AQ92" s="300"/>
      <c r="AR92" s="300"/>
      <c r="AS92" s="300"/>
      <c r="AT92" s="300"/>
      <c r="AU92" s="300"/>
      <c r="AV92" s="300"/>
      <c r="AW92" s="300"/>
      <c r="AX92" s="300"/>
      <c r="AY92" s="300"/>
      <c r="AZ92" s="300"/>
      <c r="BA92" s="300"/>
      <c r="BB92" s="227"/>
      <c r="BC92" s="227"/>
      <c r="BD92" s="1232" t="str">
        <f>IF(AND(ISNUMBER(VALUE(TRIM(SUBSTITUTE(AB92,".","")))),TRIM(SUBSTITUTE(AB92,".",""))&lt;&gt;""),"P"&amp;SUBSTITUTE(AB92,".",""),"")</f>
        <v/>
      </c>
      <c r="BE92" s="1232"/>
      <c r="BF92" s="1232"/>
      <c r="BG92" s="1233" t="s">
        <v>2025</v>
      </c>
      <c r="BH92" s="1233"/>
      <c r="BI92" s="1330"/>
    </row>
    <row s="1619" customFormat="1" customHeight="1" ht="33.75">
      <c r="A93" s="1183"/>
      <c r="B93" s="924"/>
      <c r="C93" s="1298" t="s">
        <v>1693</v>
      </c>
      <c r="D93" s="1317" t="s">
        <v>1694</v>
      </c>
      <c r="E93" s="794">
        <v>35</v>
      </c>
      <c r="F93" s="736" cm="1" t="str">
        <f t="array" ref="F93:F93">OFFSET(G93,-1,-1)</f>
        <v>2</v>
      </c>
      <c r="G93" s="227"/>
      <c r="H93" s="227"/>
      <c r="I93" s="227"/>
      <c r="J93" s="227"/>
      <c r="K93" s="227"/>
      <c r="L93" s="1284"/>
      <c r="M93" s="1284" cm="1" t="str">
        <f t="array" ref="M93:M93">OFFSET(L93,-1,1)</f>
        <v>ТЭ.42.26824396.0005</v>
      </c>
      <c r="N93" s="1284"/>
      <c r="O93" s="1284"/>
      <c r="P93" s="1284"/>
      <c r="Q93" s="1286" t="s">
        <v>2009</v>
      </c>
      <c r="R93" s="1286"/>
      <c r="S93" s="1284"/>
      <c r="T93" s="805">
        <f>AND(F93&gt;0,OR(ISBLANK(Y93),Y93&gt;0))</f>
        <v>1</v>
      </c>
      <c r="U93" s="1461"/>
      <c r="V93" s="1461"/>
      <c r="W93" s="1461"/>
      <c r="X93" s="1461"/>
      <c r="Y93" s="1461"/>
      <c r="Z93" s="1461"/>
      <c r="AA93" s="227"/>
      <c r="AB93" s="577" t="s">
        <v>2026</v>
      </c>
      <c r="AC93" s="559" t="s">
        <v>2011</v>
      </c>
      <c r="AD93" s="1013" t="s">
        <v>1400</v>
      </c>
      <c r="AE93" s="308">
        <f>SUM(AE94:AE95)</f>
        <v>0</v>
      </c>
      <c r="AF93" s="308">
        <f>SUM(AF94:AF95)</f>
        <v>0</v>
      </c>
      <c r="AG93" s="308">
        <f>SUM(AG94:AG95)</f>
        <v>0</v>
      </c>
      <c r="AH93" s="308">
        <f>SUM(AH94:AH95)</f>
        <v>0</v>
      </c>
      <c r="AI93" s="308">
        <f>SUM(AI94:AI95)</f>
        <v>0</v>
      </c>
      <c r="AJ93" s="1785">
        <f>SUM(AJ94:AJ95)</f>
        <v>0</v>
      </c>
      <c r="AK93" s="1785">
        <f>SUM(AK94:AK95)</f>
        <v>0</v>
      </c>
      <c r="AL93" s="1785">
        <f>SUM(AL94:AL95)</f>
        <v>0</v>
      </c>
      <c r="AM93" s="1785">
        <f>SUM(AM94:AM95)</f>
        <v>0</v>
      </c>
      <c r="AN93" s="1785">
        <f>SUM(AN94:AN95)</f>
        <v>0</v>
      </c>
      <c r="AO93" s="308">
        <f>SUM(AO94:AO95)</f>
        <v>0</v>
      </c>
      <c r="AP93" s="308">
        <f>SUM(AP94:AP95)</f>
        <v>0</v>
      </c>
      <c r="AQ93" s="308">
        <f>SUM(AQ94:AQ95)</f>
        <v>0</v>
      </c>
      <c r="AR93" s="308">
        <f>SUM(AR94:AR95)</f>
        <v>0</v>
      </c>
      <c r="AS93" s="308">
        <f>SUM(AS94:AS95)</f>
        <v>0</v>
      </c>
      <c r="AT93" s="1785">
        <f>SUM(AT94:AT95)</f>
        <v>0</v>
      </c>
      <c r="AU93" s="1785">
        <f>SUM(AU94:AU95)</f>
        <v>0</v>
      </c>
      <c r="AV93" s="1785">
        <f>SUM(AV94:AV95)</f>
        <v>0</v>
      </c>
      <c r="AW93" s="1785">
        <f>SUM(AW94:AW95)</f>
        <v>0</v>
      </c>
      <c r="AX93" s="1785">
        <f>SUM(AX94:AX95)</f>
        <v>0</v>
      </c>
      <c r="AY93" s="1730"/>
      <c r="AZ93" s="1730"/>
      <c r="BA93" s="1730"/>
      <c r="BB93" s="227"/>
      <c r="BC93" s="227"/>
      <c r="BD93" s="1232" t="s">
        <v>2027</v>
      </c>
      <c r="BE93" s="1232"/>
      <c r="BF93" s="1232"/>
      <c r="BG93" s="1233"/>
      <c r="BH93" s="1233"/>
      <c r="BI93" s="1268" cm="1" t="str">
        <f t="array" ref="BI93:BI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M10655::ТЭ.42.26824396.0005::Неопределено::Неопределено::Неопределено::Неопределено::147.0.5.::Неопределено::Неопределено</v>
      </c>
    </row>
    <row s="1619" customFormat="1" customHeight="1" ht="16.5" hidden="1">
      <c r="A94" s="1183"/>
      <c r="B94" s="924"/>
      <c r="C94" s="1298" t="s">
        <v>1693</v>
      </c>
      <c r="D94" s="1317" t="s">
        <v>1694</v>
      </c>
      <c r="E94" s="794">
        <v>17</v>
      </c>
      <c r="F94" s="736" cm="1" t="str">
        <f t="array" ref="F94:F94">OFFSET(G94,-1,-1)</f>
        <v>2</v>
      </c>
      <c r="G94" s="227"/>
      <c r="H94" s="227"/>
      <c r="I94" s="227"/>
      <c r="J94" s="227"/>
      <c r="K94" s="227"/>
      <c r="L94" s="1284" cm="1" t="str">
        <f t="array" ref="L94:L94">AC94</f>
        <v>0</v>
      </c>
      <c r="M94" s="1284" cm="1" t="str">
        <f t="array" ref="M94:M94">OFFSET(L94,-1,1)</f>
        <v>ТЭ.42.26824396.0005</v>
      </c>
      <c r="N94" s="1284"/>
      <c r="O94" s="1284"/>
      <c r="P94" s="1284"/>
      <c r="Q94" s="1286" t="s">
        <v>2009</v>
      </c>
      <c r="R94" s="1286"/>
      <c r="S94" s="1284"/>
      <c r="T94" s="805">
        <f>AND(F94&gt;0,OR(ISBLANK(Y94),Y94&gt;0))</f>
        <v>0</v>
      </c>
      <c r="U94" s="1461"/>
      <c r="V94" s="1461"/>
      <c r="W94" s="172" t="s">
        <v>233</v>
      </c>
      <c r="X94" s="1461"/>
      <c r="Y94" s="172">
        <v>0</v>
      </c>
      <c r="Z94" s="1461"/>
      <c r="AA94" s="914" t="s">
        <v>217</v>
      </c>
      <c r="AB94" s="577" t="str">
        <f>"1.2.2."&amp;Y94</f>
        <v>1.2.2.0</v>
      </c>
      <c r="AC94" s="143"/>
      <c r="AD94" s="1013" t="s">
        <v>1400</v>
      </c>
      <c r="AE94" s="308"/>
      <c r="AF94" s="308"/>
      <c r="AG94" s="308"/>
      <c r="AH94" s="308"/>
      <c r="AI94" s="308"/>
      <c r="AJ94" s="98"/>
      <c r="AK94" s="98"/>
      <c r="AL94" s="98"/>
      <c r="AM94" s="98"/>
      <c r="AN94" s="98"/>
      <c r="AO94" s="308"/>
      <c r="AP94" s="308"/>
      <c r="AQ94" s="308"/>
      <c r="AR94" s="308"/>
      <c r="AS94" s="308"/>
      <c r="AT94" s="98"/>
      <c r="AU94" s="98"/>
      <c r="AV94" s="98"/>
      <c r="AW94" s="98"/>
      <c r="AX94" s="98"/>
      <c r="AY94" s="73"/>
      <c r="AZ94" s="73"/>
      <c r="BA94" s="73"/>
      <c r="BB94" s="227"/>
      <c r="BC94" s="227"/>
      <c r="BD94" s="1232" t="s">
        <v>2027</v>
      </c>
      <c r="BE94" s="1232" t="s">
        <v>2028</v>
      </c>
      <c r="BF94" s="1232" cm="1" t="str">
        <f t="array" ref="BF94:BF94">AC94</f>
        <v>0</v>
      </c>
      <c r="BG94" s="1233"/>
      <c r="BH94" s="1233" t="b">
        <v>1</v>
      </c>
      <c r="BI94" s="1268" cm="1" t="str">
        <f t="array" ref="BI94:BI94">D94&amp;"::"&amp;IF(M94&lt;&gt;"",M94,"Неопределено")&amp;"::"&amp;IF(L94&lt;&gt;"",L94,"Неопределено")&amp;"::"&amp;IF(N94&lt;&gt;"",N94,"Неопределено")&amp;"::"&amp;IF(O94&lt;&gt;"",O94,"Неопределено")&amp;"::"&amp;IF(P94&lt;&gt;"",P94,"Неопределено")&amp;"::"&amp;IF(Q94&lt;&gt;"",Q94,"Неопределено")&amp;"::"&amp;IF(R94&lt;&gt;"",R94,"Неопределено")&amp;"::"&amp;IF(S94&lt;&gt;"",S94,"Неопределено")</f>
        <v>M10655::ТЭ.42.26824396.0005::0::Неопределено::Неопределено::Неопределено::147.0.5.::Неопределено::Неопределено</v>
      </c>
    </row>
    <row s="1619" customFormat="1" customHeight="1" ht="16.5">
      <c r="A95" s="1183"/>
      <c r="B95" s="924"/>
      <c r="C95" s="1303"/>
      <c r="D95" s="1287"/>
      <c r="E95" s="794">
        <v>17</v>
      </c>
      <c r="F95" s="736" cm="1" t="str">
        <f t="array" ref="F95:F95">OFFSET(G95,-1,-1)</f>
        <v>2</v>
      </c>
      <c r="G95" s="227"/>
      <c r="H95" s="227"/>
      <c r="I95" s="227"/>
      <c r="J95" s="227"/>
      <c r="K95" s="227"/>
      <c r="L95" s="1330"/>
      <c r="M95" s="1284" cm="1" t="str">
        <f t="array" ref="M95:M95">OFFSET(L95,-1,1)</f>
        <v>ТЭ.42.26824396.0005</v>
      </c>
      <c r="N95" s="1330"/>
      <c r="O95" s="1330"/>
      <c r="P95" s="1330"/>
      <c r="Q95" s="1328"/>
      <c r="R95" s="1328"/>
      <c r="S95" s="1330"/>
      <c r="T95" s="805">
        <f>AND(F95&gt;0,OR(ISBLANK(Y95),Y95&gt;0))</f>
        <v>1</v>
      </c>
      <c r="U95" s="1461"/>
      <c r="V95" s="1461"/>
      <c r="W95" s="1016" t="s">
        <v>958</v>
      </c>
      <c r="X95" s="1461"/>
      <c r="Y95" s="1461"/>
      <c r="Z95" s="1461"/>
      <c r="AA95" s="227"/>
      <c r="AB95" s="299"/>
      <c r="AC95" s="732" t="s">
        <v>235</v>
      </c>
      <c r="AD95" s="300"/>
      <c r="AE95" s="300"/>
      <c r="AF95" s="300"/>
      <c r="AG95" s="300"/>
      <c r="AH95" s="300"/>
      <c r="AI95" s="300"/>
      <c r="AJ95" s="300"/>
      <c r="AK95" s="300"/>
      <c r="AL95" s="300"/>
      <c r="AM95" s="300"/>
      <c r="AN95" s="300"/>
      <c r="AO95" s="300"/>
      <c r="AP95" s="300"/>
      <c r="AQ95" s="300"/>
      <c r="AR95" s="300"/>
      <c r="AS95" s="300"/>
      <c r="AT95" s="300"/>
      <c r="AU95" s="300"/>
      <c r="AV95" s="300"/>
      <c r="AW95" s="300"/>
      <c r="AX95" s="300"/>
      <c r="AY95" s="300"/>
      <c r="AZ95" s="300"/>
      <c r="BA95" s="300"/>
      <c r="BB95" s="227"/>
      <c r="BC95" s="227"/>
      <c r="BD95" s="1232" t="str">
        <f>IF(AND(ISNUMBER(VALUE(TRIM(SUBSTITUTE(AB95,".","")))),TRIM(SUBSTITUTE(AB95,".",""))&lt;&gt;""),"P"&amp;SUBSTITUTE(AB95,".",""),"")</f>
        <v/>
      </c>
      <c r="BE95" s="1232"/>
      <c r="BF95" s="1232"/>
      <c r="BG95" s="1233" t="s">
        <v>2028</v>
      </c>
      <c r="BH95" s="1233"/>
      <c r="BI95" s="1330"/>
    </row>
    <row s="1619" customFormat="1" customHeight="1" ht="16.5">
      <c r="A96" s="1183"/>
      <c r="B96" s="924"/>
      <c r="C96" s="1298" t="s">
        <v>1693</v>
      </c>
      <c r="D96" s="1317" t="s">
        <v>1694</v>
      </c>
      <c r="E96" s="794">
        <v>17</v>
      </c>
      <c r="F96" s="736" cm="1" t="str">
        <f t="array" ref="F96:F96">OFFSET(G96,-1,-1)</f>
        <v>2</v>
      </c>
      <c r="G96" s="227"/>
      <c r="H96" s="227"/>
      <c r="I96" s="227"/>
      <c r="J96" s="227"/>
      <c r="K96" s="227"/>
      <c r="L96" s="1284"/>
      <c r="M96" s="1284" cm="1" t="str">
        <f t="array" ref="M96:M96">OFFSET(L96,-1,1)</f>
        <v>ТЭ.42.26824396.0005</v>
      </c>
      <c r="N96" s="1284"/>
      <c r="O96" s="1284"/>
      <c r="P96" s="1284"/>
      <c r="Q96" s="1286" t="s">
        <v>2013</v>
      </c>
      <c r="R96" s="1286"/>
      <c r="S96" s="1284"/>
      <c r="T96" s="805">
        <f>AND(F96&gt;0,OR(ISBLANK(Y96),Y96&gt;0))</f>
        <v>1</v>
      </c>
      <c r="U96" s="1461"/>
      <c r="V96" s="1461"/>
      <c r="W96" s="1461"/>
      <c r="X96" s="1461"/>
      <c r="Y96" s="1461"/>
      <c r="Z96" s="1461"/>
      <c r="AA96" s="227"/>
      <c r="AB96" s="1118" t="s">
        <v>2029</v>
      </c>
      <c r="AC96" s="559" t="s">
        <v>2015</v>
      </c>
      <c r="AD96" s="1013" t="s">
        <v>1400</v>
      </c>
      <c r="AE96" s="308">
        <f>SUM(AE97:AE98)</f>
        <v>0</v>
      </c>
      <c r="AF96" s="308">
        <f>SUM(AF97:AF98)</f>
        <v>0</v>
      </c>
      <c r="AG96" s="308">
        <f>SUM(AG97:AG98)</f>
        <v>0</v>
      </c>
      <c r="AH96" s="308">
        <f>SUM(AH97:AH98)</f>
        <v>0</v>
      </c>
      <c r="AI96" s="308">
        <f>SUM(AI97:AI98)</f>
        <v>0</v>
      </c>
      <c r="AJ96" s="1785">
        <f>SUM(AJ97:AJ98)</f>
        <v>0</v>
      </c>
      <c r="AK96" s="1785">
        <f>SUM(AK97:AK98)</f>
        <v>0</v>
      </c>
      <c r="AL96" s="1785">
        <f>SUM(AL97:AL98)</f>
        <v>0</v>
      </c>
      <c r="AM96" s="1785">
        <f>SUM(AM97:AM98)</f>
        <v>0</v>
      </c>
      <c r="AN96" s="1785">
        <f>SUM(AN97:AN98)</f>
        <v>0</v>
      </c>
      <c r="AO96" s="308">
        <f>SUM(AO97:AO98)</f>
        <v>0</v>
      </c>
      <c r="AP96" s="308">
        <f>SUM(AP97:AP98)</f>
        <v>0</v>
      </c>
      <c r="AQ96" s="308">
        <f>SUM(AQ97:AQ98)</f>
        <v>0</v>
      </c>
      <c r="AR96" s="308">
        <f>SUM(AR97:AR98)</f>
        <v>0</v>
      </c>
      <c r="AS96" s="308">
        <f>SUM(AS97:AS98)</f>
        <v>0</v>
      </c>
      <c r="AT96" s="1785">
        <f>SUM(AT97:AT98)</f>
        <v>0</v>
      </c>
      <c r="AU96" s="1785">
        <f>SUM(AU97:AU98)</f>
        <v>0</v>
      </c>
      <c r="AV96" s="1785">
        <f>SUM(AV97:AV98)</f>
        <v>0</v>
      </c>
      <c r="AW96" s="1785">
        <f>SUM(AW97:AW98)</f>
        <v>0</v>
      </c>
      <c r="AX96" s="1785">
        <f>SUM(AX97:AX98)</f>
        <v>0</v>
      </c>
      <c r="AY96" s="1730"/>
      <c r="AZ96" s="1730"/>
      <c r="BA96" s="1730"/>
      <c r="BB96" s="227"/>
      <c r="BC96" s="227"/>
      <c r="BD96" s="1232" t="s">
        <v>2030</v>
      </c>
      <c r="BE96" s="1232"/>
      <c r="BF96" s="1232"/>
      <c r="BG96" s="1233"/>
      <c r="BH96" s="1233"/>
      <c r="BI96" s="1268" cm="1" t="str">
        <f t="array" ref="BI96:BI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M10655::ТЭ.42.26824396.0005::Неопределено::Неопределено::Неопределено::Неопределено::147.0.1.::Неопределено::Неопределено</v>
      </c>
    </row>
    <row s="1619" customFormat="1" customHeight="1" ht="16.5" hidden="1">
      <c r="A97" s="1183"/>
      <c r="B97" s="924"/>
      <c r="C97" s="1298" t="s">
        <v>1693</v>
      </c>
      <c r="D97" s="1317" t="s">
        <v>1694</v>
      </c>
      <c r="E97" s="794">
        <v>17</v>
      </c>
      <c r="F97" s="736" cm="1" t="str">
        <f t="array" ref="F97:F97">OFFSET(G97,-1,-1)</f>
        <v>2</v>
      </c>
      <c r="G97" s="227"/>
      <c r="H97" s="227"/>
      <c r="I97" s="227"/>
      <c r="J97" s="227"/>
      <c r="K97" s="227"/>
      <c r="L97" s="1284" cm="1" t="str">
        <f t="array" ref="L97:L97">AC97</f>
        <v>0</v>
      </c>
      <c r="M97" s="1284" cm="1" t="str">
        <f t="array" ref="M97:M97">OFFSET(L97,-1,1)</f>
        <v>ТЭ.42.26824396.0005</v>
      </c>
      <c r="N97" s="1284"/>
      <c r="O97" s="1284"/>
      <c r="P97" s="1284"/>
      <c r="Q97" s="1286" t="s">
        <v>2013</v>
      </c>
      <c r="R97" s="1286"/>
      <c r="S97" s="1284"/>
      <c r="T97" s="805">
        <f>AND(F97&gt;0,OR(ISBLANK(Y97),Y97&gt;0))</f>
        <v>0</v>
      </c>
      <c r="U97" s="1461"/>
      <c r="V97" s="1461"/>
      <c r="W97" s="172" t="s">
        <v>233</v>
      </c>
      <c r="X97" s="1461"/>
      <c r="Y97" s="172">
        <v>0</v>
      </c>
      <c r="Z97" s="1461"/>
      <c r="AA97" s="914" t="s">
        <v>217</v>
      </c>
      <c r="AB97" s="577" t="str">
        <f>"1.2.3."&amp;Y97</f>
        <v>1.2.3.0</v>
      </c>
      <c r="AC97" s="143"/>
      <c r="AD97" s="1013" t="s">
        <v>1400</v>
      </c>
      <c r="AE97" s="308"/>
      <c r="AF97" s="308"/>
      <c r="AG97" s="308"/>
      <c r="AH97" s="308"/>
      <c r="AI97" s="308"/>
      <c r="AJ97" s="98"/>
      <c r="AK97" s="98"/>
      <c r="AL97" s="98"/>
      <c r="AM97" s="98"/>
      <c r="AN97" s="98"/>
      <c r="AO97" s="308"/>
      <c r="AP97" s="308"/>
      <c r="AQ97" s="308"/>
      <c r="AR97" s="308"/>
      <c r="AS97" s="308"/>
      <c r="AT97" s="98"/>
      <c r="AU97" s="98"/>
      <c r="AV97" s="98"/>
      <c r="AW97" s="98"/>
      <c r="AX97" s="98"/>
      <c r="AY97" s="73"/>
      <c r="AZ97" s="73"/>
      <c r="BA97" s="73"/>
      <c r="BB97" s="227"/>
      <c r="BC97" s="227"/>
      <c r="BD97" s="1232" t="s">
        <v>2030</v>
      </c>
      <c r="BE97" s="1232" t="s">
        <v>2031</v>
      </c>
      <c r="BF97" s="1232" cm="1" t="str">
        <f t="array" ref="BF97:BF97">AC97</f>
        <v>0</v>
      </c>
      <c r="BG97" s="1233"/>
      <c r="BH97" s="1233" t="b">
        <v>1</v>
      </c>
      <c r="BI97" s="1268" cm="1" t="str">
        <f t="array" ref="BI97:BI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M10655::ТЭ.42.26824396.0005::0::Неопределено::Неопределено::Неопределено::147.0.1.::Неопределено::Неопределено</v>
      </c>
    </row>
    <row s="1619" customFormat="1" customHeight="1" ht="16.5">
      <c r="A98" s="1183"/>
      <c r="B98" s="924"/>
      <c r="C98" s="1303"/>
      <c r="D98" s="1287"/>
      <c r="E98" s="794">
        <v>17</v>
      </c>
      <c r="F98" s="736" cm="1" t="str">
        <f t="array" ref="F98:F98">OFFSET(G98,-1,-1)</f>
        <v>2</v>
      </c>
      <c r="G98" s="227"/>
      <c r="H98" s="227"/>
      <c r="I98" s="227"/>
      <c r="J98" s="227"/>
      <c r="K98" s="227"/>
      <c r="L98" s="1330"/>
      <c r="M98" s="1284" cm="1" t="str">
        <f t="array" ref="M98:M98">OFFSET(L98,-1,1)</f>
        <v>ТЭ.42.26824396.0005</v>
      </c>
      <c r="N98" s="1330"/>
      <c r="O98" s="1330"/>
      <c r="P98" s="1330"/>
      <c r="Q98" s="1328"/>
      <c r="R98" s="1328"/>
      <c r="S98" s="1330"/>
      <c r="T98" s="805">
        <f>AND(F98&gt;0,OR(ISBLANK(Y98),Y98&gt;0))</f>
        <v>1</v>
      </c>
      <c r="U98" s="1461"/>
      <c r="V98" s="1461"/>
      <c r="W98" s="1016" t="s">
        <v>1199</v>
      </c>
      <c r="X98" s="1461"/>
      <c r="Y98" s="1461"/>
      <c r="Z98" s="1461"/>
      <c r="AA98" s="227"/>
      <c r="AB98" s="299"/>
      <c r="AC98" s="732" t="s">
        <v>235</v>
      </c>
      <c r="AD98" s="300"/>
      <c r="AE98" s="300"/>
      <c r="AF98" s="300"/>
      <c r="AG98" s="300"/>
      <c r="AH98" s="300"/>
      <c r="AI98" s="300"/>
      <c r="AJ98" s="300"/>
      <c r="AK98" s="300"/>
      <c r="AL98" s="300"/>
      <c r="AM98" s="300"/>
      <c r="AN98" s="300"/>
      <c r="AO98" s="300"/>
      <c r="AP98" s="300"/>
      <c r="AQ98" s="300"/>
      <c r="AR98" s="300"/>
      <c r="AS98" s="300"/>
      <c r="AT98" s="300"/>
      <c r="AU98" s="300"/>
      <c r="AV98" s="300"/>
      <c r="AW98" s="300"/>
      <c r="AX98" s="300"/>
      <c r="AY98" s="300"/>
      <c r="AZ98" s="300"/>
      <c r="BA98" s="300"/>
      <c r="BB98" s="227"/>
      <c r="BC98" s="227"/>
      <c r="BD98" s="1232" t="str">
        <f>IF(AND(ISNUMBER(VALUE(TRIM(SUBSTITUTE(AB98,".","")))),TRIM(SUBSTITUTE(AB98,".",""))&lt;&gt;""),"P"&amp;SUBSTITUTE(AB98,".",""),"")</f>
        <v/>
      </c>
      <c r="BE98" s="1232"/>
      <c r="BF98" s="1232"/>
      <c r="BG98" s="1233" t="s">
        <v>2031</v>
      </c>
      <c r="BH98" s="1233"/>
      <c r="BI98" s="1330"/>
    </row>
    <row s="1619" customFormat="1" customHeight="1" ht="16.5">
      <c r="A99" s="1183"/>
      <c r="B99" s="924"/>
      <c r="C99" s="1298" t="s">
        <v>1693</v>
      </c>
      <c r="D99" s="1317" t="s">
        <v>1694</v>
      </c>
      <c r="E99" s="794">
        <v>17</v>
      </c>
      <c r="F99" s="736" cm="1" t="str">
        <f t="array" ref="F99:F99">OFFSET(G99,-1,-1)</f>
        <v>2</v>
      </c>
      <c r="G99" s="227"/>
      <c r="H99" s="227"/>
      <c r="I99" s="227"/>
      <c r="J99" s="227"/>
      <c r="K99" s="227"/>
      <c r="L99" s="1284"/>
      <c r="M99" s="1284" cm="1" t="str">
        <f t="array" ref="M99:M99">OFFSET(L99,-1,1)</f>
        <v>ТЭ.42.26824396.0005</v>
      </c>
      <c r="N99" s="1284" t="s">
        <v>2032</v>
      </c>
      <c r="O99" s="1284"/>
      <c r="P99" s="1284"/>
      <c r="Q99" s="1286"/>
      <c r="R99" s="1286"/>
      <c r="S99" s="1284"/>
      <c r="T99" s="805">
        <f>AND(F99&gt;0,OR(ISBLANK(Y99),Y99&gt;0))</f>
        <v>1</v>
      </c>
      <c r="U99" s="1461"/>
      <c r="V99" s="1461"/>
      <c r="W99" s="1461"/>
      <c r="X99" s="1461"/>
      <c r="Y99" s="1461"/>
      <c r="Z99" s="1461"/>
      <c r="AA99" s="227"/>
      <c r="AB99" s="1118" t="s">
        <v>933</v>
      </c>
      <c r="AC99" s="161" t="s">
        <v>2033</v>
      </c>
      <c r="AD99" s="1013" t="s">
        <v>1400</v>
      </c>
      <c r="AE99" s="308"/>
      <c r="AF99" s="308"/>
      <c r="AG99" s="308"/>
      <c r="AH99" s="308"/>
      <c r="AI99" s="308"/>
      <c r="AJ99" s="1785"/>
      <c r="AK99" s="1785"/>
      <c r="AL99" s="1785"/>
      <c r="AM99" s="1785"/>
      <c r="AN99" s="1785"/>
      <c r="AO99" s="308"/>
      <c r="AP99" s="308"/>
      <c r="AQ99" s="308"/>
      <c r="AR99" s="308"/>
      <c r="AS99" s="308"/>
      <c r="AT99" s="1785"/>
      <c r="AU99" s="1785"/>
      <c r="AV99" s="1785"/>
      <c r="AW99" s="1785"/>
      <c r="AX99" s="1785"/>
      <c r="AY99" s="1730"/>
      <c r="AZ99" s="1730"/>
      <c r="BA99" s="1730"/>
      <c r="BB99" s="227"/>
      <c r="BC99" s="227"/>
      <c r="BD99" s="1232" t="s">
        <v>1388</v>
      </c>
      <c r="BE99" s="1232"/>
      <c r="BF99" s="1232"/>
      <c r="BG99" s="1233"/>
      <c r="BH99" s="1233"/>
      <c r="BI99" s="1268" cm="1" t="str">
        <f t="array" ref="BI99:BI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M10655::ТЭ.42.26824396.0005::Неопределено::110.0.3.::Неопределено::Неопределено::Неопределено::Неопределено::Неопределено</v>
      </c>
    </row>
    <row s="1619" customFormat="1" customHeight="1" ht="16.5">
      <c r="A100" s="1183"/>
      <c r="B100" s="924"/>
      <c r="C100" s="1304"/>
      <c r="D100" s="1318"/>
      <c r="E100" s="794">
        <v>17</v>
      </c>
      <c r="F100" s="736" cm="1" t="str">
        <f t="array" ref="F100:F100">OFFSET(G100,-1,-1)</f>
        <v>2</v>
      </c>
      <c r="G100" s="227"/>
      <c r="H100" s="227"/>
      <c r="I100" s="227"/>
      <c r="J100" s="227"/>
      <c r="K100" s="227"/>
      <c r="L100" s="1339"/>
      <c r="M100" s="1284" cm="1" t="str">
        <f t="array" ref="M100:M100">OFFSET(L100,-1,1)</f>
        <v>ТЭ.42.26824396.0005</v>
      </c>
      <c r="N100" s="1339"/>
      <c r="O100" s="1339"/>
      <c r="P100" s="1339"/>
      <c r="Q100" s="1341"/>
      <c r="R100" s="1341"/>
      <c r="S100" s="1339"/>
      <c r="T100" s="805">
        <f>AND(F100&gt;0,OR(ISBLANK(Y100),Y100&gt;0))</f>
        <v>1</v>
      </c>
      <c r="U100" s="1461"/>
      <c r="V100" s="1461"/>
      <c r="W100" s="1461"/>
      <c r="X100" s="1461"/>
      <c r="Y100" s="1461"/>
      <c r="Z100" s="1461"/>
      <c r="AA100" s="227"/>
      <c r="AB100" s="577" t="s">
        <v>343</v>
      </c>
      <c r="AC100" s="320" t="s">
        <v>2034</v>
      </c>
      <c r="AD100" s="1013"/>
      <c r="AE100" s="1013"/>
      <c r="AF100" s="1013"/>
      <c r="AG100" s="1013"/>
      <c r="AH100" s="1013"/>
      <c r="AI100" s="1013"/>
      <c r="AJ100" s="1013"/>
      <c r="AK100" s="1013"/>
      <c r="AL100" s="1013"/>
      <c r="AM100" s="1013"/>
      <c r="AN100" s="1013"/>
      <c r="AO100" s="1013"/>
      <c r="AP100" s="1013"/>
      <c r="AQ100" s="1013"/>
      <c r="AR100" s="1013"/>
      <c r="AS100" s="1013"/>
      <c r="AT100" s="1013"/>
      <c r="AU100" s="1013"/>
      <c r="AV100" s="1013"/>
      <c r="AW100" s="1013"/>
      <c r="AX100" s="1013"/>
      <c r="AY100" s="1013"/>
      <c r="AZ100" s="1013"/>
      <c r="BA100" s="1013"/>
      <c r="BB100" s="227"/>
      <c r="BC100" s="227"/>
      <c r="BD100" s="1232"/>
      <c r="BE100" s="1232"/>
      <c r="BF100" s="1232"/>
      <c r="BG100" s="1233"/>
      <c r="BH100" s="1233"/>
      <c r="BI100" s="1330"/>
    </row>
    <row s="1619" customFormat="1" customHeight="1" ht="16.5">
      <c r="A101" s="1183"/>
      <c r="B101" s="924"/>
      <c r="C101" s="1298" t="s">
        <v>1721</v>
      </c>
      <c r="D101" s="1317" t="s">
        <v>1722</v>
      </c>
      <c r="E101" s="794">
        <v>17</v>
      </c>
      <c r="F101" s="736" cm="1" t="str">
        <f t="array" ref="F101:F101">OFFSET(G101,-1,-1)</f>
        <v>2</v>
      </c>
      <c r="G101" s="190" t="s">
        <v>1723</v>
      </c>
      <c r="H101" s="227"/>
      <c r="I101" s="227"/>
      <c r="J101" s="227"/>
      <c r="K101" s="227"/>
      <c r="L101" s="1284"/>
      <c r="M101" s="1284" cm="1" t="str">
        <f t="array" ref="M101:M101">OFFSET(L101,-1,1)</f>
        <v>ТЭ.42.26824396.0005</v>
      </c>
      <c r="N101" s="1284"/>
      <c r="O101" s="1284"/>
      <c r="P101" s="1284"/>
      <c r="Q101" s="1286"/>
      <c r="R101" s="1286"/>
      <c r="S101" s="1286" t="s">
        <v>1724</v>
      </c>
      <c r="T101" s="805">
        <f>AND(F101&gt;0,OR(ISBLANK(Y101),Y101&gt;0))</f>
        <v>1</v>
      </c>
      <c r="U101" s="1461"/>
      <c r="V101" s="1461"/>
      <c r="W101" s="1461"/>
      <c r="X101" s="1461"/>
      <c r="Y101" s="1461"/>
      <c r="Z101" s="1461"/>
      <c r="AA101" s="227"/>
      <c r="AB101" s="170" t="s">
        <v>448</v>
      </c>
      <c r="AC101" s="286" t="s">
        <v>1725</v>
      </c>
      <c r="AD101" s="555" t="s">
        <v>591</v>
      </c>
      <c r="AE101" s="308"/>
      <c r="AF101" s="308"/>
      <c r="AG101" s="308"/>
      <c r="AH101" s="308"/>
      <c r="AI101" s="308"/>
      <c r="AJ101" s="1785"/>
      <c r="AK101" s="1785"/>
      <c r="AL101" s="1785"/>
      <c r="AM101" s="1785"/>
      <c r="AN101" s="1785"/>
      <c r="AO101" s="308"/>
      <c r="AP101" s="308"/>
      <c r="AQ101" s="308"/>
      <c r="AR101" s="308"/>
      <c r="AS101" s="308"/>
      <c r="AT101" s="1785"/>
      <c r="AU101" s="1785"/>
      <c r="AV101" s="1785"/>
      <c r="AW101" s="1785"/>
      <c r="AX101" s="1785"/>
      <c r="AY101" s="1730"/>
      <c r="AZ101" s="1730"/>
      <c r="BA101" s="1730"/>
      <c r="BB101" s="227"/>
      <c r="BC101" s="227"/>
      <c r="BD101" s="1232" t="s">
        <v>2035</v>
      </c>
      <c r="BE101" s="1232"/>
      <c r="BF101" s="1232"/>
      <c r="BG101" s="1233"/>
      <c r="BH101" s="1233"/>
      <c r="BI101" s="1268" cm="1" t="str">
        <f t="array" ref="BI101:BI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M10670::ТЭ.42.26824396.0005::Неопределено::Неопределено::Неопределено::Неопределено::Неопределено::Неопределено::8.0.3.</v>
      </c>
    </row>
    <row s="1619" customFormat="1" customHeight="1" ht="16.5">
      <c r="A102" s="1183"/>
      <c r="B102" s="924"/>
      <c r="C102" s="1298" t="s">
        <v>1727</v>
      </c>
      <c r="D102" s="1317" t="s">
        <v>1728</v>
      </c>
      <c r="E102" s="794">
        <v>17</v>
      </c>
      <c r="F102" s="736" cm="1" t="str">
        <f t="array" ref="F102:F102">OFFSET(G102,-1,-1)</f>
        <v>2</v>
      </c>
      <c r="G102" s="736" t="s">
        <v>1729</v>
      </c>
      <c r="H102" s="227"/>
      <c r="I102" s="227"/>
      <c r="J102" s="227"/>
      <c r="K102" s="227"/>
      <c r="L102" s="1284"/>
      <c r="M102" s="1284" cm="1" t="str">
        <f t="array" ref="M102:M102">OFFSET(L102,-1,1)</f>
        <v>ТЭ.42.26824396.0005</v>
      </c>
      <c r="N102" s="1284"/>
      <c r="O102" s="1284"/>
      <c r="P102" s="1284"/>
      <c r="Q102" s="1286"/>
      <c r="R102" s="1286"/>
      <c r="S102" s="1286" t="s">
        <v>1724</v>
      </c>
      <c r="T102" s="805">
        <f>AND(F102&gt;0,OR(ISBLANK(Y102),Y102&gt;0))</f>
        <v>1</v>
      </c>
      <c r="U102" s="1461"/>
      <c r="V102" s="1461"/>
      <c r="W102" s="1461"/>
      <c r="X102" s="1461"/>
      <c r="Y102" s="1461"/>
      <c r="Z102" s="1461"/>
      <c r="AA102" s="227"/>
      <c r="AB102" s="170" t="s">
        <v>475</v>
      </c>
      <c r="AC102" s="286" t="s">
        <v>1730</v>
      </c>
      <c r="AD102" s="555" t="s">
        <v>895</v>
      </c>
      <c r="AE102" s="308"/>
      <c r="AF102" s="308"/>
      <c r="AG102" s="308"/>
      <c r="AH102" s="308"/>
      <c r="AI102" s="308"/>
      <c r="AJ102" s="1785"/>
      <c r="AK102" s="1785"/>
      <c r="AL102" s="1785"/>
      <c r="AM102" s="1785"/>
      <c r="AN102" s="1785"/>
      <c r="AO102" s="308"/>
      <c r="AP102" s="308"/>
      <c r="AQ102" s="308"/>
      <c r="AR102" s="308"/>
      <c r="AS102" s="308"/>
      <c r="AT102" s="1785"/>
      <c r="AU102" s="1785"/>
      <c r="AV102" s="1785"/>
      <c r="AW102" s="1785"/>
      <c r="AX102" s="1785"/>
      <c r="AY102" s="1730"/>
      <c r="AZ102" s="1730"/>
      <c r="BA102" s="1730"/>
      <c r="BB102" s="227"/>
      <c r="BC102" s="227"/>
      <c r="BD102" s="1232" t="s">
        <v>2036</v>
      </c>
      <c r="BE102" s="1232"/>
      <c r="BF102" s="1232"/>
      <c r="BG102" s="1233"/>
      <c r="BH102" s="1233"/>
      <c r="BI102" s="1268" cm="1" t="str">
        <f t="array" ref="BI102:BI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M10546::ТЭ.42.26824396.0005::Неопределено::Неопределено::Неопределено::Неопределено::Неопределено::Неопределено::8.0.3.</v>
      </c>
    </row>
    <row s="1619" customFormat="1" customHeight="1" ht="16.5">
      <c r="A103" s="1183"/>
      <c r="B103" s="924"/>
      <c r="C103" s="1298" t="s">
        <v>1721</v>
      </c>
      <c r="D103" s="1317" t="s">
        <v>1722</v>
      </c>
      <c r="E103" s="794">
        <v>17</v>
      </c>
      <c r="F103" s="736" cm="1" t="str">
        <f t="array" ref="F103:F103">OFFSET(G103,-1,-1)</f>
        <v>2</v>
      </c>
      <c r="G103" s="190" t="s">
        <v>1732</v>
      </c>
      <c r="H103" s="227"/>
      <c r="I103" s="227"/>
      <c r="J103" s="227"/>
      <c r="K103" s="227"/>
      <c r="L103" s="1284"/>
      <c r="M103" s="1284" cm="1" t="str">
        <f t="array" ref="M103:M103">OFFSET(L103,-1,1)</f>
        <v>ТЭ.42.26824396.0005</v>
      </c>
      <c r="N103" s="1284"/>
      <c r="O103" s="1284"/>
      <c r="P103" s="1284"/>
      <c r="Q103" s="1286"/>
      <c r="R103" s="1286"/>
      <c r="S103" s="1286" t="s">
        <v>1733</v>
      </c>
      <c r="T103" s="805">
        <f>AND(F103&gt;0,OR(ISBLANK(Y103),Y103&gt;0))</f>
        <v>1</v>
      </c>
      <c r="U103" s="1461"/>
      <c r="V103" s="1461"/>
      <c r="W103" s="1461"/>
      <c r="X103" s="1461"/>
      <c r="Y103" s="1461"/>
      <c r="Z103" s="1461"/>
      <c r="AA103" s="227"/>
      <c r="AB103" s="170" t="s">
        <v>479</v>
      </c>
      <c r="AC103" s="286" t="s">
        <v>1734</v>
      </c>
      <c r="AD103" s="309" t="s">
        <v>591</v>
      </c>
      <c r="AE103" s="308"/>
      <c r="AF103" s="308"/>
      <c r="AG103" s="308"/>
      <c r="AH103" s="308"/>
      <c r="AI103" s="308"/>
      <c r="AJ103" s="1785"/>
      <c r="AK103" s="1785"/>
      <c r="AL103" s="1785"/>
      <c r="AM103" s="1785"/>
      <c r="AN103" s="1785"/>
      <c r="AO103" s="308"/>
      <c r="AP103" s="308"/>
      <c r="AQ103" s="308"/>
      <c r="AR103" s="308"/>
      <c r="AS103" s="308"/>
      <c r="AT103" s="1785"/>
      <c r="AU103" s="1785"/>
      <c r="AV103" s="1785"/>
      <c r="AW103" s="1785"/>
      <c r="AX103" s="1785"/>
      <c r="AY103" s="1730"/>
      <c r="AZ103" s="1730"/>
      <c r="BA103" s="1730"/>
      <c r="BB103" s="227"/>
      <c r="BC103" s="227"/>
      <c r="BD103" s="1232" t="s">
        <v>2037</v>
      </c>
      <c r="BE103" s="1232"/>
      <c r="BF103" s="1232"/>
      <c r="BG103" s="1233"/>
      <c r="BH103" s="1233"/>
      <c r="BI103" s="1268" cm="1" t="str">
        <f t="array" ref="BI103:BI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M10670::ТЭ.42.26824396.0005::Неопределено::Неопределено::Неопределено::Неопределено::Неопределено::Неопределено::8.0.5.</v>
      </c>
    </row>
    <row s="2043" customFormat="1" customHeight="1" ht="16.5">
      <c r="A104" s="232"/>
      <c r="B104" s="232"/>
      <c r="C104" s="1298" t="s">
        <v>1727</v>
      </c>
      <c r="D104" s="1317" t="s">
        <v>1728</v>
      </c>
      <c r="E104" s="794">
        <v>17</v>
      </c>
      <c r="F104" s="736" cm="1" t="str">
        <f t="array" ref="F104:F104">OFFSET(G104,-1,-1)</f>
        <v>2</v>
      </c>
      <c r="G104" s="736" t="s">
        <v>1736</v>
      </c>
      <c r="H104" s="232"/>
      <c r="I104" s="232"/>
      <c r="J104" s="232"/>
      <c r="K104" s="232"/>
      <c r="L104" s="1283"/>
      <c r="M104" s="1284" cm="1" t="str">
        <f t="array" ref="M104:M104">OFFSET(L104,-1,1)</f>
        <v>ТЭ.42.26824396.0005</v>
      </c>
      <c r="N104" s="1283"/>
      <c r="O104" s="1283"/>
      <c r="P104" s="1283"/>
      <c r="Q104" s="1294"/>
      <c r="R104" s="1294"/>
      <c r="S104" s="1286" t="s">
        <v>1733</v>
      </c>
      <c r="T104" s="805">
        <f>AND(F104&gt;0,OR(ISBLANK(Y104),Y104&gt;0))</f>
        <v>1</v>
      </c>
      <c r="U104" s="232"/>
      <c r="V104" s="232"/>
      <c r="W104" s="232"/>
      <c r="X104" s="232"/>
      <c r="Y104" s="232"/>
      <c r="Z104" s="232"/>
      <c r="AA104" s="232"/>
      <c r="AB104" s="170" t="s">
        <v>483</v>
      </c>
      <c r="AC104" s="286" t="s">
        <v>1737</v>
      </c>
      <c r="AD104" s="166" t="s">
        <v>895</v>
      </c>
      <c r="AE104" s="308">
        <f>_xlfn.IFERROR((AE82*1000-AE101*AE102)/AE103,0)</f>
        <v>0</v>
      </c>
      <c r="AF104" s="308">
        <f>_xlfn.IFERROR((AF82*1000-AF101*AF102)/AF103,0)</f>
        <v>0</v>
      </c>
      <c r="AG104" s="308">
        <f>_xlfn.IFERROR((AG82*1000-AG101*AG102)/AG103,0)</f>
        <v>0</v>
      </c>
      <c r="AH104" s="308">
        <f>_xlfn.IFERROR((AH82*1000-AH101*AH102)/AH103,0)</f>
        <v>0</v>
      </c>
      <c r="AI104" s="308">
        <f>_xlfn.IFERROR((AI82*1000-AI101*AI102)/AI103,0)</f>
        <v>0</v>
      </c>
      <c r="AJ104" s="1785">
        <f>_xlfn.IFERROR((AJ82*1000-AJ101*AJ102)/AJ103,0)</f>
        <v>0</v>
      </c>
      <c r="AK104" s="1785">
        <f>_xlfn.IFERROR((AK82*1000-AK101*AK102)/AK103,0)</f>
        <v>0</v>
      </c>
      <c r="AL104" s="1785">
        <f>_xlfn.IFERROR((AL82*1000-AL101*AL102)/AL103,0)</f>
        <v>0</v>
      </c>
      <c r="AM104" s="1785">
        <f>_xlfn.IFERROR((AM82*1000-AM101*AM102)/AM103,0)</f>
        <v>0</v>
      </c>
      <c r="AN104" s="1785">
        <f>_xlfn.IFERROR((AN82*1000-AN101*AN102)/AN103,0)</f>
        <v>0</v>
      </c>
      <c r="AO104" s="308">
        <f>_xlfn.IFERROR((AO82*1000-AO101*AO102)/AO103,0)</f>
        <v>0</v>
      </c>
      <c r="AP104" s="308">
        <f>_xlfn.IFERROR((AP82*1000-AP101*AP102)/AP103,0)</f>
        <v>0</v>
      </c>
      <c r="AQ104" s="308">
        <f>_xlfn.IFERROR((AQ82*1000-AQ101*AQ102)/AQ103,0)</f>
        <v>0</v>
      </c>
      <c r="AR104" s="308">
        <f>_xlfn.IFERROR((AR82*1000-AR101*AR102)/AR103,0)</f>
        <v>0</v>
      </c>
      <c r="AS104" s="308">
        <f>_xlfn.IFERROR((AS82*1000-AS101*AS102)/AS103,0)</f>
        <v>0</v>
      </c>
      <c r="AT104" s="1785">
        <f>_xlfn.IFERROR((AT82*1000-AT101*AT102)/AT103,0)</f>
        <v>0</v>
      </c>
      <c r="AU104" s="1785">
        <f>_xlfn.IFERROR((AU82*1000-AU101*AU102)/AU103,0)</f>
        <v>0</v>
      </c>
      <c r="AV104" s="1785">
        <f>_xlfn.IFERROR((AV82*1000-AV101*AV102)/AV103,0)</f>
        <v>0</v>
      </c>
      <c r="AW104" s="1785">
        <f>_xlfn.IFERROR((AW82*1000-AW101*AW102)/AW103,0)</f>
        <v>0</v>
      </c>
      <c r="AX104" s="1785">
        <f>_xlfn.IFERROR((AX82*1000-AX101*AX102)/AX103,0)</f>
        <v>0</v>
      </c>
      <c r="AY104" s="1730"/>
      <c r="AZ104" s="1730"/>
      <c r="BA104" s="1730"/>
      <c r="BB104" s="232"/>
      <c r="BC104" s="232"/>
      <c r="BD104" s="1232" t="s">
        <v>2038</v>
      </c>
      <c r="BE104" s="1232"/>
      <c r="BF104" s="1240"/>
      <c r="BG104" s="1241"/>
      <c r="BH104" s="1241"/>
      <c r="BI104" s="1268" cm="1" t="str">
        <f t="array" ref="BI104:BI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M10546::ТЭ.42.26824396.0005::Неопределено::Неопределено::Неопределено::Неопределено::Неопределено::Неопределено::8.0.5.</v>
      </c>
    </row>
    <row s="2044" customFormat="1" customHeight="1" ht="16.5">
      <c r="A105" s="232"/>
      <c r="B105" s="232"/>
      <c r="C105" s="1298" t="s">
        <v>1739</v>
      </c>
      <c r="D105" s="1317" t="s">
        <v>1740</v>
      </c>
      <c r="E105" s="794">
        <v>17</v>
      </c>
      <c r="F105" s="736" cm="1" t="str">
        <f t="array" ref="F105:F105">OFFSET(G105,-1,-1)</f>
        <v>2</v>
      </c>
      <c r="G105" s="232"/>
      <c r="H105" s="232"/>
      <c r="I105" s="232"/>
      <c r="J105" s="232"/>
      <c r="K105" s="232"/>
      <c r="L105" s="1283"/>
      <c r="M105" s="1284" cm="1" t="str">
        <f t="array" ref="M105:M105">OFFSET(L105,-1,1)</f>
        <v>ТЭ.42.26824396.0005</v>
      </c>
      <c r="N105" s="1283"/>
      <c r="O105" s="1283"/>
      <c r="P105" s="1283"/>
      <c r="Q105" s="1294"/>
      <c r="R105" s="1294"/>
      <c r="S105" s="1283"/>
      <c r="T105" s="805">
        <f>AND(F105&gt;0,OR(ISBLANK(Y105),Y105&gt;0))</f>
        <v>1</v>
      </c>
      <c r="U105" s="232"/>
      <c r="V105" s="232"/>
      <c r="W105" s="232"/>
      <c r="X105" s="232"/>
      <c r="Y105" s="232"/>
      <c r="Z105" s="232"/>
      <c r="AA105" s="232"/>
      <c r="AB105" s="170" t="s">
        <v>1559</v>
      </c>
      <c r="AC105" s="161" t="s">
        <v>2039</v>
      </c>
      <c r="AD105" s="555" t="s">
        <v>490</v>
      </c>
      <c r="AE105" s="662">
        <f>_xlfn.IFERROR(AE104/AE102,0)</f>
        <v>0</v>
      </c>
      <c r="AF105" s="662">
        <f>_xlfn.IFERROR(AF104/AF102,0)</f>
        <v>0</v>
      </c>
      <c r="AG105" s="662">
        <f>_xlfn.IFERROR(AG104/AG102,0)</f>
        <v>0</v>
      </c>
      <c r="AH105" s="662">
        <f>_xlfn.IFERROR(AH104/AH102,0)</f>
        <v>0</v>
      </c>
      <c r="AI105" s="662">
        <f>_xlfn.IFERROR(AI104/AI102,0)</f>
        <v>0</v>
      </c>
      <c r="AJ105" s="662">
        <f>_xlfn.IFERROR(AJ104/AJ102,0)</f>
        <v>0</v>
      </c>
      <c r="AK105" s="662">
        <f>_xlfn.IFERROR(AK104/AK102,0)</f>
        <v>0</v>
      </c>
      <c r="AL105" s="662">
        <f>_xlfn.IFERROR(AL104/AL102,0)</f>
        <v>0</v>
      </c>
      <c r="AM105" s="662">
        <f>_xlfn.IFERROR(AM104/AM102,0)</f>
        <v>0</v>
      </c>
      <c r="AN105" s="662">
        <f>_xlfn.IFERROR(AN104/AN102,0)</f>
        <v>0</v>
      </c>
      <c r="AO105" s="662">
        <f>_xlfn.IFERROR(AO104/AO102,0)</f>
        <v>0</v>
      </c>
      <c r="AP105" s="662">
        <f>_xlfn.IFERROR(AP104/AP102,0)</f>
        <v>0</v>
      </c>
      <c r="AQ105" s="662">
        <f>_xlfn.IFERROR(AQ104/AQ102,0)</f>
        <v>0</v>
      </c>
      <c r="AR105" s="662">
        <f>_xlfn.IFERROR(AR104/AR102,0)</f>
        <v>0</v>
      </c>
      <c r="AS105" s="662">
        <f>_xlfn.IFERROR(AS104/AS102,0)</f>
        <v>0</v>
      </c>
      <c r="AT105" s="662">
        <f>_xlfn.IFERROR(AT104/AT102,0)</f>
        <v>0</v>
      </c>
      <c r="AU105" s="662">
        <f>_xlfn.IFERROR(AU104/AU102,0)</f>
        <v>0</v>
      </c>
      <c r="AV105" s="662">
        <f>_xlfn.IFERROR(AV104/AV102,0)</f>
        <v>0</v>
      </c>
      <c r="AW105" s="662">
        <f>_xlfn.IFERROR(AW104/AW102,0)</f>
        <v>0</v>
      </c>
      <c r="AX105" s="662">
        <f>_xlfn.IFERROR(AX104/AX102,0)</f>
        <v>0</v>
      </c>
      <c r="AY105" s="1730"/>
      <c r="AZ105" s="1730"/>
      <c r="BA105" s="1730"/>
      <c r="BB105" s="232"/>
      <c r="BC105" s="232"/>
      <c r="BD105" s="1232" t="s">
        <v>2040</v>
      </c>
      <c r="BE105" s="1232"/>
      <c r="BF105" s="1232"/>
      <c r="BG105" s="1233"/>
      <c r="BH105" s="1233"/>
      <c r="BI105" s="1268" cm="1" t="str">
        <f t="array" ref="BI105:BI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M11244::ТЭ.42.26824396.0005::Неопределено::Неопределено::Неопределено::Неопределено::Неопределено::Неопределено::Неопределено</v>
      </c>
    </row>
    <row s="1619" customFormat="1" customHeight="1" ht="16.5">
      <c r="A106" s="1183"/>
      <c r="B106" s="924"/>
      <c r="C106" s="1298" t="s">
        <v>1743</v>
      </c>
      <c r="D106" s="1317" t="s">
        <v>1744</v>
      </c>
      <c r="E106" s="794">
        <v>17</v>
      </c>
      <c r="F106" s="736" cm="1" t="str">
        <f t="array" ref="F106:F106">OFFSET(G106,-1,-1)</f>
        <v>2</v>
      </c>
      <c r="G106" s="227"/>
      <c r="H106" s="227"/>
      <c r="I106" s="227"/>
      <c r="J106" s="227"/>
      <c r="K106" s="227"/>
      <c r="L106" s="1284"/>
      <c r="M106" s="1284" cm="1" t="str">
        <f t="array" ref="M106:M106">OFFSET(L106,-1,1)</f>
        <v>ТЭ.42.26824396.0005</v>
      </c>
      <c r="N106" s="1284"/>
      <c r="O106" s="1284"/>
      <c r="P106" s="1284"/>
      <c r="Q106" s="1286"/>
      <c r="R106" s="1286"/>
      <c r="S106" s="1284"/>
      <c r="T106" s="805">
        <f>AND(F106&gt;0,OR(ISBLANK(Y106),Y106&gt;0))</f>
        <v>1</v>
      </c>
      <c r="U106" s="1461"/>
      <c r="V106" s="1461"/>
      <c r="W106" s="1461"/>
      <c r="X106" s="1461"/>
      <c r="Y106" s="1461"/>
      <c r="Z106" s="1461"/>
      <c r="AA106" s="227"/>
      <c r="AB106" s="170" t="s">
        <v>1986</v>
      </c>
      <c r="AC106" s="161" t="s">
        <v>2041</v>
      </c>
      <c r="AD106" s="555" t="s">
        <v>895</v>
      </c>
      <c r="AE106" s="705">
        <f>_xlfn.IFERROR(AE82*1000/(AE101+AE103),0)</f>
        <v>0</v>
      </c>
      <c r="AF106" s="705">
        <f>_xlfn.IFERROR(AF82*1000/(AF101+AF103),0)</f>
        <v>0</v>
      </c>
      <c r="AG106" s="705">
        <f>_xlfn.IFERROR(AG82*1000/(AG101+AG103),0)</f>
        <v>0</v>
      </c>
      <c r="AH106" s="705">
        <f>_xlfn.IFERROR(AH82*1000/(AH101+AH103),0)</f>
        <v>0</v>
      </c>
      <c r="AI106" s="705">
        <f>_xlfn.IFERROR(AI82*1000/(AI101+AI103),0)</f>
        <v>0</v>
      </c>
      <c r="AJ106" s="2041">
        <f>_xlfn.IFERROR(AJ82*1000/(AJ101+AJ103),0)</f>
        <v>0</v>
      </c>
      <c r="AK106" s="2041">
        <f>_xlfn.IFERROR(AK82*1000/(AK101+AK103),0)</f>
        <v>0</v>
      </c>
      <c r="AL106" s="2041">
        <f>_xlfn.IFERROR(AL82*1000/(AL101+AL103),0)</f>
        <v>0</v>
      </c>
      <c r="AM106" s="2041">
        <f>_xlfn.IFERROR(AM82*1000/(AM101+AM103),0)</f>
        <v>0</v>
      </c>
      <c r="AN106" s="2041">
        <f>_xlfn.IFERROR(AN82*1000/(AN101+AN103),0)</f>
        <v>0</v>
      </c>
      <c r="AO106" s="705">
        <f>_xlfn.IFERROR(AO82*1000/(AO101+AO103),0)</f>
        <v>0</v>
      </c>
      <c r="AP106" s="705">
        <f>_xlfn.IFERROR(AP82*1000/(AP101+AP103),0)</f>
        <v>0</v>
      </c>
      <c r="AQ106" s="705">
        <f>_xlfn.IFERROR(AQ82*1000/(AQ101+AQ103),0)</f>
        <v>0</v>
      </c>
      <c r="AR106" s="705">
        <f>_xlfn.IFERROR(AR82*1000/(AR101+AR103),0)</f>
        <v>0</v>
      </c>
      <c r="AS106" s="705">
        <f>_xlfn.IFERROR(AS82*1000/(AS101+AS103),0)</f>
        <v>0</v>
      </c>
      <c r="AT106" s="2041">
        <f>_xlfn.IFERROR(AT82*1000/(AT101+AT103),0)</f>
        <v>0</v>
      </c>
      <c r="AU106" s="2041">
        <f>_xlfn.IFERROR(AU82*1000/(AU101+AU103),0)</f>
        <v>0</v>
      </c>
      <c r="AV106" s="2041">
        <f>_xlfn.IFERROR(AV82*1000/(AV101+AV103),0)</f>
        <v>0</v>
      </c>
      <c r="AW106" s="2041">
        <f>_xlfn.IFERROR(AW82*1000/(AW101+AW103),0)</f>
        <v>0</v>
      </c>
      <c r="AX106" s="2041">
        <f>_xlfn.IFERROR(AX82*1000/(AX101+AX103),0)</f>
        <v>0</v>
      </c>
      <c r="AY106" s="1730"/>
      <c r="AZ106" s="1730"/>
      <c r="BA106" s="1730"/>
      <c r="BB106" s="227"/>
      <c r="BC106" s="227"/>
      <c r="BD106" s="1232" t="s">
        <v>2042</v>
      </c>
      <c r="BE106" s="1232"/>
      <c r="BF106" s="1232"/>
      <c r="BG106" s="1233"/>
      <c r="BH106" s="1233"/>
      <c r="BI106" s="1268" cm="1" t="str">
        <f t="array" ref="BI106:BI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M10552::ТЭ.42.26824396.0005::Неопределено::Неопределено::Неопределено::Неопределено::Неопределено::Неопределено::Неопределено</v>
      </c>
    </row>
    <row s="1619" customFormat="1" customHeight="1" ht="33.75">
      <c r="A107" s="1183"/>
      <c r="B107" s="924"/>
      <c r="C107" s="1298" t="s">
        <v>1787</v>
      </c>
      <c r="D107" s="1317" t="s">
        <v>1788</v>
      </c>
      <c r="E107" s="794">
        <v>35</v>
      </c>
      <c r="F107" s="736" cm="1" t="str">
        <f t="array" ref="F107:F107">OFFSET(G107,-1,-1)</f>
        <v>2</v>
      </c>
      <c r="G107" s="227"/>
      <c r="H107" s="227"/>
      <c r="I107" s="227"/>
      <c r="J107" s="227"/>
      <c r="K107" s="227"/>
      <c r="L107" s="1284"/>
      <c r="M107" s="1284" cm="1" t="str">
        <f t="array" ref="M107:M107">OFFSET(L107,-1,1)</f>
        <v>ТЭ.42.26824396.0005</v>
      </c>
      <c r="N107" s="1284"/>
      <c r="O107" s="1284"/>
      <c r="P107" s="1284"/>
      <c r="Q107" s="1286"/>
      <c r="R107" s="1286"/>
      <c r="S107" s="1284"/>
      <c r="T107" s="805">
        <f>AND(F107&gt;0,OR(ISBLANK(Y107),Y107&gt;0))</f>
        <v>1</v>
      </c>
      <c r="U107" s="1461"/>
      <c r="V107" s="1461"/>
      <c r="W107" s="1461"/>
      <c r="X107" s="1461"/>
      <c r="Y107" s="1461"/>
      <c r="Z107" s="1461"/>
      <c r="AA107" s="227"/>
      <c r="AB107" s="170" t="s">
        <v>614</v>
      </c>
      <c r="AC107" s="320" t="s">
        <v>1790</v>
      </c>
      <c r="AD107" s="571" t="s">
        <v>1400</v>
      </c>
      <c r="AE107" s="308"/>
      <c r="AF107" s="308"/>
      <c r="AG107" s="308"/>
      <c r="AH107" s="308"/>
      <c r="AI107" s="308"/>
      <c r="AJ107" s="1785"/>
      <c r="AK107" s="1785"/>
      <c r="AL107" s="1785"/>
      <c r="AM107" s="1785"/>
      <c r="AN107" s="1785"/>
      <c r="AO107" s="308"/>
      <c r="AP107" s="308"/>
      <c r="AQ107" s="308"/>
      <c r="AR107" s="308"/>
      <c r="AS107" s="308"/>
      <c r="AT107" s="1785"/>
      <c r="AU107" s="1785"/>
      <c r="AV107" s="1785"/>
      <c r="AW107" s="1785"/>
      <c r="AX107" s="1785"/>
      <c r="AY107" s="1730"/>
      <c r="AZ107" s="1730"/>
      <c r="BA107" s="1730"/>
      <c r="BB107" s="227"/>
      <c r="BC107" s="227"/>
      <c r="BD107" s="1232" t="s">
        <v>1791</v>
      </c>
      <c r="BE107" s="1232"/>
      <c r="BF107" s="1232"/>
      <c r="BG107" s="1233"/>
      <c r="BH107" s="1233"/>
      <c r="BI107" s="1268" cm="1" t="str">
        <f t="array" ref="BI107:BI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M10591::ТЭ.42.26824396.0005::Неопределено::Неопределено::Неопределено::Неопределено::Неопределено::Неопределено::Неопределено</v>
      </c>
    </row>
    <row customHeight="1" ht="9.945">
      <c r="E108" s="794">
        <v>10.2</v>
      </c>
      <c r="U108" s="176" t="s">
        <v>235</v>
      </c>
      <c r="V108" s="168" t="s">
        <v>2043</v>
      </c>
      <c r="AE108" s="227"/>
      <c r="AF108" s="227"/>
      <c r="AG108" s="227"/>
      <c r="AH108" s="227"/>
      <c r="AI108" s="227"/>
      <c r="AJ108" s="227"/>
      <c r="AK108" s="227"/>
      <c r="AL108" s="227"/>
      <c r="AM108" s="227"/>
      <c r="AN108" s="227"/>
      <c r="AO108" s="227"/>
      <c r="AP108" s="227"/>
      <c r="AQ108" s="227"/>
      <c r="AR108" s="227"/>
      <c r="AS108" s="227"/>
      <c r="AT108" s="227"/>
      <c r="AU108" s="227"/>
      <c r="AV108" s="227"/>
      <c r="AW108" s="227"/>
      <c r="AX108" s="227"/>
    </row>
    <row customHeight="1" ht="11.25" hidden="1">
      <c r="E109" s="794">
        <v>0</v>
      </c>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row>
    <row customHeight="1" ht="14.625">
      <c r="E110" s="794">
        <v>15</v>
      </c>
      <c r="AB110" s="1527" t="s">
        <v>700</v>
      </c>
      <c r="AC110" s="1527"/>
      <c r="AD110" s="1527"/>
      <c r="AE110" s="1527"/>
      <c r="AF110" s="1527"/>
      <c r="AG110" s="1527"/>
      <c r="AH110" s="1527"/>
      <c r="AI110" s="1527"/>
      <c r="AJ110" s="1527"/>
      <c r="AK110" s="1527"/>
      <c r="AL110" s="1527"/>
      <c r="AM110" s="1527"/>
      <c r="AN110" s="1527"/>
      <c r="AO110" s="1527"/>
      <c r="AP110" s="1527"/>
      <c r="AQ110" s="1527"/>
      <c r="AR110" s="1527"/>
      <c r="AS110" s="1527"/>
      <c r="AT110" s="1527"/>
      <c r="AU110" s="1527"/>
      <c r="AV110" s="1527"/>
      <c r="AW110" s="1527"/>
      <c r="AX110" s="1527"/>
      <c r="AY110" s="1527"/>
      <c r="AZ110" s="1527"/>
      <c r="BA110" s="1527"/>
    </row>
    <row customHeight="1" ht="14.625">
      <c r="E111" s="794">
        <v>15</v>
      </c>
      <c r="AA111" s="918"/>
      <c r="AB111" s="1540"/>
      <c r="AC111" s="1541"/>
      <c r="AD111" s="1541"/>
      <c r="AE111" s="1541"/>
      <c r="AF111" s="1541"/>
      <c r="AG111" s="1541"/>
      <c r="AH111" s="1541"/>
      <c r="AI111" s="1541"/>
      <c r="AJ111" s="1541"/>
      <c r="AK111" s="1541"/>
      <c r="AL111" s="1541"/>
      <c r="AM111" s="1541"/>
      <c r="AN111" s="1541"/>
      <c r="AO111" s="1541"/>
      <c r="AP111" s="1541"/>
      <c r="AQ111" s="1541"/>
      <c r="AR111" s="1541"/>
      <c r="AS111" s="1541"/>
      <c r="AT111" s="1541"/>
      <c r="AU111" s="1541"/>
      <c r="AV111" s="1541"/>
      <c r="AW111" s="1541"/>
      <c r="AX111" s="1541"/>
      <c r="AY111" s="1541"/>
      <c r="AZ111" s="1541"/>
      <c r="BA111" s="1541"/>
    </row>
    <row customHeight="1" ht="14.625" hidden="1">
      <c r="A112" s="1183"/>
      <c r="B112" s="924"/>
      <c r="C112" s="1303"/>
      <c r="D112" s="1289"/>
      <c r="E112" s="794">
        <v>15</v>
      </c>
      <c r="F112" s="227"/>
      <c r="G112" s="227"/>
      <c r="H112" s="227"/>
      <c r="I112" s="227"/>
      <c r="J112" s="227"/>
      <c r="K112" s="227"/>
      <c r="L112" s="1330"/>
      <c r="M112" s="1330"/>
      <c r="N112" s="1330"/>
      <c r="O112" s="1330"/>
      <c r="P112" s="1330"/>
      <c r="Q112" s="1328"/>
      <c r="R112" s="1328"/>
      <c r="S112" s="1330"/>
      <c r="T112" s="805">
        <f>ROW(W112)&gt;ROW(W$112)</f>
        <v>0</v>
      </c>
      <c r="U112" s="1461"/>
      <c r="V112" s="1461"/>
      <c r="W112" s="172" t="s">
        <v>233</v>
      </c>
      <c r="X112" s="1461"/>
      <c r="Y112" s="1461"/>
      <c r="Z112" s="1461"/>
      <c r="AA112" s="914" t="s">
        <v>217</v>
      </c>
      <c r="AB112" s="1865"/>
      <c r="AC112" s="1541"/>
      <c r="AD112" s="1541"/>
      <c r="AE112" s="1541"/>
      <c r="AF112" s="1541"/>
      <c r="AG112" s="1541"/>
      <c r="AH112" s="1541"/>
      <c r="AI112" s="1541"/>
      <c r="AJ112" s="1541"/>
      <c r="AK112" s="1541"/>
      <c r="AL112" s="1541"/>
      <c r="AM112" s="1541"/>
      <c r="AN112" s="1541"/>
      <c r="AO112" s="1541"/>
      <c r="AP112" s="1541"/>
      <c r="AQ112" s="1541"/>
      <c r="AR112" s="1541"/>
      <c r="AS112" s="1541"/>
      <c r="AT112" s="1541"/>
      <c r="AU112" s="1541"/>
      <c r="AV112" s="1541"/>
      <c r="AW112" s="1541"/>
      <c r="AX112" s="1541"/>
      <c r="AY112" s="1541"/>
      <c r="AZ112" s="1541"/>
      <c r="BA112" s="1541"/>
      <c r="BB112" s="227"/>
      <c r="BC112" s="227"/>
      <c r="BD112" s="1232"/>
      <c r="BE112" s="1232"/>
      <c r="BF112" s="1232"/>
      <c r="BG112" s="1233"/>
      <c r="BH112" s="1233"/>
      <c r="BI112" s="1330"/>
    </row>
    <row customHeight="1" ht="14.625">
      <c r="E113" s="794">
        <v>15</v>
      </c>
      <c r="W113" s="168" t="s">
        <v>1202</v>
      </c>
      <c r="AA113" s="210"/>
      <c r="AB113" s="1475" t="s">
        <v>701</v>
      </c>
      <c r="AC113" s="1476"/>
      <c r="AD113" s="380"/>
      <c r="AE113" s="380"/>
      <c r="AF113" s="380"/>
      <c r="AG113" s="380"/>
      <c r="AH113" s="380"/>
      <c r="AI113" s="380"/>
      <c r="AJ113" s="380"/>
      <c r="AK113" s="380"/>
      <c r="AL113" s="380"/>
      <c r="AM113" s="380"/>
      <c r="AN113" s="380"/>
      <c r="AO113" s="380"/>
      <c r="AP113" s="380"/>
      <c r="AQ113" s="380"/>
      <c r="AR113" s="380"/>
      <c r="AS113" s="380"/>
      <c r="AT113" s="380"/>
      <c r="AU113" s="380"/>
      <c r="AV113" s="380"/>
      <c r="AW113" s="380"/>
      <c r="AX113" s="380"/>
      <c r="AY113" s="380"/>
      <c r="AZ113" s="380"/>
      <c r="BA113" s="347"/>
    </row>
    <row customHeight="1" ht="11.25">
      <c r="AE114" s="227"/>
      <c r="AF114" s="227"/>
      <c r="AG114" s="227"/>
      <c r="AH114" s="227"/>
      <c r="AI114" s="227"/>
      <c r="AJ114" s="227"/>
      <c r="AK114" s="227"/>
      <c r="AL114" s="227"/>
      <c r="AM114" s="227"/>
      <c r="AN114" s="227"/>
      <c r="AO114" s="227"/>
      <c r="AP114" s="227"/>
      <c r="AQ114" s="227"/>
      <c r="AR114" s="227"/>
      <c r="AS114" s="227"/>
      <c r="AT114" s="227"/>
      <c r="AU114" s="227"/>
      <c r="AV114" s="227"/>
      <c r="AW114" s="227"/>
      <c r="AX114" s="227"/>
      <c r="BB114" s="227"/>
    </row>
  </sheetData>
  <sheetProtection formatColumns="0" formatRows="0" insertRows="0" deleteColumns="0" deleteRows="0" sort="0" autoFilter="0" insertColumns="1"/>
  <mergeCells count="16">
    <mergeCell ref="X27:X53"/>
    <mergeCell ref="Z27:Z53"/>
    <mergeCell ref="AB110:BA110"/>
    <mergeCell ref="AB111:BA111"/>
    <mergeCell ref="AB112:BA112"/>
    <mergeCell ref="AZ24:AZ25"/>
    <mergeCell ref="BA24:BA25"/>
    <mergeCell ref="AB113:AC113"/>
    <mergeCell ref="AB24:AB25"/>
    <mergeCell ref="AC24:AC25"/>
    <mergeCell ref="AD24:AD25"/>
    <mergeCell ref="AY24:AY25"/>
    <mergeCell ref="X54:X80"/>
    <mergeCell ref="Z54:Z80"/>
    <mergeCell ref="X81:X107"/>
    <mergeCell ref="Z81:Z107"/>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AE82 AF82 AG82 AH82 AI82 AJ82 AK82 AL82 AM82 AN82 AO82 AP82 AQ82 AR82 AS82 AT82 AU82 AV82 AW82 AX82 AE84 AF84 AG84 AH84 AI84 AJ84 AK84 AL84 AM84 AN84 AO84 AP84 AQ84 AR84 AS84 AT84 AU84 AV84 AW84 AX84 AE85 AF85 AG85 AH85 AI85 AJ85 AK85 AL85 AM85 AN85 AO85 AP85 AQ85 AR85 AS85 AT85 AU85 AV85 AW85 AX85 AE86 AF86 AG86 AH86 AI86 AJ86 AK86 AL86 AM86 AN86 AO86 AP86 AQ86 AR86 AS86 AT86 AU86 AV86 AW86 AX86 AE87 AF87 AG87 AH87 AI87 AJ87 AK87 AL87 AM87 AN87 AO87 AP87 AQ87 AR87 AS87 AT87 AU87 AV87 AW87 AX87 AE88 AF88 AG88 AH88 AI88 AJ88 AK88 AL88 AM88 AN88 AO88 AP88 AQ88 AR88 AS88 AT88 AU88 AV88 AW88 AX88 AE89 AF89 AG89 AH89 AI89 AJ89 AK89 AL89 AM89 AN89 AO89 AP89 AQ89 AR89 AS89 AT89 AU89 AV89 AW89 AX89 AE90 AF90 AG90 AH90 AI90 AJ90 AK90 AL90 AM90 AN90 AO90 AP90 AQ90 AR90 AS90 AT90 AU90 AV90 AW90 AX90 AE91 AF91 AG91 AH91 AI91 AJ91 AK91 AL91 AM91 AN91 AO91 AP91 AQ91 AR91 AS91 AT91 AU91 AV91 AW91 AX91 AE92 AF92 AG92 AH92 AI92 AJ92 AK92 AL92 AM92 AN92 AO92 AP92 AQ92 AR92 AS92 AT92 AU92 AV92 AW92 AX92 AE93 AF93 AG93 AH93 AI93 AJ93 AK93 AL93 AM93 AN93 AO93 AP93 AQ93 AR93 AS93 AT93 AU93 AV93 AW93 AX93 AE95 AF95 AG95 AH95 AI95 AJ95 AK95 AL95 AM95 AN95 AO95 AP95 AQ95 AR95 AS95 AT95 AU95 AV95 AW95 AX95 AE96 AF96 AG96 AH96 AI96 AJ96 AK96 AL96 AM96 AN96 AO96 AP96 AQ96 AR96 AS96 AT96 AU96 AV96 AW96 AX96 AE98 AF98 AG98 AH98 AI98 AJ98 AK98 AL98 AM98 AN98 AO98 AP98 AQ98 AR98 AS98 AT98 AU98 AV98 AW98 AX98">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EE45D8-5085-E818-909C-E43DD6668F38}" mc:Ignorable="x14ac xr xr2 xr3">
  <sheetPr>
    <tabColor rgb="FF002060"/>
    <outlinePr summaryBelow="0"/>
  </sheetPr>
  <dimension ref="A1:BF9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9" style="217" width="12.6328125" customWidth="1"/>
    <col min="40" max="44" style="217" width="12.6328125" hidden="1" customWidth="1"/>
    <col min="45" max="49" style="217" width="12.6328125" customWidth="1"/>
    <col min="50"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376</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377</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K2" s="806">
        <f>AK6&lt;=last_year_vis</f>
        <v>1</v>
      </c>
      <c r="AL2" s="806">
        <f>AL6&lt;=last_year_vis</f>
        <v>1</v>
      </c>
      <c r="AM2" s="806">
        <f>AM6&lt;=last_year_vis</f>
        <v>1</v>
      </c>
      <c r="AN2" s="806">
        <f>AN6&lt;=last_year_vis</f>
        <v>0</v>
      </c>
      <c r="AO2" s="806">
        <f>AO6&lt;=last_year_vis</f>
        <v>0</v>
      </c>
      <c r="AP2" s="806">
        <f>AP6&lt;=last_year_vis</f>
        <v>0</v>
      </c>
      <c r="AQ2" s="806">
        <f>AQ6&lt;=last_year_vis</f>
        <v>0</v>
      </c>
      <c r="AR2" s="806">
        <f>AR6&lt;=last_year_vis</f>
        <v>0</v>
      </c>
      <c r="AS2" s="806">
        <f>AS6&lt;=last_year_vis</f>
        <v>1</v>
      </c>
      <c r="AT2" s="806">
        <f>AT6&lt;=last_year_vis</f>
        <v>1</v>
      </c>
      <c r="AU2" s="806">
        <f>AU6&lt;=last_year_vis</f>
        <v>1</v>
      </c>
      <c r="AV2" s="806">
        <f>AV6&lt;=last_year_vis</f>
        <v>1</v>
      </c>
      <c r="AW2" s="806">
        <f>AW6&lt;=last_year_vis</f>
        <v>1</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430</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431</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432</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2044</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390</v>
      </c>
      <c r="AC26" s="1472" t="s">
        <v>2045</v>
      </c>
      <c r="AD26" s="1472" t="s">
        <v>434</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587</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2046</v>
      </c>
      <c r="AF27" s="166" t="s">
        <v>407</v>
      </c>
      <c r="AG27" s="166" t="s">
        <v>2046</v>
      </c>
      <c r="AH27" s="319" t="s">
        <v>407</v>
      </c>
      <c r="AI27" s="1354" t="s">
        <v>408</v>
      </c>
      <c r="AJ27" s="1354" t="s">
        <v>408</v>
      </c>
      <c r="AK27" s="1354" t="s">
        <v>408</v>
      </c>
      <c r="AL27" s="1354" t="s">
        <v>408</v>
      </c>
      <c r="AM27" s="1354" t="s">
        <v>408</v>
      </c>
      <c r="AN27" s="1354" t="s">
        <v>408</v>
      </c>
      <c r="AO27" s="1354" t="s">
        <v>408</v>
      </c>
      <c r="AP27" s="1354" t="s">
        <v>408</v>
      </c>
      <c r="AQ27" s="1354" t="s">
        <v>408</v>
      </c>
      <c r="AR27" s="1354" t="s">
        <v>408</v>
      </c>
      <c r="AS27" s="410" t="s">
        <v>407</v>
      </c>
      <c r="AT27" s="410" t="s">
        <v>407</v>
      </c>
      <c r="AU27" s="410" t="s">
        <v>407</v>
      </c>
      <c r="AV27" s="410" t="s">
        <v>407</v>
      </c>
      <c r="AW27" s="410" t="s">
        <v>407</v>
      </c>
      <c r="AX27" s="410" t="s">
        <v>407</v>
      </c>
      <c r="AY27" s="410" t="s">
        <v>407</v>
      </c>
      <c r="AZ27" s="410" t="s">
        <v>407</v>
      </c>
      <c r="BA27" s="410" t="s">
        <v>407</v>
      </c>
      <c r="BB27" s="410" t="s">
        <v>407</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309</v>
      </c>
      <c r="X29" s="172">
        <v>0</v>
      </c>
      <c r="AB29" s="327" cm="1" t="str">
        <f t="array" ref="AB29:AB29">INDEX('Общие сведения'!$AG$169:$AG$218,MATCH($F29,'Общие сведения'!$Z$169:$Z$218,0))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2047</v>
      </c>
      <c r="AD30" s="315" t="s">
        <v>805</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3"/>
      <c r="BF30" s="1181" t="s">
        <v>592</v>
      </c>
    </row>
    <row customHeight="1" ht="16.672500000000003" hidden="1">
      <c r="E31" s="794">
        <v>17.1</v>
      </c>
      <c r="F31" s="919" cm="1" t="str">
        <f t="array" ref="F31:F31">OFFSET(G31,-1,-1)</f>
        <v>0</v>
      </c>
      <c r="T31" s="805" cm="1" t="str">
        <f t="array" ref="T31:T31">T30</f>
        <v>false</v>
      </c>
      <c r="AB31" s="166">
        <v>1</v>
      </c>
      <c r="AC31" s="312" t="s">
        <v>2048</v>
      </c>
      <c r="AD31" s="309" t="s">
        <v>805</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3"/>
      <c r="BF31" s="1181" t="s">
        <v>606</v>
      </c>
    </row>
    <row customHeight="1" ht="22.23" hidden="1">
      <c r="E32" s="794">
        <v>22.8</v>
      </c>
      <c r="F32" s="919" cm="1" t="str">
        <f t="array" ref="F32:F32">OFFSET(G32,-1,-1)</f>
        <v>0</v>
      </c>
      <c r="T32" s="805" cm="1" t="str">
        <f t="array" ref="T32:T32">T31</f>
        <v>false</v>
      </c>
      <c r="AB32" s="311" t="s">
        <v>442</v>
      </c>
      <c r="AC32" s="312" t="s">
        <v>2049</v>
      </c>
      <c r="AD32" s="309" t="s">
        <v>805</v>
      </c>
      <c r="AE32" s="98"/>
      <c r="AF32" s="98"/>
      <c r="AG32" s="98"/>
      <c r="AH32" s="98"/>
      <c r="AI32" s="308"/>
      <c r="AJ32" s="308"/>
      <c r="AK32" s="308"/>
      <c r="AL32" s="308"/>
      <c r="AM32" s="308"/>
      <c r="AN32" s="98"/>
      <c r="AO32" s="98"/>
      <c r="AP32" s="98"/>
      <c r="AQ32" s="98"/>
      <c r="AR32" s="98"/>
      <c r="AS32" s="308"/>
      <c r="AT32" s="308"/>
      <c r="AU32" s="308"/>
      <c r="AV32" s="308"/>
      <c r="AW32" s="308"/>
      <c r="AX32" s="98"/>
      <c r="AY32" s="98"/>
      <c r="AZ32" s="98"/>
      <c r="BA32" s="98"/>
      <c r="BB32" s="98"/>
      <c r="BC32" s="73"/>
      <c r="BF32" s="1181" t="s">
        <v>1370</v>
      </c>
    </row>
    <row customHeight="1" ht="33.345000000000006" hidden="1">
      <c r="E33" s="794">
        <v>34.2</v>
      </c>
      <c r="F33" s="919" cm="1" t="str">
        <f t="array" ref="F33:F33">OFFSET(G33,-1,-1)</f>
        <v>0</v>
      </c>
      <c r="T33" s="805" cm="1" t="str">
        <f t="array" ref="T33:T33">T32</f>
        <v>false</v>
      </c>
      <c r="AB33" s="311" t="s">
        <v>931</v>
      </c>
      <c r="AC33" s="312" t="s">
        <v>2050</v>
      </c>
      <c r="AD33" s="309" t="s">
        <v>805</v>
      </c>
      <c r="AE33" s="98"/>
      <c r="AF33" s="98"/>
      <c r="AG33" s="98"/>
      <c r="AH33" s="98"/>
      <c r="AI33" s="308"/>
      <c r="AJ33" s="308"/>
      <c r="AK33" s="308"/>
      <c r="AL33" s="308"/>
      <c r="AM33" s="308"/>
      <c r="AN33" s="98"/>
      <c r="AO33" s="98"/>
      <c r="AP33" s="98"/>
      <c r="AQ33" s="98"/>
      <c r="AR33" s="98"/>
      <c r="AS33" s="308"/>
      <c r="AT33" s="308"/>
      <c r="AU33" s="308"/>
      <c r="AV33" s="308"/>
      <c r="AW33" s="308"/>
      <c r="AX33" s="98"/>
      <c r="AY33" s="98"/>
      <c r="AZ33" s="98"/>
      <c r="BA33" s="98"/>
      <c r="BB33" s="98"/>
      <c r="BC33" s="73"/>
      <c r="BF33" s="1181" t="s">
        <v>2051</v>
      </c>
    </row>
    <row customHeight="1" ht="16.672500000000003" hidden="1">
      <c r="E34" s="794">
        <v>17.1</v>
      </c>
      <c r="F34" s="919" cm="1" t="str">
        <f t="array" ref="F34:F34">OFFSET(G34,-1,-1)</f>
        <v>0</v>
      </c>
      <c r="T34" s="805" cm="1" t="str">
        <f t="array" ref="T34:T34">T33</f>
        <v>false</v>
      </c>
      <c r="AB34" s="311" t="s">
        <v>933</v>
      </c>
      <c r="AC34" s="312" t="s">
        <v>2052</v>
      </c>
      <c r="AD34" s="309" t="s">
        <v>805</v>
      </c>
      <c r="AE34" s="98"/>
      <c r="AF34" s="98"/>
      <c r="AG34" s="98"/>
      <c r="AH34" s="98"/>
      <c r="AI34" s="308"/>
      <c r="AJ34" s="308"/>
      <c r="AK34" s="308"/>
      <c r="AL34" s="308"/>
      <c r="AM34" s="308"/>
      <c r="AN34" s="98"/>
      <c r="AO34" s="98"/>
      <c r="AP34" s="98"/>
      <c r="AQ34" s="98"/>
      <c r="AR34" s="98"/>
      <c r="AS34" s="308"/>
      <c r="AT34" s="308"/>
      <c r="AU34" s="308"/>
      <c r="AV34" s="308"/>
      <c r="AW34" s="308"/>
      <c r="AX34" s="98"/>
      <c r="AY34" s="98"/>
      <c r="AZ34" s="98"/>
      <c r="BA34" s="98"/>
      <c r="BB34" s="98"/>
      <c r="BC34" s="73"/>
      <c r="BF34" s="1181" t="s">
        <v>1378</v>
      </c>
    </row>
    <row customHeight="1" ht="22.23" hidden="1">
      <c r="E35" s="794">
        <v>22.8</v>
      </c>
      <c r="F35" s="919" cm="1" t="str">
        <f t="array" ref="F35:F35">OFFSET(G35,-1,-1)</f>
        <v>0</v>
      </c>
      <c r="T35" s="805" cm="1" t="str">
        <f t="array" ref="T35:T35">T34</f>
        <v>false</v>
      </c>
      <c r="AB35" s="311" t="s">
        <v>1165</v>
      </c>
      <c r="AC35" s="312" t="s">
        <v>2053</v>
      </c>
      <c r="AD35" s="309" t="s">
        <v>805</v>
      </c>
      <c r="AE35" s="98"/>
      <c r="AF35" s="98"/>
      <c r="AG35" s="98"/>
      <c r="AH35" s="98"/>
      <c r="AI35" s="308"/>
      <c r="AJ35" s="308"/>
      <c r="AK35" s="308"/>
      <c r="AL35" s="308"/>
      <c r="AM35" s="308"/>
      <c r="AN35" s="98"/>
      <c r="AO35" s="98"/>
      <c r="AP35" s="98"/>
      <c r="AQ35" s="98"/>
      <c r="AR35" s="98"/>
      <c r="AS35" s="308"/>
      <c r="AT35" s="308"/>
      <c r="AU35" s="308"/>
      <c r="AV35" s="308"/>
      <c r="AW35" s="308"/>
      <c r="AX35" s="98"/>
      <c r="AY35" s="98"/>
      <c r="AZ35" s="98"/>
      <c r="BA35" s="98"/>
      <c r="BB35" s="98"/>
      <c r="BC35" s="73"/>
      <c r="BF35" s="1181" t="s">
        <v>2054</v>
      </c>
    </row>
    <row customHeight="1" ht="55.57500000000001" hidden="1">
      <c r="E36" s="794">
        <v>57</v>
      </c>
      <c r="F36" s="919" cm="1" t="str">
        <f t="array" ref="F36:F36">OFFSET(G36,-1,-1)</f>
        <v>0</v>
      </c>
      <c r="T36" s="805" cm="1" t="str">
        <f t="array" ref="T36:T36">T35</f>
        <v>false</v>
      </c>
      <c r="AB36" s="311" t="s">
        <v>1169</v>
      </c>
      <c r="AC36" s="312" t="s">
        <v>2055</v>
      </c>
      <c r="AD36" s="309" t="s">
        <v>805</v>
      </c>
      <c r="AE36" s="98"/>
      <c r="AF36" s="98"/>
      <c r="AG36" s="98"/>
      <c r="AH36" s="98"/>
      <c r="AI36" s="308"/>
      <c r="AJ36" s="308"/>
      <c r="AK36" s="308"/>
      <c r="AL36" s="308"/>
      <c r="AM36" s="308"/>
      <c r="AN36" s="98"/>
      <c r="AO36" s="98"/>
      <c r="AP36" s="98"/>
      <c r="AQ36" s="98"/>
      <c r="AR36" s="98"/>
      <c r="AS36" s="308"/>
      <c r="AT36" s="308"/>
      <c r="AU36" s="308"/>
      <c r="AV36" s="308"/>
      <c r="AW36" s="308"/>
      <c r="AX36" s="98"/>
      <c r="AY36" s="98"/>
      <c r="AZ36" s="98"/>
      <c r="BA36" s="98"/>
      <c r="BB36" s="98"/>
      <c r="BC36" s="73"/>
      <c r="BF36" s="1181" t="s">
        <v>2056</v>
      </c>
    </row>
    <row customHeight="1" ht="44.46" hidden="1">
      <c r="E37" s="794">
        <v>45.6</v>
      </c>
      <c r="F37" s="919" cm="1" t="str">
        <f t="array" ref="F37:F37">OFFSET(G37,-1,-1)</f>
        <v>0</v>
      </c>
      <c r="T37" s="805" cm="1" t="str">
        <f t="array" ref="T37:T37">T36</f>
        <v>false</v>
      </c>
      <c r="AB37" s="311" t="s">
        <v>937</v>
      </c>
      <c r="AC37" s="312" t="s">
        <v>2057</v>
      </c>
      <c r="AD37" s="309" t="s">
        <v>805</v>
      </c>
      <c r="AE37" s="98"/>
      <c r="AF37" s="98"/>
      <c r="AG37" s="98"/>
      <c r="AH37" s="98"/>
      <c r="AI37" s="308"/>
      <c r="AJ37" s="308"/>
      <c r="AK37" s="308"/>
      <c r="AL37" s="308"/>
      <c r="AM37" s="308"/>
      <c r="AN37" s="98"/>
      <c r="AO37" s="98"/>
      <c r="AP37" s="98"/>
      <c r="AQ37" s="98"/>
      <c r="AR37" s="98"/>
      <c r="AS37" s="308"/>
      <c r="AT37" s="308"/>
      <c r="AU37" s="308"/>
      <c r="AV37" s="308"/>
      <c r="AW37" s="308"/>
      <c r="AX37" s="98"/>
      <c r="AY37" s="98"/>
      <c r="AZ37" s="98"/>
      <c r="BA37" s="98"/>
      <c r="BB37" s="98"/>
      <c r="BC37" s="73"/>
      <c r="BF37" s="1181" t="s">
        <v>2058</v>
      </c>
    </row>
    <row customHeight="1" ht="22.23" hidden="1">
      <c r="E38" s="794">
        <v>22.8</v>
      </c>
      <c r="F38" s="919" cm="1" t="str">
        <f t="array" ref="F38:F38">OFFSET(G38,-1,-1)</f>
        <v>0</v>
      </c>
      <c r="T38" s="805" cm="1" t="str">
        <f t="array" ref="T38:T38">T37</f>
        <v>false</v>
      </c>
      <c r="AB38" s="311" t="s">
        <v>1042</v>
      </c>
      <c r="AC38" s="312" t="s">
        <v>2059</v>
      </c>
      <c r="AD38" s="309" t="s">
        <v>805</v>
      </c>
      <c r="AE38" s="98"/>
      <c r="AF38" s="98"/>
      <c r="AG38" s="98"/>
      <c r="AH38" s="98"/>
      <c r="AI38" s="308"/>
      <c r="AJ38" s="308"/>
      <c r="AK38" s="308"/>
      <c r="AL38" s="308"/>
      <c r="AM38" s="308"/>
      <c r="AN38" s="98"/>
      <c r="AO38" s="98"/>
      <c r="AP38" s="98"/>
      <c r="AQ38" s="98"/>
      <c r="AR38" s="98"/>
      <c r="AS38" s="308"/>
      <c r="AT38" s="308"/>
      <c r="AU38" s="308"/>
      <c r="AV38" s="308"/>
      <c r="AW38" s="308"/>
      <c r="AX38" s="98"/>
      <c r="AY38" s="98"/>
      <c r="AZ38" s="98"/>
      <c r="BA38" s="98"/>
      <c r="BB38" s="98"/>
      <c r="BC38" s="73"/>
      <c r="BF38" s="1181" t="s">
        <v>1163</v>
      </c>
    </row>
    <row customHeight="1" ht="22.23" hidden="1">
      <c r="E39" s="794">
        <v>22.8</v>
      </c>
      <c r="F39" s="919" cm="1" t="str">
        <f t="array" ref="F39:F39">OFFSET(G39,-1,-1)</f>
        <v>0</v>
      </c>
      <c r="T39" s="805" cm="1" t="str">
        <f t="array" ref="T39:T39">T38</f>
        <v>false</v>
      </c>
      <c r="AB39" s="311" t="s">
        <v>343</v>
      </c>
      <c r="AC39" s="312" t="s">
        <v>2060</v>
      </c>
      <c r="AD39" s="309" t="s">
        <v>805</v>
      </c>
      <c r="AE39" s="98"/>
      <c r="AF39" s="98"/>
      <c r="AG39" s="98"/>
      <c r="AH39" s="98"/>
      <c r="AI39" s="308"/>
      <c r="AJ39" s="308"/>
      <c r="AK39" s="308"/>
      <c r="AL39" s="308"/>
      <c r="AM39" s="308"/>
      <c r="AN39" s="98"/>
      <c r="AO39" s="98"/>
      <c r="AP39" s="98"/>
      <c r="AQ39" s="98"/>
      <c r="AR39" s="98"/>
      <c r="AS39" s="308"/>
      <c r="AT39" s="308"/>
      <c r="AU39" s="308"/>
      <c r="AV39" s="308"/>
      <c r="AW39" s="308"/>
      <c r="AX39" s="98"/>
      <c r="AY39" s="98"/>
      <c r="AZ39" s="98"/>
      <c r="BA39" s="98"/>
      <c r="BB39" s="98"/>
      <c r="BC39" s="73"/>
      <c r="BF39" s="1181" t="s">
        <v>1268</v>
      </c>
    </row>
    <row customHeight="1" ht="16.672500000000003" hidden="1">
      <c r="E40" s="794">
        <v>17.1</v>
      </c>
      <c r="F40" s="919" cm="1" t="str">
        <f t="array" ref="F40:F40">OFFSET(G40,-1,-1)</f>
        <v>0</v>
      </c>
      <c r="T40" s="805" cm="1" t="str">
        <f t="array" ref="T40:T40">T39</f>
        <v>false</v>
      </c>
      <c r="AB40" s="311" t="s">
        <v>614</v>
      </c>
      <c r="AC40" s="312" t="s">
        <v>2061</v>
      </c>
      <c r="AD40" s="309" t="s">
        <v>805</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3"/>
      <c r="BF40" s="1181" t="s">
        <v>2062</v>
      </c>
    </row>
    <row customHeight="1" ht="16.672500000000003" hidden="1">
      <c r="E41" s="794">
        <v>17.1</v>
      </c>
      <c r="F41" s="919" cm="1" t="str">
        <f t="array" ref="F41:F41">OFFSET(G41,-1,-1)</f>
        <v>0</v>
      </c>
      <c r="T41" s="805" cm="1" t="str">
        <f t="array" ref="T41:T41">T40</f>
        <v>false</v>
      </c>
      <c r="AB41" s="311" t="s">
        <v>710</v>
      </c>
      <c r="AC41" s="313" t="s">
        <v>2063</v>
      </c>
      <c r="AD41" s="309" t="s">
        <v>805</v>
      </c>
      <c r="AE41" s="98"/>
      <c r="AF41" s="98"/>
      <c r="AG41" s="98"/>
      <c r="AH41" s="98"/>
      <c r="AI41" s="308"/>
      <c r="AJ41" s="308"/>
      <c r="AK41" s="308"/>
      <c r="AL41" s="308"/>
      <c r="AM41" s="308"/>
      <c r="AN41" s="98"/>
      <c r="AO41" s="98"/>
      <c r="AP41" s="98"/>
      <c r="AQ41" s="98"/>
      <c r="AR41" s="98"/>
      <c r="AS41" s="308"/>
      <c r="AT41" s="308"/>
      <c r="AU41" s="308"/>
      <c r="AV41" s="308"/>
      <c r="AW41" s="308"/>
      <c r="AX41" s="98"/>
      <c r="AY41" s="98"/>
      <c r="AZ41" s="98"/>
      <c r="BA41" s="98"/>
      <c r="BB41" s="98"/>
      <c r="BC41" s="73"/>
      <c r="BF41" s="1181" t="s">
        <v>1372</v>
      </c>
    </row>
    <row customHeight="1" ht="16.672500000000003" hidden="1">
      <c r="E42" s="794">
        <v>17.1</v>
      </c>
      <c r="F42" s="919" cm="1" t="str">
        <f t="array" ref="F42:F42">OFFSET(G42,-1,-1)</f>
        <v>0</v>
      </c>
      <c r="T42" s="805" cm="1" t="str">
        <f t="array" ref="T42:T42">T41</f>
        <v>false</v>
      </c>
      <c r="AB42" s="311" t="s">
        <v>713</v>
      </c>
      <c r="AC42" s="313" t="s">
        <v>2064</v>
      </c>
      <c r="AD42" s="309" t="s">
        <v>805</v>
      </c>
      <c r="AE42" s="98"/>
      <c r="AF42" s="98"/>
      <c r="AG42" s="98"/>
      <c r="AH42" s="98"/>
      <c r="AI42" s="308"/>
      <c r="AJ42" s="308"/>
      <c r="AK42" s="308"/>
      <c r="AL42" s="308"/>
      <c r="AM42" s="308"/>
      <c r="AN42" s="98"/>
      <c r="AO42" s="98"/>
      <c r="AP42" s="98"/>
      <c r="AQ42" s="98"/>
      <c r="AR42" s="98"/>
      <c r="AS42" s="308"/>
      <c r="AT42" s="308"/>
      <c r="AU42" s="308"/>
      <c r="AV42" s="308"/>
      <c r="AW42" s="308"/>
      <c r="AX42" s="98"/>
      <c r="AY42" s="98"/>
      <c r="AZ42" s="98"/>
      <c r="BA42" s="98"/>
      <c r="BB42" s="98"/>
      <c r="BC42" s="73"/>
      <c r="BF42" s="1181" t="s">
        <v>2065</v>
      </c>
    </row>
    <row customHeight="1" ht="16.672500000000003" hidden="1">
      <c r="E43" s="794">
        <v>17.1</v>
      </c>
      <c r="F43" s="919" cm="1" t="str">
        <f t="array" ref="F43:F43">OFFSET(G43,-1,-1)</f>
        <v>0</v>
      </c>
      <c r="T43" s="805" cm="1" t="str">
        <f t="array" ref="T43:T43">T42</f>
        <v>false</v>
      </c>
      <c r="AB43" s="311" t="s">
        <v>1906</v>
      </c>
      <c r="AC43" s="313" t="s">
        <v>2066</v>
      </c>
      <c r="AD43" s="309" t="s">
        <v>805</v>
      </c>
      <c r="AE43" s="98"/>
      <c r="AF43" s="98"/>
      <c r="AG43" s="98"/>
      <c r="AH43" s="98"/>
      <c r="AI43" s="308"/>
      <c r="AJ43" s="308"/>
      <c r="AK43" s="308"/>
      <c r="AL43" s="308"/>
      <c r="AM43" s="308"/>
      <c r="AN43" s="98"/>
      <c r="AO43" s="98"/>
      <c r="AP43" s="98"/>
      <c r="AQ43" s="98"/>
      <c r="AR43" s="98"/>
      <c r="AS43" s="308"/>
      <c r="AT43" s="308"/>
      <c r="AU43" s="308"/>
      <c r="AV43" s="308"/>
      <c r="AW43" s="308"/>
      <c r="AX43" s="98"/>
      <c r="AY43" s="98"/>
      <c r="AZ43" s="98"/>
      <c r="BA43" s="98"/>
      <c r="BB43" s="98"/>
      <c r="BC43" s="73"/>
      <c r="BF43" s="1181" t="s">
        <v>2067</v>
      </c>
    </row>
    <row customHeight="1" ht="16.672500000000003" hidden="1">
      <c r="E44" s="794">
        <v>17.1</v>
      </c>
      <c r="F44" s="919" cm="1" t="str">
        <f t="array" ref="F44:F44">OFFSET(G44,-1,-1)</f>
        <v>0</v>
      </c>
      <c r="T44" s="805" cm="1" t="str">
        <f t="array" ref="T44:T44">T43</f>
        <v>false</v>
      </c>
      <c r="AB44" s="311" t="s">
        <v>624</v>
      </c>
      <c r="AC44" s="312" t="s">
        <v>2068</v>
      </c>
      <c r="AD44" s="309" t="s">
        <v>805</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3"/>
      <c r="BF44" s="1181" t="s">
        <v>1791</v>
      </c>
    </row>
    <row customHeight="1" ht="16.672500000000003" hidden="1">
      <c r="E45" s="794">
        <v>17.1</v>
      </c>
      <c r="F45" s="919" cm="1" t="str">
        <f t="array" ref="F45:F45">OFFSET(G45,-1,-1)</f>
        <v>0</v>
      </c>
      <c r="T45" s="805" cm="1" t="str">
        <f t="array" ref="T45:T45">T44</f>
        <v>false</v>
      </c>
      <c r="AB45" s="311" t="s">
        <v>746</v>
      </c>
      <c r="AC45" s="313" t="s">
        <v>2069</v>
      </c>
      <c r="AD45" s="309" t="s">
        <v>805</v>
      </c>
      <c r="AE45" s="98"/>
      <c r="AF45" s="98"/>
      <c r="AG45" s="98"/>
      <c r="AH45" s="98"/>
      <c r="AI45" s="308"/>
      <c r="AJ45" s="308"/>
      <c r="AK45" s="308"/>
      <c r="AL45" s="308"/>
      <c r="AM45" s="308"/>
      <c r="AN45" s="98"/>
      <c r="AO45" s="98"/>
      <c r="AP45" s="98"/>
      <c r="AQ45" s="98"/>
      <c r="AR45" s="98"/>
      <c r="AS45" s="308"/>
      <c r="AT45" s="308"/>
      <c r="AU45" s="308"/>
      <c r="AV45" s="308"/>
      <c r="AW45" s="308"/>
      <c r="AX45" s="98"/>
      <c r="AY45" s="98"/>
      <c r="AZ45" s="98"/>
      <c r="BA45" s="98"/>
      <c r="BB45" s="98"/>
      <c r="BC45" s="73"/>
      <c r="BF45" s="1181" t="s">
        <v>2070</v>
      </c>
    </row>
    <row customHeight="1" ht="16.672500000000003" hidden="1">
      <c r="E46" s="794">
        <v>17.1</v>
      </c>
      <c r="F46" s="919" cm="1" t="str">
        <f t="array" ref="F46:F46">OFFSET(G46,-1,-1)</f>
        <v>0</v>
      </c>
      <c r="T46" s="805" cm="1" t="str">
        <f t="array" ref="T46:T46">T45</f>
        <v>false</v>
      </c>
      <c r="AB46" s="311" t="s">
        <v>1607</v>
      </c>
      <c r="AC46" s="313" t="s">
        <v>2071</v>
      </c>
      <c r="AD46" s="309" t="s">
        <v>805</v>
      </c>
      <c r="AE46" s="98"/>
      <c r="AF46" s="98"/>
      <c r="AG46" s="98"/>
      <c r="AH46" s="98"/>
      <c r="AI46" s="308"/>
      <c r="AJ46" s="308"/>
      <c r="AK46" s="308"/>
      <c r="AL46" s="308"/>
      <c r="AM46" s="308"/>
      <c r="AN46" s="98"/>
      <c r="AO46" s="98"/>
      <c r="AP46" s="98"/>
      <c r="AQ46" s="98"/>
      <c r="AR46" s="98"/>
      <c r="AS46" s="308"/>
      <c r="AT46" s="308"/>
      <c r="AU46" s="308"/>
      <c r="AV46" s="308"/>
      <c r="AW46" s="308"/>
      <c r="AX46" s="98"/>
      <c r="AY46" s="98"/>
      <c r="AZ46" s="98"/>
      <c r="BA46" s="98"/>
      <c r="BB46" s="98"/>
      <c r="BC46" s="73"/>
      <c r="BF46" s="1181" t="s">
        <v>2072</v>
      </c>
    </row>
    <row customHeight="1" ht="16.672500000000003" hidden="1">
      <c r="E47" s="794">
        <v>17.1</v>
      </c>
      <c r="F47" s="919" cm="1" t="str">
        <f t="array" ref="F47:F47">OFFSET(G47,-1,-1)</f>
        <v>0</v>
      </c>
      <c r="T47" s="805" cm="1" t="str">
        <f t="array" ref="T47:T47">T46</f>
        <v>false</v>
      </c>
      <c r="AB47" s="311" t="s">
        <v>1662</v>
      </c>
      <c r="AC47" s="313" t="s">
        <v>2073</v>
      </c>
      <c r="AD47" s="309" t="s">
        <v>805</v>
      </c>
      <c r="AE47" s="98"/>
      <c r="AF47" s="98"/>
      <c r="AG47" s="98"/>
      <c r="AH47" s="98"/>
      <c r="AI47" s="308"/>
      <c r="AJ47" s="308"/>
      <c r="AK47" s="308"/>
      <c r="AL47" s="308"/>
      <c r="AM47" s="308"/>
      <c r="AN47" s="98"/>
      <c r="AO47" s="98"/>
      <c r="AP47" s="98"/>
      <c r="AQ47" s="98"/>
      <c r="AR47" s="98"/>
      <c r="AS47" s="308"/>
      <c r="AT47" s="308"/>
      <c r="AU47" s="308"/>
      <c r="AV47" s="308"/>
      <c r="AW47" s="308"/>
      <c r="AX47" s="98"/>
      <c r="AY47" s="98"/>
      <c r="AZ47" s="98"/>
      <c r="BA47" s="98"/>
      <c r="BB47" s="98"/>
      <c r="BC47" s="73"/>
      <c r="BF47" s="1181" t="s">
        <v>2074</v>
      </c>
    </row>
    <row customHeight="1" ht="16.672500000000003" hidden="1">
      <c r="E48" s="794">
        <v>17.1</v>
      </c>
      <c r="F48" s="919" cm="1" t="str">
        <f t="array" ref="F48:F48">OFFSET(G48,-1,-1)</f>
        <v>0</v>
      </c>
      <c r="T48" s="805" cm="1" t="str">
        <f t="array" ref="T48:T48">T47</f>
        <v>false</v>
      </c>
      <c r="AB48" s="311" t="s">
        <v>629</v>
      </c>
      <c r="AC48" s="313" t="s">
        <v>2075</v>
      </c>
      <c r="AD48" s="309" t="s">
        <v>805</v>
      </c>
      <c r="AE48" s="98"/>
      <c r="AF48" s="98"/>
      <c r="AG48" s="98"/>
      <c r="AH48" s="98"/>
      <c r="AI48" s="308"/>
      <c r="AJ48" s="308"/>
      <c r="AK48" s="308"/>
      <c r="AL48" s="308"/>
      <c r="AM48" s="308"/>
      <c r="AN48" s="98"/>
      <c r="AO48" s="98"/>
      <c r="AP48" s="98"/>
      <c r="AQ48" s="98"/>
      <c r="AR48" s="98"/>
      <c r="AS48" s="308"/>
      <c r="AT48" s="308"/>
      <c r="AU48" s="308"/>
      <c r="AV48" s="308"/>
      <c r="AW48" s="308"/>
      <c r="AX48" s="98"/>
      <c r="AY48" s="98"/>
      <c r="AZ48" s="98"/>
      <c r="BA48" s="98"/>
      <c r="BB48" s="98"/>
      <c r="BC48" s="73"/>
      <c r="BF48" s="1181" t="s">
        <v>2076</v>
      </c>
    </row>
    <row s="1619"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W49" s="1461"/>
      <c r="X49" s="172" t="s">
        <v>335</v>
      </c>
      <c r="Y49" s="1461"/>
      <c r="Z49" s="1461"/>
      <c r="AA49" s="217"/>
      <c r="AB49" s="327" cm="1" t="str">
        <f t="array" ref="AB49:AB49">IF(ISBLANK('Калькуляция (МСА)'!$AB$54),"",'Калькуляция (МСА)'!$AB$54)</f>
        <v>Тариф 1 (Теплоснабжение) - Тариф на тепловую энергию (мощность), поставляемую потребителям (Тариф: Носитель - горячая вода (Т); Носитель - горячая вода (Т))</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2046"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2047</v>
      </c>
      <c r="AD50" s="315" t="s">
        <v>805</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30"/>
      <c r="BD50" s="316"/>
      <c r="BE50" s="316"/>
      <c r="BF50" s="1181" t="s">
        <v>592</v>
      </c>
    </row>
    <row s="1619"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2048</v>
      </c>
      <c r="AD51" s="309" t="s">
        <v>805</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30"/>
      <c r="BD51" s="217"/>
      <c r="BE51" s="217"/>
      <c r="BF51" s="1181" t="s">
        <v>606</v>
      </c>
    </row>
    <row s="1619"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442</v>
      </c>
      <c r="AC52" s="312" t="s">
        <v>2049</v>
      </c>
      <c r="AD52" s="309" t="s">
        <v>805</v>
      </c>
      <c r="AE52" s="1785"/>
      <c r="AF52" s="1785"/>
      <c r="AG52" s="1785"/>
      <c r="AH52" s="1785"/>
      <c r="AI52" s="308"/>
      <c r="AJ52" s="308"/>
      <c r="AK52" s="308"/>
      <c r="AL52" s="308"/>
      <c r="AM52" s="308"/>
      <c r="AN52" s="1785"/>
      <c r="AO52" s="1785"/>
      <c r="AP52" s="1785"/>
      <c r="AQ52" s="1785"/>
      <c r="AR52" s="1785"/>
      <c r="AS52" s="308"/>
      <c r="AT52" s="308"/>
      <c r="AU52" s="308"/>
      <c r="AV52" s="308"/>
      <c r="AW52" s="308"/>
      <c r="AX52" s="1785"/>
      <c r="AY52" s="1785"/>
      <c r="AZ52" s="1785"/>
      <c r="BA52" s="1785"/>
      <c r="BB52" s="1785"/>
      <c r="BC52" s="1730"/>
      <c r="BD52" s="217"/>
      <c r="BE52" s="217"/>
      <c r="BF52" s="1181" t="s">
        <v>1370</v>
      </c>
    </row>
    <row s="1619"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931</v>
      </c>
      <c r="AC53" s="312" t="s">
        <v>2050</v>
      </c>
      <c r="AD53" s="309" t="s">
        <v>805</v>
      </c>
      <c r="AE53" s="1785"/>
      <c r="AF53" s="1785"/>
      <c r="AG53" s="1785"/>
      <c r="AH53" s="1785"/>
      <c r="AI53" s="308"/>
      <c r="AJ53" s="308"/>
      <c r="AK53" s="308"/>
      <c r="AL53" s="308"/>
      <c r="AM53" s="308"/>
      <c r="AN53" s="1785"/>
      <c r="AO53" s="1785"/>
      <c r="AP53" s="1785"/>
      <c r="AQ53" s="1785"/>
      <c r="AR53" s="1785"/>
      <c r="AS53" s="308"/>
      <c r="AT53" s="308"/>
      <c r="AU53" s="308"/>
      <c r="AV53" s="308"/>
      <c r="AW53" s="308"/>
      <c r="AX53" s="1785"/>
      <c r="AY53" s="1785"/>
      <c r="AZ53" s="1785"/>
      <c r="BA53" s="1785"/>
      <c r="BB53" s="1785"/>
      <c r="BC53" s="1730"/>
      <c r="BD53" s="217"/>
      <c r="BE53" s="217"/>
      <c r="BF53" s="1181" t="s">
        <v>2051</v>
      </c>
    </row>
    <row s="1619"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933</v>
      </c>
      <c r="AC54" s="312" t="s">
        <v>2052</v>
      </c>
      <c r="AD54" s="309" t="s">
        <v>805</v>
      </c>
      <c r="AE54" s="1785"/>
      <c r="AF54" s="1785"/>
      <c r="AG54" s="1785"/>
      <c r="AH54" s="1785"/>
      <c r="AI54" s="308"/>
      <c r="AJ54" s="308"/>
      <c r="AK54" s="308"/>
      <c r="AL54" s="308"/>
      <c r="AM54" s="308"/>
      <c r="AN54" s="1785"/>
      <c r="AO54" s="1785"/>
      <c r="AP54" s="1785"/>
      <c r="AQ54" s="1785"/>
      <c r="AR54" s="1785"/>
      <c r="AS54" s="308"/>
      <c r="AT54" s="308"/>
      <c r="AU54" s="308"/>
      <c r="AV54" s="308"/>
      <c r="AW54" s="308"/>
      <c r="AX54" s="1785"/>
      <c r="AY54" s="1785"/>
      <c r="AZ54" s="1785"/>
      <c r="BA54" s="1785"/>
      <c r="BB54" s="1785"/>
      <c r="BC54" s="1730"/>
      <c r="BD54" s="217"/>
      <c r="BE54" s="217"/>
      <c r="BF54" s="1181" t="s">
        <v>1378</v>
      </c>
    </row>
    <row s="1619"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1165</v>
      </c>
      <c r="AC55" s="312" t="s">
        <v>2053</v>
      </c>
      <c r="AD55" s="309" t="s">
        <v>805</v>
      </c>
      <c r="AE55" s="1785"/>
      <c r="AF55" s="1785"/>
      <c r="AG55" s="1785"/>
      <c r="AH55" s="1785"/>
      <c r="AI55" s="308"/>
      <c r="AJ55" s="308"/>
      <c r="AK55" s="308"/>
      <c r="AL55" s="308"/>
      <c r="AM55" s="308"/>
      <c r="AN55" s="1785"/>
      <c r="AO55" s="1785"/>
      <c r="AP55" s="1785"/>
      <c r="AQ55" s="1785"/>
      <c r="AR55" s="1785"/>
      <c r="AS55" s="308"/>
      <c r="AT55" s="308"/>
      <c r="AU55" s="308"/>
      <c r="AV55" s="308"/>
      <c r="AW55" s="308"/>
      <c r="AX55" s="1785"/>
      <c r="AY55" s="1785"/>
      <c r="AZ55" s="1785"/>
      <c r="BA55" s="1785"/>
      <c r="BB55" s="1785"/>
      <c r="BC55" s="1730"/>
      <c r="BD55" s="217"/>
      <c r="BE55" s="217"/>
      <c r="BF55" s="1181" t="s">
        <v>2054</v>
      </c>
    </row>
    <row s="1619"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1169</v>
      </c>
      <c r="AC56" s="312" t="s">
        <v>2055</v>
      </c>
      <c r="AD56" s="309" t="s">
        <v>805</v>
      </c>
      <c r="AE56" s="1785"/>
      <c r="AF56" s="1785"/>
      <c r="AG56" s="1785"/>
      <c r="AH56" s="1785"/>
      <c r="AI56" s="308"/>
      <c r="AJ56" s="308"/>
      <c r="AK56" s="308"/>
      <c r="AL56" s="308"/>
      <c r="AM56" s="308"/>
      <c r="AN56" s="1785"/>
      <c r="AO56" s="1785"/>
      <c r="AP56" s="1785"/>
      <c r="AQ56" s="1785"/>
      <c r="AR56" s="1785"/>
      <c r="AS56" s="308"/>
      <c r="AT56" s="308"/>
      <c r="AU56" s="308"/>
      <c r="AV56" s="308"/>
      <c r="AW56" s="308"/>
      <c r="AX56" s="1785"/>
      <c r="AY56" s="1785"/>
      <c r="AZ56" s="1785"/>
      <c r="BA56" s="1785"/>
      <c r="BB56" s="1785"/>
      <c r="BC56" s="1730"/>
      <c r="BD56" s="217"/>
      <c r="BE56" s="217"/>
      <c r="BF56" s="1181" t="s">
        <v>2056</v>
      </c>
    </row>
    <row s="1619"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937</v>
      </c>
      <c r="AC57" s="312" t="s">
        <v>2057</v>
      </c>
      <c r="AD57" s="309" t="s">
        <v>805</v>
      </c>
      <c r="AE57" s="1785"/>
      <c r="AF57" s="1785"/>
      <c r="AG57" s="1785"/>
      <c r="AH57" s="1785"/>
      <c r="AI57" s="308"/>
      <c r="AJ57" s="308"/>
      <c r="AK57" s="308"/>
      <c r="AL57" s="308"/>
      <c r="AM57" s="308"/>
      <c r="AN57" s="1785"/>
      <c r="AO57" s="1785"/>
      <c r="AP57" s="1785"/>
      <c r="AQ57" s="1785"/>
      <c r="AR57" s="1785"/>
      <c r="AS57" s="308"/>
      <c r="AT57" s="308"/>
      <c r="AU57" s="308"/>
      <c r="AV57" s="308"/>
      <c r="AW57" s="308"/>
      <c r="AX57" s="1785"/>
      <c r="AY57" s="1785"/>
      <c r="AZ57" s="1785"/>
      <c r="BA57" s="1785"/>
      <c r="BB57" s="1785"/>
      <c r="BC57" s="1730"/>
      <c r="BD57" s="217"/>
      <c r="BE57" s="217"/>
      <c r="BF57" s="1181" t="s">
        <v>2058</v>
      </c>
    </row>
    <row s="1619"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1042</v>
      </c>
      <c r="AC58" s="312" t="s">
        <v>2059</v>
      </c>
      <c r="AD58" s="309" t="s">
        <v>805</v>
      </c>
      <c r="AE58" s="1785"/>
      <c r="AF58" s="1785"/>
      <c r="AG58" s="1785"/>
      <c r="AH58" s="1785"/>
      <c r="AI58" s="308"/>
      <c r="AJ58" s="308"/>
      <c r="AK58" s="308"/>
      <c r="AL58" s="308"/>
      <c r="AM58" s="308"/>
      <c r="AN58" s="1785"/>
      <c r="AO58" s="1785"/>
      <c r="AP58" s="1785"/>
      <c r="AQ58" s="1785"/>
      <c r="AR58" s="1785"/>
      <c r="AS58" s="308"/>
      <c r="AT58" s="308"/>
      <c r="AU58" s="308"/>
      <c r="AV58" s="308"/>
      <c r="AW58" s="308"/>
      <c r="AX58" s="1785"/>
      <c r="AY58" s="1785"/>
      <c r="AZ58" s="1785"/>
      <c r="BA58" s="1785"/>
      <c r="BB58" s="1785"/>
      <c r="BC58" s="1730"/>
      <c r="BD58" s="217"/>
      <c r="BE58" s="217"/>
      <c r="BF58" s="1181" t="s">
        <v>1163</v>
      </c>
    </row>
    <row s="1619"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343</v>
      </c>
      <c r="AC59" s="312" t="s">
        <v>2060</v>
      </c>
      <c r="AD59" s="309" t="s">
        <v>805</v>
      </c>
      <c r="AE59" s="1785"/>
      <c r="AF59" s="1785"/>
      <c r="AG59" s="1785"/>
      <c r="AH59" s="1785"/>
      <c r="AI59" s="308"/>
      <c r="AJ59" s="308"/>
      <c r="AK59" s="308"/>
      <c r="AL59" s="308"/>
      <c r="AM59" s="308"/>
      <c r="AN59" s="1785"/>
      <c r="AO59" s="1785"/>
      <c r="AP59" s="1785"/>
      <c r="AQ59" s="1785"/>
      <c r="AR59" s="1785"/>
      <c r="AS59" s="308"/>
      <c r="AT59" s="308"/>
      <c r="AU59" s="308"/>
      <c r="AV59" s="308"/>
      <c r="AW59" s="308"/>
      <c r="AX59" s="1785"/>
      <c r="AY59" s="1785"/>
      <c r="AZ59" s="1785"/>
      <c r="BA59" s="1785"/>
      <c r="BB59" s="1785"/>
      <c r="BC59" s="1730"/>
      <c r="BD59" s="217"/>
      <c r="BE59" s="217"/>
      <c r="BF59" s="1181" t="s">
        <v>1268</v>
      </c>
    </row>
    <row s="1619"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614</v>
      </c>
      <c r="AC60" s="312" t="s">
        <v>2061</v>
      </c>
      <c r="AD60" s="309" t="s">
        <v>805</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30"/>
      <c r="BD60" s="217"/>
      <c r="BE60" s="217"/>
      <c r="BF60" s="1181" t="s">
        <v>2062</v>
      </c>
    </row>
    <row s="1619"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710</v>
      </c>
      <c r="AC61" s="313" t="s">
        <v>2063</v>
      </c>
      <c r="AD61" s="309" t="s">
        <v>805</v>
      </c>
      <c r="AE61" s="1785"/>
      <c r="AF61" s="1785"/>
      <c r="AG61" s="1785"/>
      <c r="AH61" s="1785"/>
      <c r="AI61" s="308"/>
      <c r="AJ61" s="308"/>
      <c r="AK61" s="308"/>
      <c r="AL61" s="308"/>
      <c r="AM61" s="308"/>
      <c r="AN61" s="1785"/>
      <c r="AO61" s="1785"/>
      <c r="AP61" s="1785"/>
      <c r="AQ61" s="1785"/>
      <c r="AR61" s="1785"/>
      <c r="AS61" s="308"/>
      <c r="AT61" s="308"/>
      <c r="AU61" s="308"/>
      <c r="AV61" s="308"/>
      <c r="AW61" s="308"/>
      <c r="AX61" s="1785"/>
      <c r="AY61" s="1785"/>
      <c r="AZ61" s="1785"/>
      <c r="BA61" s="1785"/>
      <c r="BB61" s="1785"/>
      <c r="BC61" s="1730"/>
      <c r="BD61" s="217"/>
      <c r="BE61" s="217"/>
      <c r="BF61" s="1181" t="s">
        <v>1372</v>
      </c>
    </row>
    <row s="1619"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713</v>
      </c>
      <c r="AC62" s="313" t="s">
        <v>2064</v>
      </c>
      <c r="AD62" s="309" t="s">
        <v>805</v>
      </c>
      <c r="AE62" s="1785"/>
      <c r="AF62" s="1785"/>
      <c r="AG62" s="1785"/>
      <c r="AH62" s="1785"/>
      <c r="AI62" s="308"/>
      <c r="AJ62" s="308"/>
      <c r="AK62" s="308"/>
      <c r="AL62" s="308"/>
      <c r="AM62" s="308"/>
      <c r="AN62" s="1785"/>
      <c r="AO62" s="1785"/>
      <c r="AP62" s="1785"/>
      <c r="AQ62" s="1785"/>
      <c r="AR62" s="1785"/>
      <c r="AS62" s="308"/>
      <c r="AT62" s="308"/>
      <c r="AU62" s="308"/>
      <c r="AV62" s="308"/>
      <c r="AW62" s="308"/>
      <c r="AX62" s="1785"/>
      <c r="AY62" s="1785"/>
      <c r="AZ62" s="1785"/>
      <c r="BA62" s="1785"/>
      <c r="BB62" s="1785"/>
      <c r="BC62" s="1730"/>
      <c r="BD62" s="217"/>
      <c r="BE62" s="217"/>
      <c r="BF62" s="1181" t="s">
        <v>2065</v>
      </c>
    </row>
    <row s="1619"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1906</v>
      </c>
      <c r="AC63" s="313" t="s">
        <v>2066</v>
      </c>
      <c r="AD63" s="309" t="s">
        <v>805</v>
      </c>
      <c r="AE63" s="1785"/>
      <c r="AF63" s="1785"/>
      <c r="AG63" s="1785"/>
      <c r="AH63" s="1785"/>
      <c r="AI63" s="308"/>
      <c r="AJ63" s="308"/>
      <c r="AK63" s="308"/>
      <c r="AL63" s="308"/>
      <c r="AM63" s="308"/>
      <c r="AN63" s="1785"/>
      <c r="AO63" s="1785"/>
      <c r="AP63" s="1785"/>
      <c r="AQ63" s="1785"/>
      <c r="AR63" s="1785"/>
      <c r="AS63" s="308"/>
      <c r="AT63" s="308"/>
      <c r="AU63" s="308"/>
      <c r="AV63" s="308"/>
      <c r="AW63" s="308"/>
      <c r="AX63" s="1785"/>
      <c r="AY63" s="1785"/>
      <c r="AZ63" s="1785"/>
      <c r="BA63" s="1785"/>
      <c r="BB63" s="1785"/>
      <c r="BC63" s="1730"/>
      <c r="BD63" s="217"/>
      <c r="BE63" s="217"/>
      <c r="BF63" s="1181" t="s">
        <v>2067</v>
      </c>
    </row>
    <row s="1619"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624</v>
      </c>
      <c r="AC64" s="312" t="s">
        <v>2068</v>
      </c>
      <c r="AD64" s="309" t="s">
        <v>805</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30"/>
      <c r="BD64" s="217"/>
      <c r="BE64" s="217"/>
      <c r="BF64" s="1181" t="s">
        <v>1791</v>
      </c>
    </row>
    <row s="1619"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746</v>
      </c>
      <c r="AC65" s="313" t="s">
        <v>2069</v>
      </c>
      <c r="AD65" s="309" t="s">
        <v>805</v>
      </c>
      <c r="AE65" s="1785"/>
      <c r="AF65" s="1785"/>
      <c r="AG65" s="1785"/>
      <c r="AH65" s="1785"/>
      <c r="AI65" s="308"/>
      <c r="AJ65" s="308"/>
      <c r="AK65" s="308"/>
      <c r="AL65" s="308"/>
      <c r="AM65" s="308"/>
      <c r="AN65" s="1785"/>
      <c r="AO65" s="1785"/>
      <c r="AP65" s="1785"/>
      <c r="AQ65" s="1785"/>
      <c r="AR65" s="1785"/>
      <c r="AS65" s="308"/>
      <c r="AT65" s="308"/>
      <c r="AU65" s="308"/>
      <c r="AV65" s="308"/>
      <c r="AW65" s="308"/>
      <c r="AX65" s="1785"/>
      <c r="AY65" s="1785"/>
      <c r="AZ65" s="1785"/>
      <c r="BA65" s="1785"/>
      <c r="BB65" s="1785"/>
      <c r="BC65" s="1730"/>
      <c r="BD65" s="217"/>
      <c r="BE65" s="217"/>
      <c r="BF65" s="1181" t="s">
        <v>2070</v>
      </c>
    </row>
    <row s="1619"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1607</v>
      </c>
      <c r="AC66" s="313" t="s">
        <v>2071</v>
      </c>
      <c r="AD66" s="309" t="s">
        <v>805</v>
      </c>
      <c r="AE66" s="1785"/>
      <c r="AF66" s="1785"/>
      <c r="AG66" s="1785"/>
      <c r="AH66" s="1785"/>
      <c r="AI66" s="308"/>
      <c r="AJ66" s="308"/>
      <c r="AK66" s="308"/>
      <c r="AL66" s="308"/>
      <c r="AM66" s="308"/>
      <c r="AN66" s="1785"/>
      <c r="AO66" s="1785"/>
      <c r="AP66" s="1785"/>
      <c r="AQ66" s="1785"/>
      <c r="AR66" s="1785"/>
      <c r="AS66" s="308"/>
      <c r="AT66" s="308"/>
      <c r="AU66" s="308"/>
      <c r="AV66" s="308"/>
      <c r="AW66" s="308"/>
      <c r="AX66" s="1785"/>
      <c r="AY66" s="1785"/>
      <c r="AZ66" s="1785"/>
      <c r="BA66" s="1785"/>
      <c r="BB66" s="1785"/>
      <c r="BC66" s="1730"/>
      <c r="BD66" s="217"/>
      <c r="BE66" s="217"/>
      <c r="BF66" s="1181" t="s">
        <v>2072</v>
      </c>
    </row>
    <row s="1619"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1662</v>
      </c>
      <c r="AC67" s="313" t="s">
        <v>2073</v>
      </c>
      <c r="AD67" s="309" t="s">
        <v>805</v>
      </c>
      <c r="AE67" s="1785"/>
      <c r="AF67" s="1785"/>
      <c r="AG67" s="1785"/>
      <c r="AH67" s="1785"/>
      <c r="AI67" s="308"/>
      <c r="AJ67" s="308"/>
      <c r="AK67" s="308"/>
      <c r="AL67" s="308"/>
      <c r="AM67" s="308"/>
      <c r="AN67" s="1785"/>
      <c r="AO67" s="1785"/>
      <c r="AP67" s="1785"/>
      <c r="AQ67" s="1785"/>
      <c r="AR67" s="1785"/>
      <c r="AS67" s="308"/>
      <c r="AT67" s="308"/>
      <c r="AU67" s="308"/>
      <c r="AV67" s="308"/>
      <c r="AW67" s="308"/>
      <c r="AX67" s="1785"/>
      <c r="AY67" s="1785"/>
      <c r="AZ67" s="1785"/>
      <c r="BA67" s="1785"/>
      <c r="BB67" s="1785"/>
      <c r="BC67" s="1730"/>
      <c r="BD67" s="217"/>
      <c r="BE67" s="217"/>
      <c r="BF67" s="1181" t="s">
        <v>2074</v>
      </c>
    </row>
    <row s="1619"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629</v>
      </c>
      <c r="AC68" s="313" t="s">
        <v>2075</v>
      </c>
      <c r="AD68" s="309" t="s">
        <v>805</v>
      </c>
      <c r="AE68" s="1785"/>
      <c r="AF68" s="1785"/>
      <c r="AG68" s="1785"/>
      <c r="AH68" s="1785"/>
      <c r="AI68" s="308"/>
      <c r="AJ68" s="308"/>
      <c r="AK68" s="308"/>
      <c r="AL68" s="308"/>
      <c r="AM68" s="308"/>
      <c r="AN68" s="1785"/>
      <c r="AO68" s="1785"/>
      <c r="AP68" s="1785"/>
      <c r="AQ68" s="1785"/>
      <c r="AR68" s="1785"/>
      <c r="AS68" s="308"/>
      <c r="AT68" s="308"/>
      <c r="AU68" s="308"/>
      <c r="AV68" s="308"/>
      <c r="AW68" s="308"/>
      <c r="AX68" s="1785"/>
      <c r="AY68" s="1785"/>
      <c r="AZ68" s="1785"/>
      <c r="BA68" s="1785"/>
      <c r="BB68" s="1785"/>
      <c r="BC68" s="1730"/>
      <c r="BD68" s="217"/>
      <c r="BE68" s="217"/>
      <c r="BF68" s="1181" t="s">
        <v>2076</v>
      </c>
    </row>
    <row s="1619" customFormat="1" customHeight="1" ht="10.5">
      <c r="A69" s="1461"/>
      <c r="B69" s="924"/>
      <c r="C69" s="1461"/>
      <c r="D69" s="1461"/>
      <c r="E69" s="794">
        <v>11.4</v>
      </c>
      <c r="F69" s="919" cm="1" t="str">
        <f t="array" ref="F69:F69">X69</f>
        <v>2</v>
      </c>
      <c r="G69" s="497"/>
      <c r="H69" s="497"/>
      <c r="I69" s="497"/>
      <c r="J69" s="497"/>
      <c r="K69" s="497"/>
      <c r="L69" s="497"/>
      <c r="M69" s="497"/>
      <c r="N69" s="497"/>
      <c r="O69" s="497"/>
      <c r="P69" s="497"/>
      <c r="Q69" s="497"/>
      <c r="R69" s="497"/>
      <c r="S69" s="497"/>
      <c r="T69" s="805">
        <f>X69&gt;0</f>
        <v>1</v>
      </c>
      <c r="U69" s="1461"/>
      <c r="V69" s="172" cm="1" t="str">
        <f t="array" ref="V69:V69">'Калькуляция (МСА)'!$AB$81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69" s="1461"/>
      <c r="X69" s="172" t="s">
        <v>343</v>
      </c>
      <c r="Y69" s="1461"/>
      <c r="Z69" s="1461"/>
      <c r="AA69" s="217"/>
      <c r="AB69" s="327" cm="1" t="str">
        <f t="array" ref="AB69:AB69">IF(ISBLANK('Калькуляция (МСА)'!$AB$81),"",'Калькуляция (МСА)'!$AB$81)</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69" s="32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217"/>
      <c r="BE69" s="217"/>
      <c r="BF69" s="1216"/>
    </row>
    <row s="2047" customFormat="1" customHeight="1" ht="21.75">
      <c r="A70" s="316"/>
      <c r="B70" s="316"/>
      <c r="C70" s="316"/>
      <c r="D70" s="316"/>
      <c r="E70" s="794">
        <v>22.8</v>
      </c>
      <c r="F70" s="919" cm="1" t="str">
        <f t="array" ref="F70:F70">OFFSET(G70,-1,-1)</f>
        <v>2</v>
      </c>
      <c r="G70" s="316"/>
      <c r="H70" s="316"/>
      <c r="I70" s="316"/>
      <c r="J70" s="316"/>
      <c r="K70" s="316"/>
      <c r="L70" s="316"/>
      <c r="M70" s="316"/>
      <c r="N70" s="316"/>
      <c r="O70" s="316"/>
      <c r="P70" s="316"/>
      <c r="Q70" s="316"/>
      <c r="R70" s="316"/>
      <c r="S70" s="316"/>
      <c r="T70" s="805" cm="1" t="str">
        <f t="array" ref="T70:T70">T69</f>
        <v>true</v>
      </c>
      <c r="U70" s="316"/>
      <c r="V70" s="316"/>
      <c r="W70" s="316"/>
      <c r="X70" s="316"/>
      <c r="Y70" s="316"/>
      <c r="Z70" s="316"/>
      <c r="AA70" s="316"/>
      <c r="AB70" s="314"/>
      <c r="AC70" s="310" t="s">
        <v>2047</v>
      </c>
      <c r="AD70" s="315" t="s">
        <v>805</v>
      </c>
      <c r="AE70" s="306">
        <f>AE71+AE80+AE84+AE88+AE79</f>
        <v>0</v>
      </c>
      <c r="AF70" s="306">
        <f>AF71+AF80+AF84+AF88+AF79</f>
        <v>0</v>
      </c>
      <c r="AG70" s="306">
        <f>AG71+AG80+AG84+AG88+AG79</f>
        <v>0</v>
      </c>
      <c r="AH70" s="306">
        <f>AH71+AH80+AH84+AH88+AH79</f>
        <v>0</v>
      </c>
      <c r="AI70" s="306">
        <f>AI71+AI80+AI84+AI88+AI79</f>
        <v>0</v>
      </c>
      <c r="AJ70" s="306">
        <f>AJ71+AJ80+AJ84+AJ88+AJ79</f>
        <v>0</v>
      </c>
      <c r="AK70" s="306">
        <f>AK71+AK80+AK84+AK88+AK79</f>
        <v>0</v>
      </c>
      <c r="AL70" s="306">
        <f>AL71+AL80+AL84+AL88+AL79</f>
        <v>0</v>
      </c>
      <c r="AM70" s="306">
        <f>AM71+AM80+AM84+AM88+AM79</f>
        <v>0</v>
      </c>
      <c r="AN70" s="306">
        <f>AN71+AN80+AN84+AN88+AN79</f>
        <v>0</v>
      </c>
      <c r="AO70" s="306">
        <f>AO71+AO80+AO84+AO88+AO79</f>
        <v>0</v>
      </c>
      <c r="AP70" s="306">
        <f>AP71+AP80+AP84+AP88+AP79</f>
        <v>0</v>
      </c>
      <c r="AQ70" s="306">
        <f>AQ71+AQ80+AQ84+AQ88+AQ79</f>
        <v>0</v>
      </c>
      <c r="AR70" s="306">
        <f>AR71+AR80+AR84+AR88+AR79</f>
        <v>0</v>
      </c>
      <c r="AS70" s="306">
        <f>AS71+AS80+AS84+AS88+AS79</f>
        <v>0</v>
      </c>
      <c r="AT70" s="306">
        <f>AT71+AT80+AT84+AT88+AT79</f>
        <v>0</v>
      </c>
      <c r="AU70" s="306">
        <f>AU71+AU80+AU84+AU88+AU79</f>
        <v>0</v>
      </c>
      <c r="AV70" s="306">
        <f>AV71+AV80+AV84+AV88+AV79</f>
        <v>0</v>
      </c>
      <c r="AW70" s="306">
        <f>AW71+AW80+AW84+AW88+AW79</f>
        <v>0</v>
      </c>
      <c r="AX70" s="306">
        <f>AX71+AX80+AX84+AX88+AX79</f>
        <v>0</v>
      </c>
      <c r="AY70" s="306">
        <f>AY71+AY80+AY84+AY88+AY79</f>
        <v>0</v>
      </c>
      <c r="AZ70" s="306">
        <f>AZ71+AZ80+AZ84+AZ88+AZ79</f>
        <v>0</v>
      </c>
      <c r="BA70" s="306">
        <f>BA71+BA80+BA84+BA88+BA79</f>
        <v>0</v>
      </c>
      <c r="BB70" s="306">
        <f>BB71+BB80+BB84+BB88+BB79</f>
        <v>0</v>
      </c>
      <c r="BC70" s="1730"/>
      <c r="BD70" s="316"/>
      <c r="BE70" s="316"/>
      <c r="BF70" s="1181" t="s">
        <v>592</v>
      </c>
    </row>
    <row s="1619" customFormat="1" customHeight="1" ht="16.5">
      <c r="A71" s="1461"/>
      <c r="B71" s="924"/>
      <c r="C71" s="1461"/>
      <c r="D71" s="1461"/>
      <c r="E71" s="794">
        <v>17.1</v>
      </c>
      <c r="F71" s="919" cm="1" t="str">
        <f t="array" ref="F71:F71">OFFSET(G71,-1,-1)</f>
        <v>2</v>
      </c>
      <c r="G71" s="497"/>
      <c r="H71" s="497"/>
      <c r="I71" s="497"/>
      <c r="J71" s="497"/>
      <c r="K71" s="497"/>
      <c r="L71" s="497"/>
      <c r="M71" s="497"/>
      <c r="N71" s="497"/>
      <c r="O71" s="497"/>
      <c r="P71" s="497"/>
      <c r="Q71" s="497"/>
      <c r="R71" s="497"/>
      <c r="S71" s="497"/>
      <c r="T71" s="805" cm="1" t="str">
        <f t="array" ref="T71:T71">T70</f>
        <v>true</v>
      </c>
      <c r="U71" s="1461"/>
      <c r="V71" s="1461"/>
      <c r="W71" s="1461"/>
      <c r="X71" s="1461"/>
      <c r="Y71" s="1461"/>
      <c r="Z71" s="1461"/>
      <c r="AA71" s="217"/>
      <c r="AB71" s="166">
        <v>1</v>
      </c>
      <c r="AC71" s="312" t="s">
        <v>2048</v>
      </c>
      <c r="AD71" s="309" t="s">
        <v>805</v>
      </c>
      <c r="AE71" s="307">
        <f>AE72+AE73+AE74+AE77+AE78</f>
        <v>0</v>
      </c>
      <c r="AF71" s="307">
        <f>AF72+AF73+AF74+AF77+AF78</f>
        <v>0</v>
      </c>
      <c r="AG71" s="307">
        <f>AG72+AG73+AG74+AG77+AG78</f>
        <v>0</v>
      </c>
      <c r="AH71" s="307">
        <f>AH72+AH73+AH74+AH77+AH78</f>
        <v>0</v>
      </c>
      <c r="AI71" s="307">
        <f>AI72+AI73+AI74+AI77+AI78</f>
        <v>0</v>
      </c>
      <c r="AJ71" s="307">
        <f>AJ72+AJ73+AJ74+AJ77+AJ78</f>
        <v>0</v>
      </c>
      <c r="AK71" s="307">
        <f>AK72+AK73+AK74+AK77+AK78</f>
        <v>0</v>
      </c>
      <c r="AL71" s="307">
        <f>AL72+AL73+AL74+AL77+AL78</f>
        <v>0</v>
      </c>
      <c r="AM71" s="307">
        <f>AM72+AM73+AM74+AM77+AM78</f>
        <v>0</v>
      </c>
      <c r="AN71" s="307">
        <f>AN72+AN73+AN74+AN77+AN78</f>
        <v>0</v>
      </c>
      <c r="AO71" s="307">
        <f>AO72+AO73+AO74+AO77+AO78</f>
        <v>0</v>
      </c>
      <c r="AP71" s="307">
        <f>AP72+AP73+AP74+AP77+AP78</f>
        <v>0</v>
      </c>
      <c r="AQ71" s="307">
        <f>AQ72+AQ73+AQ74+AQ77+AQ78</f>
        <v>0</v>
      </c>
      <c r="AR71" s="307">
        <f>AR72+AR73+AR74+AR77+AR78</f>
        <v>0</v>
      </c>
      <c r="AS71" s="307">
        <f>AS72+AS73+AS74+AS77+AS78</f>
        <v>0</v>
      </c>
      <c r="AT71" s="307">
        <f>AT72+AT73+AT74+AT77+AT78</f>
        <v>0</v>
      </c>
      <c r="AU71" s="307">
        <f>AU72+AU73+AU74+AU77+AU78</f>
        <v>0</v>
      </c>
      <c r="AV71" s="307">
        <f>AV72+AV73+AV74+AV77+AV78</f>
        <v>0</v>
      </c>
      <c r="AW71" s="307">
        <f>AW72+AW73+AW74+AW77+AW78</f>
        <v>0</v>
      </c>
      <c r="AX71" s="307">
        <f>AX72+AX73+AX74+AX77+AX78</f>
        <v>0</v>
      </c>
      <c r="AY71" s="307">
        <f>AY72+AY73+AY74+AY77+AY78</f>
        <v>0</v>
      </c>
      <c r="AZ71" s="307">
        <f>AZ72+AZ73+AZ74+AZ77+AZ78</f>
        <v>0</v>
      </c>
      <c r="BA71" s="307">
        <f>BA72+BA73+BA74+BA77+BA78</f>
        <v>0</v>
      </c>
      <c r="BB71" s="307">
        <f>BB72+BB73+BB74+BB77+BB78</f>
        <v>0</v>
      </c>
      <c r="BC71" s="1730"/>
      <c r="BD71" s="217"/>
      <c r="BE71" s="217"/>
      <c r="BF71" s="1181" t="s">
        <v>606</v>
      </c>
    </row>
    <row s="1619" customFormat="1" customHeight="1" ht="21.75">
      <c r="A72" s="1461"/>
      <c r="B72" s="924"/>
      <c r="C72" s="1461"/>
      <c r="D72" s="1461"/>
      <c r="E72" s="794">
        <v>22.8</v>
      </c>
      <c r="F72" s="919" cm="1" t="str">
        <f t="array" ref="F72:F72">OFFSET(G72,-1,-1)</f>
        <v>2</v>
      </c>
      <c r="G72" s="497"/>
      <c r="H72" s="497"/>
      <c r="I72" s="497"/>
      <c r="J72" s="497"/>
      <c r="K72" s="497"/>
      <c r="L72" s="497"/>
      <c r="M72" s="497"/>
      <c r="N72" s="497"/>
      <c r="O72" s="497"/>
      <c r="P72" s="497"/>
      <c r="Q72" s="497"/>
      <c r="R72" s="497"/>
      <c r="S72" s="497"/>
      <c r="T72" s="805" cm="1" t="str">
        <f t="array" ref="T72:T72">T71</f>
        <v>true</v>
      </c>
      <c r="U72" s="1461"/>
      <c r="V72" s="1461"/>
      <c r="W72" s="1461"/>
      <c r="X72" s="1461"/>
      <c r="Y72" s="1461"/>
      <c r="Z72" s="1461"/>
      <c r="AA72" s="217"/>
      <c r="AB72" s="311" t="s">
        <v>442</v>
      </c>
      <c r="AC72" s="312" t="s">
        <v>2049</v>
      </c>
      <c r="AD72" s="309" t="s">
        <v>805</v>
      </c>
      <c r="AE72" s="1785"/>
      <c r="AF72" s="1785"/>
      <c r="AG72" s="1785"/>
      <c r="AH72" s="1785"/>
      <c r="AI72" s="308"/>
      <c r="AJ72" s="308"/>
      <c r="AK72" s="308"/>
      <c r="AL72" s="308"/>
      <c r="AM72" s="308"/>
      <c r="AN72" s="1785"/>
      <c r="AO72" s="1785"/>
      <c r="AP72" s="1785"/>
      <c r="AQ72" s="1785"/>
      <c r="AR72" s="1785"/>
      <c r="AS72" s="308"/>
      <c r="AT72" s="308"/>
      <c r="AU72" s="308"/>
      <c r="AV72" s="308"/>
      <c r="AW72" s="308"/>
      <c r="AX72" s="1785"/>
      <c r="AY72" s="1785"/>
      <c r="AZ72" s="1785"/>
      <c r="BA72" s="1785"/>
      <c r="BB72" s="1785"/>
      <c r="BC72" s="1730"/>
      <c r="BD72" s="217"/>
      <c r="BE72" s="217"/>
      <c r="BF72" s="1181" t="s">
        <v>1370</v>
      </c>
    </row>
    <row s="1619" customFormat="1" customHeight="1" ht="33">
      <c r="A73" s="1461"/>
      <c r="B73" s="924"/>
      <c r="C73" s="1461"/>
      <c r="D73" s="1461"/>
      <c r="E73" s="794">
        <v>34.2</v>
      </c>
      <c r="F73" s="919" cm="1" t="str">
        <f t="array" ref="F73:F73">OFFSET(G73,-1,-1)</f>
        <v>2</v>
      </c>
      <c r="G73" s="497"/>
      <c r="H73" s="497"/>
      <c r="I73" s="497"/>
      <c r="J73" s="497"/>
      <c r="K73" s="497"/>
      <c r="L73" s="497"/>
      <c r="M73" s="497"/>
      <c r="N73" s="497"/>
      <c r="O73" s="497"/>
      <c r="P73" s="497"/>
      <c r="Q73" s="497"/>
      <c r="R73" s="497"/>
      <c r="S73" s="497"/>
      <c r="T73" s="805" cm="1" t="str">
        <f t="array" ref="T73:T73">T72</f>
        <v>true</v>
      </c>
      <c r="U73" s="1461"/>
      <c r="V73" s="1461"/>
      <c r="W73" s="1461"/>
      <c r="X73" s="1461"/>
      <c r="Y73" s="1461"/>
      <c r="Z73" s="1461"/>
      <c r="AA73" s="217"/>
      <c r="AB73" s="311" t="s">
        <v>931</v>
      </c>
      <c r="AC73" s="312" t="s">
        <v>2050</v>
      </c>
      <c r="AD73" s="309" t="s">
        <v>805</v>
      </c>
      <c r="AE73" s="1785"/>
      <c r="AF73" s="1785"/>
      <c r="AG73" s="1785"/>
      <c r="AH73" s="1785"/>
      <c r="AI73" s="308"/>
      <c r="AJ73" s="308"/>
      <c r="AK73" s="308"/>
      <c r="AL73" s="308"/>
      <c r="AM73" s="308"/>
      <c r="AN73" s="1785"/>
      <c r="AO73" s="1785"/>
      <c r="AP73" s="1785"/>
      <c r="AQ73" s="1785"/>
      <c r="AR73" s="1785"/>
      <c r="AS73" s="308"/>
      <c r="AT73" s="308"/>
      <c r="AU73" s="308"/>
      <c r="AV73" s="308"/>
      <c r="AW73" s="308"/>
      <c r="AX73" s="1785"/>
      <c r="AY73" s="1785"/>
      <c r="AZ73" s="1785"/>
      <c r="BA73" s="1785"/>
      <c r="BB73" s="1785"/>
      <c r="BC73" s="1730"/>
      <c r="BD73" s="217"/>
      <c r="BE73" s="217"/>
      <c r="BF73" s="1181" t="s">
        <v>2051</v>
      </c>
    </row>
    <row s="1619" customFormat="1" customHeight="1" ht="16.5">
      <c r="A74" s="1461"/>
      <c r="B74" s="924"/>
      <c r="C74" s="1461"/>
      <c r="D74" s="1461"/>
      <c r="E74" s="794">
        <v>17.1</v>
      </c>
      <c r="F74" s="919" cm="1" t="str">
        <f t="array" ref="F74:F74">OFFSET(G74,-1,-1)</f>
        <v>2</v>
      </c>
      <c r="G74" s="497"/>
      <c r="H74" s="497"/>
      <c r="I74" s="497"/>
      <c r="J74" s="497"/>
      <c r="K74" s="497"/>
      <c r="L74" s="497"/>
      <c r="M74" s="497"/>
      <c r="N74" s="497"/>
      <c r="O74" s="497"/>
      <c r="P74" s="497"/>
      <c r="Q74" s="497"/>
      <c r="R74" s="497"/>
      <c r="S74" s="497"/>
      <c r="T74" s="805" cm="1" t="str">
        <f t="array" ref="T74:T74">T73</f>
        <v>true</v>
      </c>
      <c r="U74" s="1461"/>
      <c r="V74" s="1461"/>
      <c r="W74" s="1461"/>
      <c r="X74" s="1461"/>
      <c r="Y74" s="1461"/>
      <c r="Z74" s="1461"/>
      <c r="AA74" s="217"/>
      <c r="AB74" s="311" t="s">
        <v>933</v>
      </c>
      <c r="AC74" s="312" t="s">
        <v>2052</v>
      </c>
      <c r="AD74" s="309" t="s">
        <v>805</v>
      </c>
      <c r="AE74" s="1785"/>
      <c r="AF74" s="1785"/>
      <c r="AG74" s="1785"/>
      <c r="AH74" s="1785"/>
      <c r="AI74" s="308"/>
      <c r="AJ74" s="308"/>
      <c r="AK74" s="308"/>
      <c r="AL74" s="308"/>
      <c r="AM74" s="308"/>
      <c r="AN74" s="1785"/>
      <c r="AO74" s="1785"/>
      <c r="AP74" s="1785"/>
      <c r="AQ74" s="1785"/>
      <c r="AR74" s="1785"/>
      <c r="AS74" s="308"/>
      <c r="AT74" s="308"/>
      <c r="AU74" s="308"/>
      <c r="AV74" s="308"/>
      <c r="AW74" s="308"/>
      <c r="AX74" s="1785"/>
      <c r="AY74" s="1785"/>
      <c r="AZ74" s="1785"/>
      <c r="BA74" s="1785"/>
      <c r="BB74" s="1785"/>
      <c r="BC74" s="1730"/>
      <c r="BD74" s="217"/>
      <c r="BE74" s="217"/>
      <c r="BF74" s="1181" t="s">
        <v>1378</v>
      </c>
    </row>
    <row s="1619" customFormat="1" customHeight="1" ht="21.75">
      <c r="A75" s="1461"/>
      <c r="B75" s="924"/>
      <c r="C75" s="1461"/>
      <c r="D75" s="1461"/>
      <c r="E75" s="794">
        <v>22.8</v>
      </c>
      <c r="F75" s="919" cm="1" t="str">
        <f t="array" ref="F75:F75">OFFSET(G75,-1,-1)</f>
        <v>2</v>
      </c>
      <c r="G75" s="497"/>
      <c r="H75" s="497"/>
      <c r="I75" s="497"/>
      <c r="J75" s="497"/>
      <c r="K75" s="497"/>
      <c r="L75" s="497"/>
      <c r="M75" s="497"/>
      <c r="N75" s="497"/>
      <c r="O75" s="497"/>
      <c r="P75" s="497"/>
      <c r="Q75" s="497"/>
      <c r="R75" s="497"/>
      <c r="S75" s="497"/>
      <c r="T75" s="805" cm="1" t="str">
        <f t="array" ref="T75:T75">T74</f>
        <v>true</v>
      </c>
      <c r="U75" s="1461"/>
      <c r="V75" s="1461"/>
      <c r="W75" s="1461"/>
      <c r="X75" s="1461"/>
      <c r="Y75" s="1461"/>
      <c r="Z75" s="1461"/>
      <c r="AA75" s="217"/>
      <c r="AB75" s="311" t="s">
        <v>1165</v>
      </c>
      <c r="AC75" s="312" t="s">
        <v>2053</v>
      </c>
      <c r="AD75" s="309" t="s">
        <v>805</v>
      </c>
      <c r="AE75" s="1785"/>
      <c r="AF75" s="1785"/>
      <c r="AG75" s="1785"/>
      <c r="AH75" s="1785"/>
      <c r="AI75" s="308"/>
      <c r="AJ75" s="308"/>
      <c r="AK75" s="308"/>
      <c r="AL75" s="308"/>
      <c r="AM75" s="308"/>
      <c r="AN75" s="1785"/>
      <c r="AO75" s="1785"/>
      <c r="AP75" s="1785"/>
      <c r="AQ75" s="1785"/>
      <c r="AR75" s="1785"/>
      <c r="AS75" s="308"/>
      <c r="AT75" s="308"/>
      <c r="AU75" s="308"/>
      <c r="AV75" s="308"/>
      <c r="AW75" s="308"/>
      <c r="AX75" s="1785"/>
      <c r="AY75" s="1785"/>
      <c r="AZ75" s="1785"/>
      <c r="BA75" s="1785"/>
      <c r="BB75" s="1785"/>
      <c r="BC75" s="1730"/>
      <c r="BD75" s="217"/>
      <c r="BE75" s="217"/>
      <c r="BF75" s="1181" t="s">
        <v>2054</v>
      </c>
    </row>
    <row s="1619" customFormat="1" customHeight="1" ht="55.5">
      <c r="A76" s="1461"/>
      <c r="B76" s="924"/>
      <c r="C76" s="1461"/>
      <c r="D76" s="1461"/>
      <c r="E76" s="794">
        <v>57</v>
      </c>
      <c r="F76" s="919" cm="1" t="str">
        <f t="array" ref="F76:F76">OFFSET(G76,-1,-1)</f>
        <v>2</v>
      </c>
      <c r="G76" s="497"/>
      <c r="H76" s="497"/>
      <c r="I76" s="497"/>
      <c r="J76" s="497"/>
      <c r="K76" s="497"/>
      <c r="L76" s="497"/>
      <c r="M76" s="497"/>
      <c r="N76" s="497"/>
      <c r="O76" s="497"/>
      <c r="P76" s="497"/>
      <c r="Q76" s="497"/>
      <c r="R76" s="497"/>
      <c r="S76" s="497"/>
      <c r="T76" s="805" cm="1" t="str">
        <f t="array" ref="T76:T76">T75</f>
        <v>true</v>
      </c>
      <c r="U76" s="1461"/>
      <c r="V76" s="1461"/>
      <c r="W76" s="1461"/>
      <c r="X76" s="1461"/>
      <c r="Y76" s="1461"/>
      <c r="Z76" s="1461"/>
      <c r="AA76" s="217"/>
      <c r="AB76" s="311" t="s">
        <v>1169</v>
      </c>
      <c r="AC76" s="312" t="s">
        <v>2055</v>
      </c>
      <c r="AD76" s="309" t="s">
        <v>805</v>
      </c>
      <c r="AE76" s="1785"/>
      <c r="AF76" s="1785"/>
      <c r="AG76" s="1785"/>
      <c r="AH76" s="1785"/>
      <c r="AI76" s="308"/>
      <c r="AJ76" s="308"/>
      <c r="AK76" s="308"/>
      <c r="AL76" s="308"/>
      <c r="AM76" s="308"/>
      <c r="AN76" s="1785"/>
      <c r="AO76" s="1785"/>
      <c r="AP76" s="1785"/>
      <c r="AQ76" s="1785"/>
      <c r="AR76" s="1785"/>
      <c r="AS76" s="308"/>
      <c r="AT76" s="308"/>
      <c r="AU76" s="308"/>
      <c r="AV76" s="308"/>
      <c r="AW76" s="308"/>
      <c r="AX76" s="1785"/>
      <c r="AY76" s="1785"/>
      <c r="AZ76" s="1785"/>
      <c r="BA76" s="1785"/>
      <c r="BB76" s="1785"/>
      <c r="BC76" s="1730"/>
      <c r="BD76" s="217"/>
      <c r="BE76" s="217"/>
      <c r="BF76" s="1181" t="s">
        <v>2056</v>
      </c>
    </row>
    <row s="1619" customFormat="1" customHeight="1" ht="44.25">
      <c r="A77" s="1461"/>
      <c r="B77" s="924"/>
      <c r="C77" s="1461"/>
      <c r="D77" s="1461"/>
      <c r="E77" s="794">
        <v>45.6</v>
      </c>
      <c r="F77" s="919" cm="1" t="str">
        <f t="array" ref="F77:F77">OFFSET(G77,-1,-1)</f>
        <v>2</v>
      </c>
      <c r="G77" s="497"/>
      <c r="H77" s="497"/>
      <c r="I77" s="497"/>
      <c r="J77" s="497"/>
      <c r="K77" s="497"/>
      <c r="L77" s="497"/>
      <c r="M77" s="497"/>
      <c r="N77" s="497"/>
      <c r="O77" s="497"/>
      <c r="P77" s="497"/>
      <c r="Q77" s="497"/>
      <c r="R77" s="497"/>
      <c r="S77" s="497"/>
      <c r="T77" s="805" cm="1" t="str">
        <f t="array" ref="T77:T77">T76</f>
        <v>true</v>
      </c>
      <c r="U77" s="1461"/>
      <c r="V77" s="1461"/>
      <c r="W77" s="1461"/>
      <c r="X77" s="1461"/>
      <c r="Y77" s="1461"/>
      <c r="Z77" s="1461"/>
      <c r="AA77" s="217"/>
      <c r="AB77" s="311" t="s">
        <v>937</v>
      </c>
      <c r="AC77" s="312" t="s">
        <v>2057</v>
      </c>
      <c r="AD77" s="309" t="s">
        <v>805</v>
      </c>
      <c r="AE77" s="1785"/>
      <c r="AF77" s="1785"/>
      <c r="AG77" s="1785"/>
      <c r="AH77" s="1785"/>
      <c r="AI77" s="308"/>
      <c r="AJ77" s="308"/>
      <c r="AK77" s="308"/>
      <c r="AL77" s="308"/>
      <c r="AM77" s="308"/>
      <c r="AN77" s="1785"/>
      <c r="AO77" s="1785"/>
      <c r="AP77" s="1785"/>
      <c r="AQ77" s="1785"/>
      <c r="AR77" s="1785"/>
      <c r="AS77" s="308"/>
      <c r="AT77" s="308"/>
      <c r="AU77" s="308"/>
      <c r="AV77" s="308"/>
      <c r="AW77" s="308"/>
      <c r="AX77" s="1785"/>
      <c r="AY77" s="1785"/>
      <c r="AZ77" s="1785"/>
      <c r="BA77" s="1785"/>
      <c r="BB77" s="1785"/>
      <c r="BC77" s="1730"/>
      <c r="BD77" s="217"/>
      <c r="BE77" s="217"/>
      <c r="BF77" s="1181" t="s">
        <v>2058</v>
      </c>
    </row>
    <row s="1619" customFormat="1" customHeight="1" ht="21.75">
      <c r="A78" s="1461"/>
      <c r="B78" s="924"/>
      <c r="C78" s="1461"/>
      <c r="D78" s="1461"/>
      <c r="E78" s="794">
        <v>22.8</v>
      </c>
      <c r="F78" s="919" cm="1" t="str">
        <f t="array" ref="F78:F78">OFFSET(G78,-1,-1)</f>
        <v>2</v>
      </c>
      <c r="G78" s="497"/>
      <c r="H78" s="497"/>
      <c r="I78" s="497"/>
      <c r="J78" s="497"/>
      <c r="K78" s="497"/>
      <c r="L78" s="497"/>
      <c r="M78" s="497"/>
      <c r="N78" s="497"/>
      <c r="O78" s="497"/>
      <c r="P78" s="497"/>
      <c r="Q78" s="497"/>
      <c r="R78" s="497"/>
      <c r="S78" s="497"/>
      <c r="T78" s="805" cm="1" t="str">
        <f t="array" ref="T78:T78">T77</f>
        <v>true</v>
      </c>
      <c r="U78" s="1461"/>
      <c r="V78" s="1461"/>
      <c r="W78" s="1461"/>
      <c r="X78" s="1461"/>
      <c r="Y78" s="1461"/>
      <c r="Z78" s="1461"/>
      <c r="AA78" s="217"/>
      <c r="AB78" s="311" t="s">
        <v>1042</v>
      </c>
      <c r="AC78" s="312" t="s">
        <v>2059</v>
      </c>
      <c r="AD78" s="309" t="s">
        <v>805</v>
      </c>
      <c r="AE78" s="1785"/>
      <c r="AF78" s="1785"/>
      <c r="AG78" s="1785"/>
      <c r="AH78" s="1785"/>
      <c r="AI78" s="308"/>
      <c r="AJ78" s="308"/>
      <c r="AK78" s="308"/>
      <c r="AL78" s="308"/>
      <c r="AM78" s="308"/>
      <c r="AN78" s="1785"/>
      <c r="AO78" s="1785"/>
      <c r="AP78" s="1785"/>
      <c r="AQ78" s="1785"/>
      <c r="AR78" s="1785"/>
      <c r="AS78" s="308"/>
      <c r="AT78" s="308"/>
      <c r="AU78" s="308"/>
      <c r="AV78" s="308"/>
      <c r="AW78" s="308"/>
      <c r="AX78" s="1785"/>
      <c r="AY78" s="1785"/>
      <c r="AZ78" s="1785"/>
      <c r="BA78" s="1785"/>
      <c r="BB78" s="1785"/>
      <c r="BC78" s="1730"/>
      <c r="BD78" s="217"/>
      <c r="BE78" s="217"/>
      <c r="BF78" s="1181" t="s">
        <v>1163</v>
      </c>
    </row>
    <row s="1619" customFormat="1" customHeight="1" ht="21.75">
      <c r="A79" s="1461"/>
      <c r="B79" s="924"/>
      <c r="C79" s="1461"/>
      <c r="D79" s="1461"/>
      <c r="E79" s="794">
        <v>22.8</v>
      </c>
      <c r="F79" s="919" cm="1" t="str">
        <f t="array" ref="F79:F79">OFFSET(G79,-1,-1)</f>
        <v>2</v>
      </c>
      <c r="G79" s="497"/>
      <c r="H79" s="497"/>
      <c r="I79" s="497"/>
      <c r="J79" s="497"/>
      <c r="K79" s="497"/>
      <c r="L79" s="497"/>
      <c r="M79" s="497"/>
      <c r="N79" s="497"/>
      <c r="O79" s="497"/>
      <c r="P79" s="497"/>
      <c r="Q79" s="497"/>
      <c r="R79" s="497"/>
      <c r="S79" s="497"/>
      <c r="T79" s="805" cm="1" t="str">
        <f t="array" ref="T79:T79">T78</f>
        <v>true</v>
      </c>
      <c r="U79" s="1461"/>
      <c r="V79" s="1461"/>
      <c r="W79" s="1461"/>
      <c r="X79" s="1461"/>
      <c r="Y79" s="1461"/>
      <c r="Z79" s="1461"/>
      <c r="AA79" s="217"/>
      <c r="AB79" s="311" t="s">
        <v>343</v>
      </c>
      <c r="AC79" s="312" t="s">
        <v>2060</v>
      </c>
      <c r="AD79" s="309" t="s">
        <v>805</v>
      </c>
      <c r="AE79" s="1785"/>
      <c r="AF79" s="1785"/>
      <c r="AG79" s="1785"/>
      <c r="AH79" s="1785"/>
      <c r="AI79" s="308"/>
      <c r="AJ79" s="308"/>
      <c r="AK79" s="308"/>
      <c r="AL79" s="308"/>
      <c r="AM79" s="308"/>
      <c r="AN79" s="1785"/>
      <c r="AO79" s="1785"/>
      <c r="AP79" s="1785"/>
      <c r="AQ79" s="1785"/>
      <c r="AR79" s="1785"/>
      <c r="AS79" s="308"/>
      <c r="AT79" s="308"/>
      <c r="AU79" s="308"/>
      <c r="AV79" s="308"/>
      <c r="AW79" s="308"/>
      <c r="AX79" s="1785"/>
      <c r="AY79" s="1785"/>
      <c r="AZ79" s="1785"/>
      <c r="BA79" s="1785"/>
      <c r="BB79" s="1785"/>
      <c r="BC79" s="1730"/>
      <c r="BD79" s="217"/>
      <c r="BE79" s="217"/>
      <c r="BF79" s="1181" t="s">
        <v>1268</v>
      </c>
    </row>
    <row s="1619" customFormat="1" customHeight="1" ht="16.5">
      <c r="A80" s="1461"/>
      <c r="B80" s="924"/>
      <c r="C80" s="1461"/>
      <c r="D80" s="1461"/>
      <c r="E80" s="794">
        <v>17.1</v>
      </c>
      <c r="F80" s="919" cm="1" t="str">
        <f t="array" ref="F80:F80">OFFSET(G80,-1,-1)</f>
        <v>2</v>
      </c>
      <c r="G80" s="497"/>
      <c r="H80" s="497"/>
      <c r="I80" s="497"/>
      <c r="J80" s="497"/>
      <c r="K80" s="497"/>
      <c r="L80" s="497"/>
      <c r="M80" s="497"/>
      <c r="N80" s="497"/>
      <c r="O80" s="497"/>
      <c r="P80" s="497"/>
      <c r="Q80" s="497"/>
      <c r="R80" s="497"/>
      <c r="S80" s="497"/>
      <c r="T80" s="805" cm="1" t="str">
        <f t="array" ref="T80:T80">T79</f>
        <v>true</v>
      </c>
      <c r="U80" s="1461"/>
      <c r="V80" s="1461"/>
      <c r="W80" s="1461"/>
      <c r="X80" s="1461"/>
      <c r="Y80" s="1461"/>
      <c r="Z80" s="1461"/>
      <c r="AA80" s="217"/>
      <c r="AB80" s="311" t="s">
        <v>614</v>
      </c>
      <c r="AC80" s="312" t="s">
        <v>2061</v>
      </c>
      <c r="AD80" s="309" t="s">
        <v>805</v>
      </c>
      <c r="AE80" s="307">
        <f>AE81+AE82+AE83</f>
        <v>0</v>
      </c>
      <c r="AF80" s="307">
        <f>AF81+AF82+AF83</f>
        <v>0</v>
      </c>
      <c r="AG80" s="307">
        <f>AG81+AG82+AG83</f>
        <v>0</v>
      </c>
      <c r="AH80" s="307">
        <f>AH81+AH82+AH83</f>
        <v>0</v>
      </c>
      <c r="AI80" s="307">
        <f>AI81+AI82+AI83</f>
        <v>0</v>
      </c>
      <c r="AJ80" s="307">
        <f>AJ81+AJ82+AJ83</f>
        <v>0</v>
      </c>
      <c r="AK80" s="307">
        <f>AK81+AK82+AK83</f>
        <v>0</v>
      </c>
      <c r="AL80" s="307">
        <f>AL81+AL82+AL83</f>
        <v>0</v>
      </c>
      <c r="AM80" s="307">
        <f>AM81+AM82+AM83</f>
        <v>0</v>
      </c>
      <c r="AN80" s="307">
        <f>AN81+AN82+AN83</f>
        <v>0</v>
      </c>
      <c r="AO80" s="307">
        <f>AO81+AO82+AO83</f>
        <v>0</v>
      </c>
      <c r="AP80" s="307">
        <f>AP81+AP82+AP83</f>
        <v>0</v>
      </c>
      <c r="AQ80" s="307">
        <f>AQ81+AQ82+AQ83</f>
        <v>0</v>
      </c>
      <c r="AR80" s="307">
        <f>AR81+AR82+AR83</f>
        <v>0</v>
      </c>
      <c r="AS80" s="307">
        <f>AS81+AS82+AS83</f>
        <v>0</v>
      </c>
      <c r="AT80" s="307">
        <f>AT81+AT82+AT83</f>
        <v>0</v>
      </c>
      <c r="AU80" s="307">
        <f>AU81+AU82+AU83</f>
        <v>0</v>
      </c>
      <c r="AV80" s="307">
        <f>AV81+AV82+AV83</f>
        <v>0</v>
      </c>
      <c r="AW80" s="307">
        <f>AW81+AW82+AW83</f>
        <v>0</v>
      </c>
      <c r="AX80" s="307">
        <f>AX81+AX82+AX83</f>
        <v>0</v>
      </c>
      <c r="AY80" s="307">
        <f>AY81+AY82+AY83</f>
        <v>0</v>
      </c>
      <c r="AZ80" s="307">
        <f>AZ81+AZ82+AZ83</f>
        <v>0</v>
      </c>
      <c r="BA80" s="307">
        <f>BA81+BA82+BA83</f>
        <v>0</v>
      </c>
      <c r="BB80" s="307">
        <f>BB81+BB82+BB83</f>
        <v>0</v>
      </c>
      <c r="BC80" s="1730"/>
      <c r="BD80" s="217"/>
      <c r="BE80" s="217"/>
      <c r="BF80" s="1181" t="s">
        <v>2062</v>
      </c>
    </row>
    <row s="1619" customFormat="1" customHeight="1" ht="16.5">
      <c r="A81" s="1461"/>
      <c r="B81" s="924"/>
      <c r="C81" s="1461"/>
      <c r="D81" s="1461"/>
      <c r="E81" s="794">
        <v>17.1</v>
      </c>
      <c r="F81" s="919" cm="1" t="str">
        <f t="array" ref="F81:F81">OFFSET(G81,-1,-1)</f>
        <v>2</v>
      </c>
      <c r="G81" s="497"/>
      <c r="H81" s="497"/>
      <c r="I81" s="497"/>
      <c r="J81" s="497"/>
      <c r="K81" s="497"/>
      <c r="L81" s="497"/>
      <c r="M81" s="497"/>
      <c r="N81" s="497"/>
      <c r="O81" s="497"/>
      <c r="P81" s="497"/>
      <c r="Q81" s="497"/>
      <c r="R81" s="497"/>
      <c r="S81" s="497"/>
      <c r="T81" s="805" cm="1" t="str">
        <f t="array" ref="T81:T81">T80</f>
        <v>true</v>
      </c>
      <c r="U81" s="1461"/>
      <c r="V81" s="1461"/>
      <c r="W81" s="1461"/>
      <c r="X81" s="1461"/>
      <c r="Y81" s="1461"/>
      <c r="Z81" s="1461"/>
      <c r="AA81" s="217"/>
      <c r="AB81" s="311" t="s">
        <v>710</v>
      </c>
      <c r="AC81" s="313" t="s">
        <v>2063</v>
      </c>
      <c r="AD81" s="309" t="s">
        <v>805</v>
      </c>
      <c r="AE81" s="1785"/>
      <c r="AF81" s="1785"/>
      <c r="AG81" s="1785"/>
      <c r="AH81" s="1785"/>
      <c r="AI81" s="308"/>
      <c r="AJ81" s="308"/>
      <c r="AK81" s="308"/>
      <c r="AL81" s="308"/>
      <c r="AM81" s="308"/>
      <c r="AN81" s="1785"/>
      <c r="AO81" s="1785"/>
      <c r="AP81" s="1785"/>
      <c r="AQ81" s="1785"/>
      <c r="AR81" s="1785"/>
      <c r="AS81" s="308"/>
      <c r="AT81" s="308"/>
      <c r="AU81" s="308"/>
      <c r="AV81" s="308"/>
      <c r="AW81" s="308"/>
      <c r="AX81" s="1785"/>
      <c r="AY81" s="1785"/>
      <c r="AZ81" s="1785"/>
      <c r="BA81" s="1785"/>
      <c r="BB81" s="1785"/>
      <c r="BC81" s="1730"/>
      <c r="BD81" s="217"/>
      <c r="BE81" s="217"/>
      <c r="BF81" s="1181" t="s">
        <v>1372</v>
      </c>
    </row>
    <row s="1619" customFormat="1" customHeight="1" ht="16.5">
      <c r="A82" s="1461"/>
      <c r="B82" s="924"/>
      <c r="C82" s="1461"/>
      <c r="D82" s="1461"/>
      <c r="E82" s="794">
        <v>17.1</v>
      </c>
      <c r="F82" s="919" cm="1" t="str">
        <f t="array" ref="F82:F82">OFFSET(G82,-1,-1)</f>
        <v>2</v>
      </c>
      <c r="G82" s="497"/>
      <c r="H82" s="497"/>
      <c r="I82" s="497"/>
      <c r="J82" s="497"/>
      <c r="K82" s="497"/>
      <c r="L82" s="497"/>
      <c r="M82" s="497"/>
      <c r="N82" s="497"/>
      <c r="O82" s="497"/>
      <c r="P82" s="497"/>
      <c r="Q82" s="497"/>
      <c r="R82" s="497"/>
      <c r="S82" s="497"/>
      <c r="T82" s="805" cm="1" t="str">
        <f t="array" ref="T82:T82">T81</f>
        <v>true</v>
      </c>
      <c r="U82" s="1461"/>
      <c r="V82" s="1461"/>
      <c r="W82" s="1461"/>
      <c r="X82" s="1461"/>
      <c r="Y82" s="1461"/>
      <c r="Z82" s="1461"/>
      <c r="AA82" s="217"/>
      <c r="AB82" s="311" t="s">
        <v>713</v>
      </c>
      <c r="AC82" s="313" t="s">
        <v>2064</v>
      </c>
      <c r="AD82" s="309" t="s">
        <v>805</v>
      </c>
      <c r="AE82" s="1785"/>
      <c r="AF82" s="1785"/>
      <c r="AG82" s="1785"/>
      <c r="AH82" s="1785"/>
      <c r="AI82" s="308"/>
      <c r="AJ82" s="308"/>
      <c r="AK82" s="308"/>
      <c r="AL82" s="308"/>
      <c r="AM82" s="308"/>
      <c r="AN82" s="1785"/>
      <c r="AO82" s="1785"/>
      <c r="AP82" s="1785"/>
      <c r="AQ82" s="1785"/>
      <c r="AR82" s="1785"/>
      <c r="AS82" s="308"/>
      <c r="AT82" s="308"/>
      <c r="AU82" s="308"/>
      <c r="AV82" s="308"/>
      <c r="AW82" s="308"/>
      <c r="AX82" s="1785"/>
      <c r="AY82" s="1785"/>
      <c r="AZ82" s="1785"/>
      <c r="BA82" s="1785"/>
      <c r="BB82" s="1785"/>
      <c r="BC82" s="1730"/>
      <c r="BD82" s="217"/>
      <c r="BE82" s="217"/>
      <c r="BF82" s="1181" t="s">
        <v>2065</v>
      </c>
    </row>
    <row s="1619" customFormat="1" customHeight="1" ht="16.5">
      <c r="A83" s="1461"/>
      <c r="B83" s="924"/>
      <c r="C83" s="1461"/>
      <c r="D83" s="1461"/>
      <c r="E83" s="794">
        <v>17.1</v>
      </c>
      <c r="F83" s="919" cm="1" t="str">
        <f t="array" ref="F83:F83">OFFSET(G83,-1,-1)</f>
        <v>2</v>
      </c>
      <c r="G83" s="497"/>
      <c r="H83" s="497"/>
      <c r="I83" s="497"/>
      <c r="J83" s="497"/>
      <c r="K83" s="497"/>
      <c r="L83" s="497"/>
      <c r="M83" s="497"/>
      <c r="N83" s="497"/>
      <c r="O83" s="497"/>
      <c r="P83" s="497"/>
      <c r="Q83" s="497"/>
      <c r="R83" s="497"/>
      <c r="S83" s="497"/>
      <c r="T83" s="805" cm="1" t="str">
        <f t="array" ref="T83:T83">T82</f>
        <v>true</v>
      </c>
      <c r="U83" s="1461"/>
      <c r="V83" s="1461"/>
      <c r="W83" s="1461"/>
      <c r="X83" s="1461"/>
      <c r="Y83" s="1461"/>
      <c r="Z83" s="1461"/>
      <c r="AA83" s="217"/>
      <c r="AB83" s="311" t="s">
        <v>1906</v>
      </c>
      <c r="AC83" s="313" t="s">
        <v>2066</v>
      </c>
      <c r="AD83" s="309" t="s">
        <v>805</v>
      </c>
      <c r="AE83" s="1785"/>
      <c r="AF83" s="1785"/>
      <c r="AG83" s="1785"/>
      <c r="AH83" s="1785"/>
      <c r="AI83" s="308"/>
      <c r="AJ83" s="308"/>
      <c r="AK83" s="308"/>
      <c r="AL83" s="308"/>
      <c r="AM83" s="308"/>
      <c r="AN83" s="1785"/>
      <c r="AO83" s="1785"/>
      <c r="AP83" s="1785"/>
      <c r="AQ83" s="1785"/>
      <c r="AR83" s="1785"/>
      <c r="AS83" s="308"/>
      <c r="AT83" s="308"/>
      <c r="AU83" s="308"/>
      <c r="AV83" s="308"/>
      <c r="AW83" s="308"/>
      <c r="AX83" s="1785"/>
      <c r="AY83" s="1785"/>
      <c r="AZ83" s="1785"/>
      <c r="BA83" s="1785"/>
      <c r="BB83" s="1785"/>
      <c r="BC83" s="1730"/>
      <c r="BD83" s="217"/>
      <c r="BE83" s="217"/>
      <c r="BF83" s="1181" t="s">
        <v>2067</v>
      </c>
    </row>
    <row s="1619" customFormat="1" customHeight="1" ht="16.5">
      <c r="A84" s="1461"/>
      <c r="B84" s="924"/>
      <c r="C84" s="1461"/>
      <c r="D84" s="1461"/>
      <c r="E84" s="794">
        <v>17.1</v>
      </c>
      <c r="F84" s="919" cm="1" t="str">
        <f t="array" ref="F84:F84">OFFSET(G84,-1,-1)</f>
        <v>2</v>
      </c>
      <c r="G84" s="497"/>
      <c r="H84" s="497"/>
      <c r="I84" s="497"/>
      <c r="J84" s="497"/>
      <c r="K84" s="497"/>
      <c r="L84" s="497"/>
      <c r="M84" s="497"/>
      <c r="N84" s="497"/>
      <c r="O84" s="497"/>
      <c r="P84" s="497"/>
      <c r="Q84" s="497"/>
      <c r="R84" s="497"/>
      <c r="S84" s="497"/>
      <c r="T84" s="805" cm="1" t="str">
        <f t="array" ref="T84:T84">T83</f>
        <v>true</v>
      </c>
      <c r="U84" s="1461"/>
      <c r="V84" s="1461"/>
      <c r="W84" s="1461"/>
      <c r="X84" s="1461"/>
      <c r="Y84" s="1461"/>
      <c r="Z84" s="1461"/>
      <c r="AA84" s="217"/>
      <c r="AB84" s="311" t="s">
        <v>624</v>
      </c>
      <c r="AC84" s="312" t="s">
        <v>2068</v>
      </c>
      <c r="AD84" s="309" t="s">
        <v>805</v>
      </c>
      <c r="AE84" s="307">
        <f>AE85+AE86+AE87</f>
        <v>0</v>
      </c>
      <c r="AF84" s="307">
        <f>AF85+AF86+AF87</f>
        <v>0</v>
      </c>
      <c r="AG84" s="307">
        <f>AG85+AG86+AG87</f>
        <v>0</v>
      </c>
      <c r="AH84" s="307">
        <f>AH85+AH86+AH87</f>
        <v>0</v>
      </c>
      <c r="AI84" s="307">
        <f>AI85+AI86+AI87</f>
        <v>0</v>
      </c>
      <c r="AJ84" s="307">
        <f>AJ85+AJ86+AJ87</f>
        <v>0</v>
      </c>
      <c r="AK84" s="307">
        <f>AK85+AK86+AK87</f>
        <v>0</v>
      </c>
      <c r="AL84" s="307">
        <f>AL85+AL86+AL87</f>
        <v>0</v>
      </c>
      <c r="AM84" s="307">
        <f>AM85+AM86+AM87</f>
        <v>0</v>
      </c>
      <c r="AN84" s="307">
        <f>AN85+AN86+AN87</f>
        <v>0</v>
      </c>
      <c r="AO84" s="307">
        <f>AO85+AO86+AO87</f>
        <v>0</v>
      </c>
      <c r="AP84" s="307">
        <f>AP85+AP86+AP87</f>
        <v>0</v>
      </c>
      <c r="AQ84" s="307">
        <f>AQ85+AQ86+AQ87</f>
        <v>0</v>
      </c>
      <c r="AR84" s="307">
        <f>AR85+AR86+AR87</f>
        <v>0</v>
      </c>
      <c r="AS84" s="307">
        <f>AS85+AS86+AS87</f>
        <v>0</v>
      </c>
      <c r="AT84" s="307">
        <f>AT85+AT86+AT87</f>
        <v>0</v>
      </c>
      <c r="AU84" s="307">
        <f>AU85+AU86+AU87</f>
        <v>0</v>
      </c>
      <c r="AV84" s="307">
        <f>AV85+AV86+AV87</f>
        <v>0</v>
      </c>
      <c r="AW84" s="307">
        <f>AW85+AW86+AW87</f>
        <v>0</v>
      </c>
      <c r="AX84" s="307">
        <f>AX85+AX86+AX87</f>
        <v>0</v>
      </c>
      <c r="AY84" s="307">
        <f>AY85+AY86+AY87</f>
        <v>0</v>
      </c>
      <c r="AZ84" s="307">
        <f>AZ85+AZ86+AZ87</f>
        <v>0</v>
      </c>
      <c r="BA84" s="307">
        <f>BA85+BA86+BA87</f>
        <v>0</v>
      </c>
      <c r="BB84" s="307">
        <f>BB85+BB86+BB87</f>
        <v>0</v>
      </c>
      <c r="BC84" s="1730"/>
      <c r="BD84" s="217"/>
      <c r="BE84" s="217"/>
      <c r="BF84" s="1181" t="s">
        <v>1791</v>
      </c>
    </row>
    <row s="1619" customFormat="1" customHeight="1" ht="16.5">
      <c r="A85" s="1461"/>
      <c r="B85" s="924"/>
      <c r="C85" s="1461"/>
      <c r="D85" s="1461"/>
      <c r="E85" s="794">
        <v>17.1</v>
      </c>
      <c r="F85" s="919" cm="1" t="str">
        <f t="array" ref="F85:F85">OFFSET(G85,-1,-1)</f>
        <v>2</v>
      </c>
      <c r="G85" s="497"/>
      <c r="H85" s="497"/>
      <c r="I85" s="497"/>
      <c r="J85" s="497"/>
      <c r="K85" s="497"/>
      <c r="L85" s="497"/>
      <c r="M85" s="497"/>
      <c r="N85" s="497"/>
      <c r="O85" s="497"/>
      <c r="P85" s="497"/>
      <c r="Q85" s="497"/>
      <c r="R85" s="497"/>
      <c r="S85" s="497"/>
      <c r="T85" s="805" cm="1" t="str">
        <f t="array" ref="T85:T85">T84</f>
        <v>true</v>
      </c>
      <c r="U85" s="1461"/>
      <c r="V85" s="1461"/>
      <c r="W85" s="1461"/>
      <c r="X85" s="1461"/>
      <c r="Y85" s="1461"/>
      <c r="Z85" s="1461"/>
      <c r="AA85" s="217"/>
      <c r="AB85" s="311" t="s">
        <v>746</v>
      </c>
      <c r="AC85" s="313" t="s">
        <v>2069</v>
      </c>
      <c r="AD85" s="309" t="s">
        <v>805</v>
      </c>
      <c r="AE85" s="1785"/>
      <c r="AF85" s="1785"/>
      <c r="AG85" s="1785"/>
      <c r="AH85" s="1785"/>
      <c r="AI85" s="308"/>
      <c r="AJ85" s="308"/>
      <c r="AK85" s="308"/>
      <c r="AL85" s="308"/>
      <c r="AM85" s="308"/>
      <c r="AN85" s="1785"/>
      <c r="AO85" s="1785"/>
      <c r="AP85" s="1785"/>
      <c r="AQ85" s="1785"/>
      <c r="AR85" s="1785"/>
      <c r="AS85" s="308"/>
      <c r="AT85" s="308"/>
      <c r="AU85" s="308"/>
      <c r="AV85" s="308"/>
      <c r="AW85" s="308"/>
      <c r="AX85" s="1785"/>
      <c r="AY85" s="1785"/>
      <c r="AZ85" s="1785"/>
      <c r="BA85" s="1785"/>
      <c r="BB85" s="1785"/>
      <c r="BC85" s="1730"/>
      <c r="BD85" s="217"/>
      <c r="BE85" s="217"/>
      <c r="BF85" s="1181" t="s">
        <v>2070</v>
      </c>
    </row>
    <row s="1619" customFormat="1" customHeight="1" ht="16.5">
      <c r="A86" s="1461"/>
      <c r="B86" s="924"/>
      <c r="C86" s="1461"/>
      <c r="D86" s="1461"/>
      <c r="E86" s="794">
        <v>17.1</v>
      </c>
      <c r="F86" s="919" cm="1" t="str">
        <f t="array" ref="F86:F86">OFFSET(G86,-1,-1)</f>
        <v>2</v>
      </c>
      <c r="G86" s="497"/>
      <c r="H86" s="497"/>
      <c r="I86" s="497"/>
      <c r="J86" s="497"/>
      <c r="K86" s="497"/>
      <c r="L86" s="497"/>
      <c r="M86" s="497"/>
      <c r="N86" s="497"/>
      <c r="O86" s="497"/>
      <c r="P86" s="497"/>
      <c r="Q86" s="497"/>
      <c r="R86" s="497"/>
      <c r="S86" s="497"/>
      <c r="T86" s="805" cm="1" t="str">
        <f t="array" ref="T86:T86">T85</f>
        <v>true</v>
      </c>
      <c r="U86" s="1461"/>
      <c r="V86" s="1461"/>
      <c r="W86" s="1461"/>
      <c r="X86" s="1461"/>
      <c r="Y86" s="1461"/>
      <c r="Z86" s="1461"/>
      <c r="AA86" s="217"/>
      <c r="AB86" s="311" t="s">
        <v>1607</v>
      </c>
      <c r="AC86" s="313" t="s">
        <v>2071</v>
      </c>
      <c r="AD86" s="309" t="s">
        <v>805</v>
      </c>
      <c r="AE86" s="1785"/>
      <c r="AF86" s="1785"/>
      <c r="AG86" s="1785"/>
      <c r="AH86" s="1785"/>
      <c r="AI86" s="308"/>
      <c r="AJ86" s="308"/>
      <c r="AK86" s="308"/>
      <c r="AL86" s="308"/>
      <c r="AM86" s="308"/>
      <c r="AN86" s="1785"/>
      <c r="AO86" s="1785"/>
      <c r="AP86" s="1785"/>
      <c r="AQ86" s="1785"/>
      <c r="AR86" s="1785"/>
      <c r="AS86" s="308"/>
      <c r="AT86" s="308"/>
      <c r="AU86" s="308"/>
      <c r="AV86" s="308"/>
      <c r="AW86" s="308"/>
      <c r="AX86" s="1785"/>
      <c r="AY86" s="1785"/>
      <c r="AZ86" s="1785"/>
      <c r="BA86" s="1785"/>
      <c r="BB86" s="1785"/>
      <c r="BC86" s="1730"/>
      <c r="BD86" s="217"/>
      <c r="BE86" s="217"/>
      <c r="BF86" s="1181" t="s">
        <v>2072</v>
      </c>
    </row>
    <row s="1619" customFormat="1" customHeight="1" ht="16.5">
      <c r="A87" s="1461"/>
      <c r="B87" s="924"/>
      <c r="C87" s="1461"/>
      <c r="D87" s="1461"/>
      <c r="E87" s="794">
        <v>17.1</v>
      </c>
      <c r="F87" s="919" cm="1" t="str">
        <f t="array" ref="F87:F87">OFFSET(G87,-1,-1)</f>
        <v>2</v>
      </c>
      <c r="G87" s="497"/>
      <c r="H87" s="497"/>
      <c r="I87" s="497"/>
      <c r="J87" s="497"/>
      <c r="K87" s="497"/>
      <c r="L87" s="497"/>
      <c r="M87" s="497"/>
      <c r="N87" s="497"/>
      <c r="O87" s="497"/>
      <c r="P87" s="497"/>
      <c r="Q87" s="497"/>
      <c r="R87" s="497"/>
      <c r="S87" s="497"/>
      <c r="T87" s="805" cm="1" t="str">
        <f t="array" ref="T87:T87">T86</f>
        <v>true</v>
      </c>
      <c r="U87" s="1461"/>
      <c r="V87" s="1461"/>
      <c r="W87" s="1461"/>
      <c r="X87" s="1461"/>
      <c r="Y87" s="1461"/>
      <c r="Z87" s="1461"/>
      <c r="AA87" s="217"/>
      <c r="AB87" s="311" t="s">
        <v>1662</v>
      </c>
      <c r="AC87" s="313" t="s">
        <v>2073</v>
      </c>
      <c r="AD87" s="309" t="s">
        <v>805</v>
      </c>
      <c r="AE87" s="1785"/>
      <c r="AF87" s="1785"/>
      <c r="AG87" s="1785"/>
      <c r="AH87" s="1785"/>
      <c r="AI87" s="308"/>
      <c r="AJ87" s="308"/>
      <c r="AK87" s="308"/>
      <c r="AL87" s="308"/>
      <c r="AM87" s="308"/>
      <c r="AN87" s="1785"/>
      <c r="AO87" s="1785"/>
      <c r="AP87" s="1785"/>
      <c r="AQ87" s="1785"/>
      <c r="AR87" s="1785"/>
      <c r="AS87" s="308"/>
      <c r="AT87" s="308"/>
      <c r="AU87" s="308"/>
      <c r="AV87" s="308"/>
      <c r="AW87" s="308"/>
      <c r="AX87" s="1785"/>
      <c r="AY87" s="1785"/>
      <c r="AZ87" s="1785"/>
      <c r="BA87" s="1785"/>
      <c r="BB87" s="1785"/>
      <c r="BC87" s="1730"/>
      <c r="BD87" s="217"/>
      <c r="BE87" s="217"/>
      <c r="BF87" s="1181" t="s">
        <v>2074</v>
      </c>
    </row>
    <row s="1619" customFormat="1" customHeight="1" ht="16.5">
      <c r="A88" s="1461"/>
      <c r="B88" s="924"/>
      <c r="C88" s="1461"/>
      <c r="D88" s="1461"/>
      <c r="E88" s="794">
        <v>17.1</v>
      </c>
      <c r="F88" s="919" cm="1" t="str">
        <f t="array" ref="F88:F88">OFFSET(G88,-1,-1)</f>
        <v>2</v>
      </c>
      <c r="G88" s="497"/>
      <c r="H88" s="497"/>
      <c r="I88" s="497"/>
      <c r="J88" s="497"/>
      <c r="K88" s="497"/>
      <c r="L88" s="497"/>
      <c r="M88" s="497"/>
      <c r="N88" s="497"/>
      <c r="O88" s="497"/>
      <c r="P88" s="497"/>
      <c r="Q88" s="497"/>
      <c r="R88" s="497"/>
      <c r="S88" s="497"/>
      <c r="T88" s="805" cm="1" t="str">
        <f t="array" ref="T88:T88">T87</f>
        <v>true</v>
      </c>
      <c r="U88" s="1461"/>
      <c r="V88" s="1461"/>
      <c r="W88" s="1461"/>
      <c r="X88" s="1461"/>
      <c r="Y88" s="1461"/>
      <c r="Z88" s="1461"/>
      <c r="AA88" s="217"/>
      <c r="AB88" s="311" t="s">
        <v>629</v>
      </c>
      <c r="AC88" s="313" t="s">
        <v>2075</v>
      </c>
      <c r="AD88" s="309" t="s">
        <v>805</v>
      </c>
      <c r="AE88" s="1785"/>
      <c r="AF88" s="1785"/>
      <c r="AG88" s="1785"/>
      <c r="AH88" s="1785"/>
      <c r="AI88" s="308"/>
      <c r="AJ88" s="308"/>
      <c r="AK88" s="308"/>
      <c r="AL88" s="308"/>
      <c r="AM88" s="308"/>
      <c r="AN88" s="1785"/>
      <c r="AO88" s="1785"/>
      <c r="AP88" s="1785"/>
      <c r="AQ88" s="1785"/>
      <c r="AR88" s="1785"/>
      <c r="AS88" s="308"/>
      <c r="AT88" s="308"/>
      <c r="AU88" s="308"/>
      <c r="AV88" s="308"/>
      <c r="AW88" s="308"/>
      <c r="AX88" s="1785"/>
      <c r="AY88" s="1785"/>
      <c r="AZ88" s="1785"/>
      <c r="BA88" s="1785"/>
      <c r="BB88" s="1785"/>
      <c r="BC88" s="1730"/>
      <c r="BD88" s="217"/>
      <c r="BE88" s="217"/>
      <c r="BF88" s="1181" t="s">
        <v>2076</v>
      </c>
    </row>
    <row customHeight="1" ht="11.700000000000001">
      <c r="E89" s="794">
        <v>12</v>
      </c>
      <c r="U89" s="176" t="s">
        <v>235</v>
      </c>
      <c r="V89" s="168" t="s">
        <v>2077</v>
      </c>
      <c r="AC89" s="210"/>
      <c r="AI89" s="217"/>
      <c r="AJ89" s="217"/>
      <c r="AK89" s="217"/>
      <c r="AL89" s="217"/>
      <c r="AM89" s="217"/>
      <c r="AN89" s="217"/>
      <c r="AO89" s="217"/>
      <c r="AP89" s="217"/>
      <c r="AQ89" s="217"/>
      <c r="AR89" s="217"/>
      <c r="AS89" s="217"/>
      <c r="AT89" s="217"/>
      <c r="AU89" s="217"/>
      <c r="AV89" s="217"/>
      <c r="AW89" s="217"/>
      <c r="AX89" s="217"/>
      <c r="AY89" s="217"/>
      <c r="AZ89" s="217"/>
      <c r="BA89" s="217"/>
      <c r="BB89" s="217"/>
    </row>
    <row customHeight="1" ht="12.75" hidden="1">
      <c r="E90" s="794">
        <v>0</v>
      </c>
      <c r="AC90" s="210"/>
      <c r="AI90" s="217"/>
      <c r="AJ90" s="217"/>
      <c r="AK90" s="217"/>
      <c r="AL90" s="217"/>
      <c r="AM90" s="217"/>
      <c r="AN90" s="217"/>
      <c r="AO90" s="217"/>
      <c r="AP90" s="217"/>
      <c r="AQ90" s="217"/>
      <c r="AR90" s="217"/>
      <c r="AS90" s="217"/>
      <c r="AT90" s="217"/>
      <c r="AU90" s="217"/>
      <c r="AV90" s="217"/>
      <c r="AW90" s="217"/>
      <c r="AX90" s="217"/>
      <c r="AY90" s="217"/>
      <c r="AZ90" s="217"/>
      <c r="BA90" s="217"/>
      <c r="BB90" s="217"/>
    </row>
    <row customHeight="1" ht="14.625">
      <c r="E91" s="794">
        <v>15</v>
      </c>
      <c r="AB91" s="1527" t="s">
        <v>700</v>
      </c>
      <c r="AC91" s="1565"/>
      <c r="AD91" s="1565"/>
      <c r="AE91" s="1565"/>
      <c r="AF91" s="1565"/>
      <c r="AG91" s="1565"/>
      <c r="AH91" s="1565"/>
      <c r="AI91" s="1565"/>
      <c r="AJ91" s="1565"/>
      <c r="AK91" s="1565"/>
      <c r="AL91" s="1565"/>
      <c r="AM91" s="1565"/>
      <c r="AN91" s="1565"/>
      <c r="AO91" s="1565"/>
      <c r="AP91" s="1565"/>
      <c r="AQ91" s="1565"/>
      <c r="AR91" s="1565"/>
      <c r="AS91" s="1565"/>
      <c r="AT91" s="1565"/>
      <c r="AU91" s="1565"/>
      <c r="AV91" s="1565"/>
      <c r="AW91" s="1565"/>
      <c r="AX91" s="1565"/>
      <c r="AY91" s="1565"/>
      <c r="AZ91" s="1565"/>
      <c r="BA91" s="1565"/>
      <c r="BB91" s="1565"/>
      <c r="BC91" s="1565"/>
    </row>
    <row customHeight="1" ht="14.625">
      <c r="E92" s="794">
        <v>15</v>
      </c>
      <c r="AA92" s="918"/>
      <c r="AB92" s="1540"/>
      <c r="AC92" s="1540"/>
      <c r="AD92" s="1540"/>
      <c r="AE92" s="1540"/>
      <c r="AF92" s="1540"/>
      <c r="AG92" s="1540"/>
      <c r="AH92" s="1540"/>
      <c r="AI92" s="1540"/>
      <c r="AJ92" s="1540"/>
      <c r="AK92" s="1540"/>
      <c r="AL92" s="1540"/>
      <c r="AM92" s="1540"/>
      <c r="AN92" s="1865"/>
      <c r="AO92" s="1865"/>
      <c r="AP92" s="1865"/>
      <c r="AQ92" s="1865"/>
      <c r="AR92" s="1865"/>
      <c r="AS92" s="1540"/>
      <c r="AT92" s="1540"/>
      <c r="AU92" s="1540"/>
      <c r="AV92" s="1540"/>
      <c r="AW92" s="1540"/>
      <c r="AX92" s="1865"/>
      <c r="AY92" s="1865"/>
      <c r="AZ92" s="1865"/>
      <c r="BA92" s="1865"/>
      <c r="BB92" s="1865"/>
      <c r="BC92" s="1540"/>
    </row>
    <row customHeight="1" ht="14.625" hidden="1">
      <c r="A93" s="1461"/>
      <c r="B93" s="924"/>
      <c r="C93" s="1461"/>
      <c r="D93" s="1461"/>
      <c r="E93" s="794">
        <v>15</v>
      </c>
      <c r="F93" s="1461"/>
      <c r="G93" s="497"/>
      <c r="H93" s="497"/>
      <c r="I93" s="497"/>
      <c r="J93" s="497"/>
      <c r="K93" s="497"/>
      <c r="L93" s="497"/>
      <c r="M93" s="497"/>
      <c r="N93" s="497"/>
      <c r="O93" s="497"/>
      <c r="P93" s="497"/>
      <c r="Q93" s="497"/>
      <c r="R93" s="497"/>
      <c r="S93" s="497"/>
      <c r="T93" s="805">
        <f>ROW(W93)&gt;ROW(W$93)</f>
        <v>0</v>
      </c>
      <c r="U93" s="1461"/>
      <c r="V93" s="1461"/>
      <c r="W93" s="172" t="s">
        <v>233</v>
      </c>
      <c r="X93" s="1461"/>
      <c r="Y93" s="1461"/>
      <c r="Z93" s="1461"/>
      <c r="AA93" s="914" t="s">
        <v>217</v>
      </c>
      <c r="AB93" s="1865"/>
      <c r="AC93" s="1865"/>
      <c r="AD93" s="1865"/>
      <c r="AE93" s="1865"/>
      <c r="AF93" s="1865"/>
      <c r="AG93" s="1865"/>
      <c r="AH93" s="1865"/>
      <c r="AI93" s="1540"/>
      <c r="AJ93" s="1540"/>
      <c r="AK93" s="1540"/>
      <c r="AL93" s="1540"/>
      <c r="AM93" s="1540"/>
      <c r="AN93" s="1865"/>
      <c r="AO93" s="1865"/>
      <c r="AP93" s="1865"/>
      <c r="AQ93" s="1865"/>
      <c r="AR93" s="1865"/>
      <c r="AS93" s="1540"/>
      <c r="AT93" s="1540"/>
      <c r="AU93" s="1540"/>
      <c r="AV93" s="1540"/>
      <c r="AW93" s="1540"/>
      <c r="AX93" s="1865"/>
      <c r="AY93" s="1865"/>
      <c r="AZ93" s="1865"/>
      <c r="BA93" s="1865"/>
      <c r="BB93" s="1865"/>
      <c r="BC93" s="1865"/>
      <c r="BD93" s="217"/>
      <c r="BE93" s="217"/>
      <c r="BF93" s="1216"/>
    </row>
    <row customHeight="1" ht="14.625">
      <c r="E94" s="794">
        <v>15</v>
      </c>
      <c r="W94" s="168" t="s">
        <v>234</v>
      </c>
      <c r="AA94" s="210"/>
      <c r="AB94" s="1475" t="s">
        <v>701</v>
      </c>
      <c r="AC94" s="1476"/>
      <c r="AD94" s="380"/>
      <c r="AE94" s="380"/>
      <c r="AF94" s="380"/>
      <c r="AG94" s="380"/>
      <c r="AH94" s="380"/>
      <c r="AI94" s="380"/>
      <c r="AJ94" s="380"/>
      <c r="AK94" s="380"/>
      <c r="AL94" s="380"/>
      <c r="AM94" s="380"/>
      <c r="AN94" s="380"/>
      <c r="AO94" s="380"/>
      <c r="AP94" s="380"/>
      <c r="AQ94" s="380"/>
      <c r="AR94" s="380"/>
      <c r="AS94" s="380"/>
      <c r="AT94" s="380"/>
      <c r="AU94" s="380"/>
      <c r="AV94" s="380"/>
      <c r="AW94" s="380"/>
      <c r="AX94" s="380"/>
      <c r="AY94" s="380"/>
      <c r="AZ94" s="380"/>
      <c r="BA94" s="380"/>
      <c r="BB94" s="380"/>
      <c r="BC94" s="347"/>
    </row>
    <row customHeight="1" ht="11.25">
      <c r="AI95" s="217"/>
      <c r="AJ95" s="217"/>
      <c r="AK95" s="217"/>
      <c r="AL95" s="217"/>
      <c r="AM95" s="217"/>
      <c r="AN95" s="217"/>
      <c r="AO95" s="217"/>
      <c r="AP95" s="217"/>
      <c r="AQ95" s="217"/>
      <c r="AR95" s="217"/>
      <c r="AS95" s="217"/>
      <c r="AT95" s="217"/>
      <c r="AU95" s="217"/>
      <c r="AV95" s="217"/>
      <c r="AW95" s="217"/>
      <c r="AX95" s="217"/>
      <c r="AY95" s="217"/>
      <c r="AZ95" s="217"/>
      <c r="BA95" s="217"/>
      <c r="BB95" s="217"/>
      <c r="BD95" s="198"/>
    </row>
  </sheetData>
  <sheetProtection formatColumns="0" formatRows="0" insertRows="0" deleteColumns="0" deleteRows="0" sort="0" autoFilter="0" insertColumns="1"/>
  <mergeCells count="15">
    <mergeCell ref="Z29:Z48"/>
    <mergeCell ref="X29:X48"/>
    <mergeCell ref="AB92:BC92"/>
    <mergeCell ref="AB94:AC94"/>
    <mergeCell ref="AB24:AC24"/>
    <mergeCell ref="AB26:AB27"/>
    <mergeCell ref="AC26:AC27"/>
    <mergeCell ref="AD26:AD27"/>
    <mergeCell ref="BC26:BC27"/>
    <mergeCell ref="AB91:BC91"/>
    <mergeCell ref="AB93:BC93"/>
    <mergeCell ref="Z49:Z68"/>
    <mergeCell ref="X49:X68"/>
    <mergeCell ref="Z69:Z88"/>
    <mergeCell ref="X69:X8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41C74-9768-A452-608C-ECE045E2A2F8}" mc:Ignorable="x14ac xr xr2 xr3">
  <sheetPr>
    <tabColor rgb="FF002060"/>
    <outlinePr summaryRight="0" summaryBelow="0"/>
  </sheetPr>
  <dimension ref="A1:GD172"/>
  <sheetViews>
    <sheetView showGridLines="0" workbookViewId="0">
      <pane xSplit="29" ySplit="27" topLeftCell="AD74" activePane="bottomRight" state="frozen"/>
      <selection pane="bottomLeft" activeCell="A28" sqref="A28"/>
      <selection pane="topRight" activeCell="AD1" sqref="AD1"/>
      <selection pane="bottomRight" activeCell="AC134" sqref="AC134"/>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44" style="497" width="14.25390625" customWidth="1"/>
    <col min="45" max="179" style="497" width="14.25390625" hidden="1" customWidth="1"/>
    <col min="180" max="180" style="497" width="3.00390625" customWidth="1"/>
    <col min="181" max="181" style="497" width="9.140625" hidden="1"/>
    <col min="182" max="182" style="1216" width="8.57421875" hidden="1" customWidth="1"/>
    <col min="183" max="186" style="1392" width="8.57421875" hidden="1" customWidth="1"/>
  </cols>
  <sheetData>
    <row s="1461" customFormat="1" customHeight="1" ht="12" hidden="1">
      <c r="B1" s="785"/>
      <c r="C1" s="1322" t="s">
        <v>84</v>
      </c>
      <c r="D1" s="1291" t="s">
        <v>85</v>
      </c>
      <c r="E1" s="785"/>
      <c r="F1" s="816" t="s">
        <v>83</v>
      </c>
      <c r="G1" s="210"/>
      <c r="H1" s="210"/>
      <c r="I1" s="210"/>
      <c r="J1" s="1296" t="s">
        <v>2078</v>
      </c>
      <c r="K1" s="1296" t="s">
        <v>1566</v>
      </c>
      <c r="L1" s="1296" t="s">
        <v>2079</v>
      </c>
      <c r="M1" s="1296" t="s">
        <v>1567</v>
      </c>
      <c r="N1" s="1296" t="s">
        <v>2080</v>
      </c>
      <c r="O1" s="1296" t="s">
        <v>1995</v>
      </c>
      <c r="P1" s="1296" t="s">
        <v>2081</v>
      </c>
      <c r="Q1" s="1314" t="s">
        <v>94</v>
      </c>
      <c r="R1" s="736"/>
      <c r="S1" s="210"/>
      <c r="T1" s="805" t="s">
        <v>86</v>
      </c>
      <c r="U1" s="805" t="s">
        <v>91</v>
      </c>
      <c r="V1" s="805" t="s">
        <v>87</v>
      </c>
      <c r="W1" s="805" t="s">
        <v>88</v>
      </c>
      <c r="X1" s="805" t="s">
        <v>89</v>
      </c>
      <c r="Y1" s="816" t="s">
        <v>376</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377</v>
      </c>
      <c r="GA1" s="1216" t="s">
        <v>378</v>
      </c>
      <c r="GB1" s="1216" t="s">
        <v>379</v>
      </c>
      <c r="GC1" s="1216" t="s">
        <v>382</v>
      </c>
      <c r="GD1" s="1216" t="s">
        <v>383</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1</v>
      </c>
      <c r="AH2" s="806">
        <f>AH6&lt;=last_year_vis</f>
        <v>1</v>
      </c>
      <c r="AI2" s="806">
        <f>AI6&lt;=last_year_vis</f>
        <v>1</v>
      </c>
      <c r="AJ2" s="806">
        <f>AJ6&lt;=last_year_vis</f>
        <v>1</v>
      </c>
      <c r="AK2" s="806">
        <f>AK6&lt;=last_year_vis</f>
        <v>1</v>
      </c>
      <c r="AL2" s="806">
        <f>AL6&lt;=last_year_vis</f>
        <v>1</v>
      </c>
      <c r="AM2" s="806">
        <f>AM6&lt;=last_year_vis</f>
        <v>1</v>
      </c>
      <c r="AN2" s="806">
        <f>AN6&lt;=last_year_vis</f>
        <v>1</v>
      </c>
      <c r="AO2" s="806">
        <f>AO6&lt;=last_year_vis</f>
        <v>1</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430</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431</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1571</v>
      </c>
      <c r="AE11" s="1270" t="s">
        <v>1571</v>
      </c>
      <c r="AF11" s="1270" t="s">
        <v>1571</v>
      </c>
      <c r="AG11" s="1270" t="s">
        <v>1571</v>
      </c>
      <c r="AH11" s="1270" t="s">
        <v>1571</v>
      </c>
      <c r="AI11" s="1270" t="s">
        <v>1571</v>
      </c>
      <c r="AJ11" s="1270" t="s">
        <v>1571</v>
      </c>
      <c r="AK11" s="1270" t="s">
        <v>1571</v>
      </c>
      <c r="AL11" s="1270" t="s">
        <v>1571</v>
      </c>
      <c r="AM11" s="1270" t="s">
        <v>1571</v>
      </c>
      <c r="AN11" s="1270" t="s">
        <v>1571</v>
      </c>
      <c r="AO11" s="1270" t="s">
        <v>1571</v>
      </c>
      <c r="AP11" s="1270" t="s">
        <v>1571</v>
      </c>
      <c r="AQ11" s="1270" t="s">
        <v>1571</v>
      </c>
      <c r="AR11" s="1270" t="s">
        <v>1571</v>
      </c>
      <c r="AS11" s="1270" t="s">
        <v>1571</v>
      </c>
      <c r="AT11" s="1270" t="s">
        <v>1571</v>
      </c>
      <c r="AU11" s="1270" t="s">
        <v>1571</v>
      </c>
      <c r="AV11" s="1270" t="s">
        <v>1571</v>
      </c>
      <c r="AW11" s="1270" t="s">
        <v>1571</v>
      </c>
      <c r="AX11" s="1270" t="s">
        <v>1571</v>
      </c>
      <c r="AY11" s="1270" t="s">
        <v>1571</v>
      </c>
      <c r="AZ11" s="1270" t="s">
        <v>1571</v>
      </c>
      <c r="BA11" s="1270" t="s">
        <v>1571</v>
      </c>
      <c r="BB11" s="1270" t="s">
        <v>1571</v>
      </c>
      <c r="BC11" s="1270" t="s">
        <v>1571</v>
      </c>
      <c r="BD11" s="1270" t="s">
        <v>1571</v>
      </c>
      <c r="BE11" s="1270" t="s">
        <v>1571</v>
      </c>
      <c r="BF11" s="1270" t="s">
        <v>1571</v>
      </c>
      <c r="BG11" s="1270" t="s">
        <v>1571</v>
      </c>
      <c r="BH11" s="1270" t="s">
        <v>1571</v>
      </c>
      <c r="BI11" s="1270" t="s">
        <v>1571</v>
      </c>
      <c r="BJ11" s="1270" t="s">
        <v>1571</v>
      </c>
      <c r="BK11" s="1270" t="s">
        <v>1571</v>
      </c>
      <c r="BL11" s="1270" t="s">
        <v>1571</v>
      </c>
      <c r="BM11" s="1270" t="s">
        <v>1571</v>
      </c>
      <c r="BN11" s="1270" t="s">
        <v>1571</v>
      </c>
      <c r="BO11" s="1270" t="s">
        <v>1571</v>
      </c>
      <c r="BP11" s="1270" t="s">
        <v>1571</v>
      </c>
      <c r="BQ11" s="1270" t="s">
        <v>1571</v>
      </c>
      <c r="BR11" s="1270" t="s">
        <v>1571</v>
      </c>
      <c r="BS11" s="1270" t="s">
        <v>1571</v>
      </c>
      <c r="BT11" s="1270" t="s">
        <v>1571</v>
      </c>
      <c r="BU11" s="1270" t="s">
        <v>1571</v>
      </c>
      <c r="BV11" s="1270" t="s">
        <v>1571</v>
      </c>
      <c r="BW11" s="1270" t="s">
        <v>1571</v>
      </c>
      <c r="BX11" s="1270" t="s">
        <v>1571</v>
      </c>
      <c r="BY11" s="1270" t="s">
        <v>1571</v>
      </c>
      <c r="BZ11" s="1270" t="s">
        <v>1571</v>
      </c>
      <c r="CA11" s="1270" t="s">
        <v>1571</v>
      </c>
      <c r="CB11" s="1270" t="s">
        <v>1571</v>
      </c>
      <c r="CC11" s="1270" t="s">
        <v>1571</v>
      </c>
      <c r="CD11" s="1270" t="s">
        <v>1571</v>
      </c>
      <c r="CE11" s="1270" t="s">
        <v>1571</v>
      </c>
      <c r="CF11" s="1270" t="s">
        <v>1571</v>
      </c>
      <c r="CG11" s="1270" t="s">
        <v>1571</v>
      </c>
      <c r="CH11" s="1270" t="s">
        <v>1571</v>
      </c>
      <c r="CI11" s="1270" t="s">
        <v>1571</v>
      </c>
      <c r="CJ11" s="1270" t="s">
        <v>1571</v>
      </c>
      <c r="CK11" s="1270" t="s">
        <v>1571</v>
      </c>
      <c r="CL11" s="1270" t="s">
        <v>1571</v>
      </c>
      <c r="CM11" s="1270" t="s">
        <v>1571</v>
      </c>
      <c r="CN11" s="1270" t="s">
        <v>1571</v>
      </c>
      <c r="CO11" s="1270" t="s">
        <v>1571</v>
      </c>
      <c r="CP11" s="1270" t="s">
        <v>1571</v>
      </c>
      <c r="CQ11" s="1270" t="s">
        <v>1571</v>
      </c>
      <c r="CR11" s="1270" t="s">
        <v>1571</v>
      </c>
      <c r="CS11" s="1270" t="s">
        <v>1571</v>
      </c>
      <c r="CT11" s="1270" t="s">
        <v>1571</v>
      </c>
      <c r="CU11" s="1270" t="s">
        <v>1571</v>
      </c>
      <c r="CV11" s="1270" t="s">
        <v>1571</v>
      </c>
      <c r="CW11" s="1270" t="s">
        <v>1571</v>
      </c>
      <c r="CX11" s="1270" t="s">
        <v>1571</v>
      </c>
      <c r="CY11" s="1270" t="s">
        <v>1571</v>
      </c>
      <c r="CZ11" s="1270" t="s">
        <v>1571</v>
      </c>
      <c r="DA11" s="1270" t="s">
        <v>1571</v>
      </c>
      <c r="DB11" s="1270" t="s">
        <v>1571</v>
      </c>
      <c r="DC11" s="1270" t="s">
        <v>1571</v>
      </c>
      <c r="DD11" s="1270" t="s">
        <v>1571</v>
      </c>
      <c r="DE11" s="1270" t="s">
        <v>1571</v>
      </c>
      <c r="DF11" s="1270" t="s">
        <v>1571</v>
      </c>
      <c r="DG11" s="1270" t="s">
        <v>1571</v>
      </c>
      <c r="DH11" s="1270" t="s">
        <v>1571</v>
      </c>
      <c r="DI11" s="1270" t="s">
        <v>1571</v>
      </c>
      <c r="DJ11" s="1270" t="s">
        <v>1571</v>
      </c>
      <c r="DK11" s="1270" t="s">
        <v>1571</v>
      </c>
      <c r="DL11" s="1270" t="s">
        <v>1571</v>
      </c>
      <c r="DM11" s="1270" t="s">
        <v>1571</v>
      </c>
      <c r="DN11" s="1270" t="s">
        <v>1571</v>
      </c>
      <c r="DO11" s="1270" t="s">
        <v>1571</v>
      </c>
      <c r="DP11" s="1270" t="s">
        <v>1571</v>
      </c>
      <c r="DQ11" s="1270" t="s">
        <v>1571</v>
      </c>
      <c r="DR11" s="1270" t="s">
        <v>1571</v>
      </c>
      <c r="DS11" s="1270" t="s">
        <v>1571</v>
      </c>
      <c r="DT11" s="1270" t="s">
        <v>1571</v>
      </c>
      <c r="DU11" s="1270" t="s">
        <v>1571</v>
      </c>
      <c r="DV11" s="1270" t="s">
        <v>1571</v>
      </c>
      <c r="DW11" s="1270" t="s">
        <v>1571</v>
      </c>
      <c r="DX11" s="1270" t="s">
        <v>1571</v>
      </c>
      <c r="DY11" s="1270" t="s">
        <v>1571</v>
      </c>
      <c r="DZ11" s="1270" t="s">
        <v>1571</v>
      </c>
      <c r="EA11" s="1270" t="s">
        <v>1571</v>
      </c>
      <c r="EB11" s="1270" t="s">
        <v>1571</v>
      </c>
      <c r="EC11" s="1270" t="s">
        <v>1571</v>
      </c>
      <c r="ED11" s="1270" t="s">
        <v>1571</v>
      </c>
      <c r="EE11" s="1270" t="s">
        <v>1571</v>
      </c>
      <c r="EF11" s="1270" t="s">
        <v>1571</v>
      </c>
      <c r="EG11" s="1270" t="s">
        <v>1571</v>
      </c>
      <c r="EH11" s="1270" t="s">
        <v>1571</v>
      </c>
      <c r="EI11" s="1270" t="s">
        <v>1571</v>
      </c>
      <c r="EJ11" s="1270" t="s">
        <v>1571</v>
      </c>
      <c r="EK11" s="1270" t="s">
        <v>1571</v>
      </c>
      <c r="EL11" s="1270" t="s">
        <v>1571</v>
      </c>
      <c r="EM11" s="1270" t="s">
        <v>1571</v>
      </c>
      <c r="EN11" s="1270" t="s">
        <v>1571</v>
      </c>
      <c r="EO11" s="1270" t="s">
        <v>1571</v>
      </c>
      <c r="EP11" s="1270" t="s">
        <v>1571</v>
      </c>
      <c r="EQ11" s="1270" t="s">
        <v>1571</v>
      </c>
      <c r="ER11" s="1270" t="s">
        <v>1571</v>
      </c>
      <c r="ES11" s="1270" t="s">
        <v>1571</v>
      </c>
      <c r="ET11" s="1270" t="s">
        <v>1571</v>
      </c>
      <c r="EU11" s="1270" t="s">
        <v>1571</v>
      </c>
      <c r="EV11" s="1270" t="s">
        <v>1571</v>
      </c>
      <c r="EW11" s="1270" t="s">
        <v>1571</v>
      </c>
      <c r="EX11" s="1270" t="s">
        <v>1571</v>
      </c>
      <c r="EY11" s="1270" t="s">
        <v>1571</v>
      </c>
      <c r="EZ11" s="1270" t="s">
        <v>1571</v>
      </c>
      <c r="FA11" s="1270" t="s">
        <v>1571</v>
      </c>
      <c r="FB11" s="1270" t="s">
        <v>1571</v>
      </c>
      <c r="FC11" s="1270" t="s">
        <v>1571</v>
      </c>
      <c r="FD11" s="1270" t="s">
        <v>1571</v>
      </c>
      <c r="FE11" s="1270" t="s">
        <v>1571</v>
      </c>
      <c r="FF11" s="1270" t="s">
        <v>1571</v>
      </c>
      <c r="FG11" s="1270" t="s">
        <v>1571</v>
      </c>
      <c r="FH11" s="1270" t="s">
        <v>1571</v>
      </c>
      <c r="FI11" s="1270" t="s">
        <v>1571</v>
      </c>
      <c r="FJ11" s="1270" t="s">
        <v>1571</v>
      </c>
      <c r="FK11" s="1270" t="s">
        <v>1571</v>
      </c>
      <c r="FL11" s="1270" t="s">
        <v>1571</v>
      </c>
      <c r="FM11" s="1270" t="s">
        <v>1571</v>
      </c>
      <c r="FN11" s="1270" t="s">
        <v>1571</v>
      </c>
      <c r="FO11" s="1270" t="s">
        <v>1571</v>
      </c>
      <c r="FP11" s="1270" t="s">
        <v>1571</v>
      </c>
      <c r="FQ11" s="1270" t="s">
        <v>1571</v>
      </c>
      <c r="FR11" s="1270" t="s">
        <v>1571</v>
      </c>
      <c r="FS11" s="1270" t="s">
        <v>1571</v>
      </c>
      <c r="FT11" s="1270" t="s">
        <v>1571</v>
      </c>
      <c r="FU11" s="1270" t="s">
        <v>1571</v>
      </c>
      <c r="FV11" s="1270" t="s">
        <v>1571</v>
      </c>
      <c r="FW11" s="1270" t="s">
        <v>1571</v>
      </c>
      <c r="FZ11" s="1310"/>
      <c r="GA11" s="1310"/>
      <c r="GB11" s="1310"/>
      <c r="GC11" s="1310"/>
      <c r="GD11" s="1310"/>
    </row>
    <row s="1279" customFormat="1" customHeight="1" ht="12" hidden="1">
      <c r="A12" s="1273" t="s">
        <v>1572</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1573</v>
      </c>
      <c r="B13" s="1255"/>
      <c r="C13" s="1324"/>
      <c r="E13" s="1255"/>
      <c r="G13" s="1296"/>
      <c r="H13" s="1296"/>
      <c r="I13" s="1296"/>
      <c r="J13" s="1296"/>
      <c r="K13" s="1296"/>
      <c r="L13" s="1296"/>
      <c r="M13" s="1296"/>
      <c r="N13" s="1296"/>
      <c r="O13" s="1296"/>
      <c r="P13" s="1296"/>
      <c r="Q13" s="1314"/>
      <c r="R13" s="1308"/>
      <c r="S13" s="1296"/>
      <c r="AB13" s="1309"/>
      <c r="AC13" s="1309"/>
      <c r="AD13" s="1270" t="s">
        <v>1575</v>
      </c>
      <c r="AE13" s="1270" t="s">
        <v>1574</v>
      </c>
      <c r="AF13" s="1270" t="s">
        <v>1576</v>
      </c>
      <c r="AG13" s="1270" t="s">
        <v>1575</v>
      </c>
      <c r="AH13" s="1270" t="s">
        <v>1574</v>
      </c>
      <c r="AI13" s="1270" t="s">
        <v>1576</v>
      </c>
      <c r="AJ13" s="1270" t="s">
        <v>1575</v>
      </c>
      <c r="AK13" s="1270" t="s">
        <v>1574</v>
      </c>
      <c r="AL13" s="1270" t="s">
        <v>1576</v>
      </c>
      <c r="AM13" s="1270" t="s">
        <v>1575</v>
      </c>
      <c r="AN13" s="1270" t="s">
        <v>1574</v>
      </c>
      <c r="AO13" s="1270" t="s">
        <v>1576</v>
      </c>
      <c r="AP13" s="1270" t="s">
        <v>1575</v>
      </c>
      <c r="AQ13" s="1270" t="s">
        <v>1574</v>
      </c>
      <c r="AR13" s="1270" t="s">
        <v>1576</v>
      </c>
      <c r="AS13" s="1270" t="s">
        <v>1575</v>
      </c>
      <c r="AT13" s="1270" t="s">
        <v>1574</v>
      </c>
      <c r="AU13" s="1270" t="s">
        <v>1576</v>
      </c>
      <c r="AV13" s="1270" t="s">
        <v>1575</v>
      </c>
      <c r="AW13" s="1270" t="s">
        <v>1574</v>
      </c>
      <c r="AX13" s="1270" t="s">
        <v>1576</v>
      </c>
      <c r="AY13" s="1270" t="s">
        <v>1575</v>
      </c>
      <c r="AZ13" s="1270" t="s">
        <v>1574</v>
      </c>
      <c r="BA13" s="1270" t="s">
        <v>1576</v>
      </c>
      <c r="BB13" s="1270" t="s">
        <v>1575</v>
      </c>
      <c r="BC13" s="1270" t="s">
        <v>1574</v>
      </c>
      <c r="BD13" s="1270" t="s">
        <v>1576</v>
      </c>
      <c r="BE13" s="1270" t="s">
        <v>1575</v>
      </c>
      <c r="BF13" s="1270" t="s">
        <v>1574</v>
      </c>
      <c r="BG13" s="1270" t="s">
        <v>1576</v>
      </c>
      <c r="BH13" s="1270" t="s">
        <v>1575</v>
      </c>
      <c r="BI13" s="1270" t="s">
        <v>1574</v>
      </c>
      <c r="BJ13" s="1270" t="s">
        <v>1576</v>
      </c>
      <c r="BK13" s="1270" t="s">
        <v>1575</v>
      </c>
      <c r="BL13" s="1270" t="s">
        <v>1574</v>
      </c>
      <c r="BM13" s="1270" t="s">
        <v>1576</v>
      </c>
      <c r="BN13" s="1270" t="s">
        <v>1575</v>
      </c>
      <c r="BO13" s="1270" t="s">
        <v>1574</v>
      </c>
      <c r="BP13" s="1270" t="s">
        <v>1576</v>
      </c>
      <c r="BQ13" s="1270" t="s">
        <v>1575</v>
      </c>
      <c r="BR13" s="1270" t="s">
        <v>1574</v>
      </c>
      <c r="BS13" s="1270" t="s">
        <v>1576</v>
      </c>
      <c r="BT13" s="1270" t="s">
        <v>1575</v>
      </c>
      <c r="BU13" s="1270" t="s">
        <v>1574</v>
      </c>
      <c r="BV13" s="1270" t="s">
        <v>1576</v>
      </c>
      <c r="BW13" s="1270" t="s">
        <v>1575</v>
      </c>
      <c r="BX13" s="1270" t="s">
        <v>1574</v>
      </c>
      <c r="BY13" s="1270" t="s">
        <v>1576</v>
      </c>
      <c r="BZ13" s="1270" t="s">
        <v>1575</v>
      </c>
      <c r="CA13" s="1270" t="s">
        <v>1574</v>
      </c>
      <c r="CB13" s="1270" t="s">
        <v>1576</v>
      </c>
      <c r="CC13" s="1270" t="s">
        <v>1575</v>
      </c>
      <c r="CD13" s="1270" t="s">
        <v>1574</v>
      </c>
      <c r="CE13" s="1270" t="s">
        <v>1576</v>
      </c>
      <c r="CF13" s="1270" t="s">
        <v>1575</v>
      </c>
      <c r="CG13" s="1270" t="s">
        <v>1574</v>
      </c>
      <c r="CH13" s="1270" t="s">
        <v>1576</v>
      </c>
      <c r="CI13" s="1270" t="s">
        <v>1575</v>
      </c>
      <c r="CJ13" s="1270" t="s">
        <v>1574</v>
      </c>
      <c r="CK13" s="1270" t="s">
        <v>1576</v>
      </c>
      <c r="CL13" s="1270" t="s">
        <v>1575</v>
      </c>
      <c r="CM13" s="1270" t="s">
        <v>1574</v>
      </c>
      <c r="CN13" s="1270" t="s">
        <v>1576</v>
      </c>
      <c r="CO13" s="1270" t="s">
        <v>1575</v>
      </c>
      <c r="CP13" s="1270" t="s">
        <v>1574</v>
      </c>
      <c r="CQ13" s="1270" t="s">
        <v>1576</v>
      </c>
      <c r="CR13" s="1270" t="s">
        <v>1575</v>
      </c>
      <c r="CS13" s="1270" t="s">
        <v>1574</v>
      </c>
      <c r="CT13" s="1270" t="s">
        <v>1576</v>
      </c>
      <c r="CU13" s="1270" t="s">
        <v>1575</v>
      </c>
      <c r="CV13" s="1270" t="s">
        <v>1574</v>
      </c>
      <c r="CW13" s="1270" t="s">
        <v>1576</v>
      </c>
      <c r="CX13" s="1270" t="s">
        <v>1575</v>
      </c>
      <c r="CY13" s="1270" t="s">
        <v>1574</v>
      </c>
      <c r="CZ13" s="1270" t="s">
        <v>1576</v>
      </c>
      <c r="DA13" s="1270" t="s">
        <v>1575</v>
      </c>
      <c r="DB13" s="1270" t="s">
        <v>1574</v>
      </c>
      <c r="DC13" s="1270" t="s">
        <v>1576</v>
      </c>
      <c r="DD13" s="1270" t="s">
        <v>1575</v>
      </c>
      <c r="DE13" s="1270" t="s">
        <v>1574</v>
      </c>
      <c r="DF13" s="1270" t="s">
        <v>1576</v>
      </c>
      <c r="DG13" s="1270" t="s">
        <v>1575</v>
      </c>
      <c r="DH13" s="1270" t="s">
        <v>1574</v>
      </c>
      <c r="DI13" s="1270" t="s">
        <v>1576</v>
      </c>
      <c r="DJ13" s="1270" t="s">
        <v>1575</v>
      </c>
      <c r="DK13" s="1270" t="s">
        <v>1574</v>
      </c>
      <c r="DL13" s="1270" t="s">
        <v>1576</v>
      </c>
      <c r="DM13" s="1270" t="s">
        <v>1575</v>
      </c>
      <c r="DN13" s="1270" t="s">
        <v>1574</v>
      </c>
      <c r="DO13" s="1270" t="s">
        <v>1576</v>
      </c>
      <c r="DP13" s="1270" t="s">
        <v>1575</v>
      </c>
      <c r="DQ13" s="1270" t="s">
        <v>1574</v>
      </c>
      <c r="DR13" s="1270" t="s">
        <v>1576</v>
      </c>
      <c r="DS13" s="1270" t="s">
        <v>1575</v>
      </c>
      <c r="DT13" s="1270" t="s">
        <v>1574</v>
      </c>
      <c r="DU13" s="1270" t="s">
        <v>1576</v>
      </c>
      <c r="DV13" s="1270" t="s">
        <v>1575</v>
      </c>
      <c r="DW13" s="1270" t="s">
        <v>1574</v>
      </c>
      <c r="DX13" s="1270" t="s">
        <v>1576</v>
      </c>
      <c r="DY13" s="1270" t="s">
        <v>1575</v>
      </c>
      <c r="DZ13" s="1270" t="s">
        <v>1574</v>
      </c>
      <c r="EA13" s="1270" t="s">
        <v>1576</v>
      </c>
      <c r="EB13" s="1270" t="s">
        <v>1575</v>
      </c>
      <c r="EC13" s="1270" t="s">
        <v>1574</v>
      </c>
      <c r="ED13" s="1270" t="s">
        <v>1576</v>
      </c>
      <c r="EE13" s="1270" t="s">
        <v>1575</v>
      </c>
      <c r="EF13" s="1270" t="s">
        <v>1574</v>
      </c>
      <c r="EG13" s="1270" t="s">
        <v>1576</v>
      </c>
      <c r="EH13" s="1270" t="s">
        <v>1575</v>
      </c>
      <c r="EI13" s="1270" t="s">
        <v>1574</v>
      </c>
      <c r="EJ13" s="1270" t="s">
        <v>1576</v>
      </c>
      <c r="EK13" s="1270" t="s">
        <v>1575</v>
      </c>
      <c r="EL13" s="1270" t="s">
        <v>1574</v>
      </c>
      <c r="EM13" s="1270" t="s">
        <v>1576</v>
      </c>
      <c r="EN13" s="1270" t="s">
        <v>1575</v>
      </c>
      <c r="EO13" s="1270" t="s">
        <v>1574</v>
      </c>
      <c r="EP13" s="1270" t="s">
        <v>1576</v>
      </c>
      <c r="EQ13" s="1270" t="s">
        <v>1575</v>
      </c>
      <c r="ER13" s="1270" t="s">
        <v>1574</v>
      </c>
      <c r="ES13" s="1270" t="s">
        <v>1576</v>
      </c>
      <c r="ET13" s="1270" t="s">
        <v>1575</v>
      </c>
      <c r="EU13" s="1270" t="s">
        <v>1574</v>
      </c>
      <c r="EV13" s="1270" t="s">
        <v>1576</v>
      </c>
      <c r="EW13" s="1270" t="s">
        <v>1575</v>
      </c>
      <c r="EX13" s="1270" t="s">
        <v>1574</v>
      </c>
      <c r="EY13" s="1270" t="s">
        <v>1576</v>
      </c>
      <c r="EZ13" s="1270" t="s">
        <v>1575</v>
      </c>
      <c r="FA13" s="1270" t="s">
        <v>1574</v>
      </c>
      <c r="FB13" s="1270" t="s">
        <v>1576</v>
      </c>
      <c r="FC13" s="1270" t="s">
        <v>1575</v>
      </c>
      <c r="FD13" s="1270" t="s">
        <v>1574</v>
      </c>
      <c r="FE13" s="1270" t="s">
        <v>1576</v>
      </c>
      <c r="FF13" s="1270" t="s">
        <v>1575</v>
      </c>
      <c r="FG13" s="1270" t="s">
        <v>1574</v>
      </c>
      <c r="FH13" s="1270" t="s">
        <v>1576</v>
      </c>
      <c r="FI13" s="1270" t="s">
        <v>1575</v>
      </c>
      <c r="FJ13" s="1270" t="s">
        <v>1574</v>
      </c>
      <c r="FK13" s="1270" t="s">
        <v>1576</v>
      </c>
      <c r="FL13" s="1270" t="s">
        <v>1575</v>
      </c>
      <c r="FM13" s="1270" t="s">
        <v>1574</v>
      </c>
      <c r="FN13" s="1270" t="s">
        <v>1576</v>
      </c>
      <c r="FO13" s="1270" t="s">
        <v>1575</v>
      </c>
      <c r="FP13" s="1270" t="s">
        <v>1574</v>
      </c>
      <c r="FQ13" s="1270" t="s">
        <v>1576</v>
      </c>
      <c r="FR13" s="1270" t="s">
        <v>1575</v>
      </c>
      <c r="FS13" s="1270" t="s">
        <v>1574</v>
      </c>
      <c r="FT13" s="1270" t="s">
        <v>1576</v>
      </c>
      <c r="FU13" s="1270" t="s">
        <v>1575</v>
      </c>
      <c r="FV13" s="1270" t="s">
        <v>1574</v>
      </c>
      <c r="FW13" s="1270" t="s">
        <v>1576</v>
      </c>
      <c r="FZ13" s="1310"/>
      <c r="GA13" s="1310"/>
      <c r="GB13" s="1310"/>
      <c r="GC13" s="1310"/>
      <c r="GD13" s="1310"/>
    </row>
    <row s="1384" customFormat="1" customHeight="1" ht="12" hidden="1">
      <c r="A14" s="1212" t="s">
        <v>388</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379</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433</v>
      </c>
      <c r="AC25" s="1465" t="s">
        <v>434</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408</v>
      </c>
      <c r="AE26" s="169" t="s">
        <v>407</v>
      </c>
      <c r="AF26" s="169" t="s">
        <v>2082</v>
      </c>
      <c r="AG26" s="1357" t="s">
        <v>408</v>
      </c>
      <c r="AH26" s="169" t="s">
        <v>407</v>
      </c>
      <c r="AI26" s="169" t="s">
        <v>2082</v>
      </c>
      <c r="AJ26" s="1357" t="s">
        <v>408</v>
      </c>
      <c r="AK26" s="169" t="s">
        <v>407</v>
      </c>
      <c r="AL26" s="169" t="s">
        <v>2082</v>
      </c>
      <c r="AM26" s="1357" t="s">
        <v>408</v>
      </c>
      <c r="AN26" s="169" t="s">
        <v>407</v>
      </c>
      <c r="AO26" s="169" t="s">
        <v>2082</v>
      </c>
      <c r="AP26" s="1357" t="s">
        <v>408</v>
      </c>
      <c r="AQ26" s="169" t="s">
        <v>407</v>
      </c>
      <c r="AR26" s="169" t="s">
        <v>2082</v>
      </c>
      <c r="AS26" s="1357" t="s">
        <v>408</v>
      </c>
      <c r="AT26" s="169" t="s">
        <v>407</v>
      </c>
      <c r="AU26" s="169" t="s">
        <v>2082</v>
      </c>
      <c r="AV26" s="1357" t="s">
        <v>408</v>
      </c>
      <c r="AW26" s="169" t="s">
        <v>407</v>
      </c>
      <c r="AX26" s="169" t="s">
        <v>2082</v>
      </c>
      <c r="AY26" s="1357" t="s">
        <v>408</v>
      </c>
      <c r="AZ26" s="169" t="s">
        <v>407</v>
      </c>
      <c r="BA26" s="169" t="s">
        <v>2082</v>
      </c>
      <c r="BB26" s="1357" t="s">
        <v>408</v>
      </c>
      <c r="BC26" s="169" t="s">
        <v>407</v>
      </c>
      <c r="BD26" s="169" t="s">
        <v>2082</v>
      </c>
      <c r="BE26" s="1357" t="s">
        <v>408</v>
      </c>
      <c r="BF26" s="169" t="s">
        <v>407</v>
      </c>
      <c r="BG26" s="169" t="s">
        <v>2082</v>
      </c>
      <c r="BH26" s="1357" t="s">
        <v>408</v>
      </c>
      <c r="BI26" s="169" t="s">
        <v>407</v>
      </c>
      <c r="BJ26" s="169" t="s">
        <v>2082</v>
      </c>
      <c r="BK26" s="1357" t="s">
        <v>408</v>
      </c>
      <c r="BL26" s="169" t="s">
        <v>407</v>
      </c>
      <c r="BM26" s="169" t="s">
        <v>2082</v>
      </c>
      <c r="BN26" s="1357" t="s">
        <v>408</v>
      </c>
      <c r="BO26" s="169" t="s">
        <v>407</v>
      </c>
      <c r="BP26" s="169" t="s">
        <v>2082</v>
      </c>
      <c r="BQ26" s="1357" t="s">
        <v>408</v>
      </c>
      <c r="BR26" s="169" t="s">
        <v>407</v>
      </c>
      <c r="BS26" s="169" t="s">
        <v>2082</v>
      </c>
      <c r="BT26" s="1357" t="s">
        <v>408</v>
      </c>
      <c r="BU26" s="169" t="s">
        <v>407</v>
      </c>
      <c r="BV26" s="169" t="s">
        <v>2082</v>
      </c>
      <c r="BW26" s="169" t="s">
        <v>408</v>
      </c>
      <c r="BX26" s="169" t="s">
        <v>407</v>
      </c>
      <c r="BY26" s="169" t="s">
        <v>2082</v>
      </c>
      <c r="BZ26" s="169" t="s">
        <v>408</v>
      </c>
      <c r="CA26" s="169" t="s">
        <v>407</v>
      </c>
      <c r="CB26" s="169" t="s">
        <v>2082</v>
      </c>
      <c r="CC26" s="169" t="s">
        <v>408</v>
      </c>
      <c r="CD26" s="169" t="s">
        <v>407</v>
      </c>
      <c r="CE26" s="169" t="s">
        <v>2082</v>
      </c>
      <c r="CF26" s="169" t="s">
        <v>408</v>
      </c>
      <c r="CG26" s="169" t="s">
        <v>407</v>
      </c>
      <c r="CH26" s="169" t="s">
        <v>2082</v>
      </c>
      <c r="CI26" s="169" t="s">
        <v>408</v>
      </c>
      <c r="CJ26" s="169" t="s">
        <v>407</v>
      </c>
      <c r="CK26" s="169" t="s">
        <v>2082</v>
      </c>
      <c r="CL26" s="169" t="s">
        <v>408</v>
      </c>
      <c r="CM26" s="169" t="s">
        <v>407</v>
      </c>
      <c r="CN26" s="169" t="s">
        <v>2082</v>
      </c>
      <c r="CO26" s="169" t="s">
        <v>408</v>
      </c>
      <c r="CP26" s="169" t="s">
        <v>407</v>
      </c>
      <c r="CQ26" s="169" t="s">
        <v>2082</v>
      </c>
      <c r="CR26" s="169" t="s">
        <v>408</v>
      </c>
      <c r="CS26" s="169" t="s">
        <v>407</v>
      </c>
      <c r="CT26" s="169" t="s">
        <v>2082</v>
      </c>
      <c r="CU26" s="169" t="s">
        <v>408</v>
      </c>
      <c r="CV26" s="169" t="s">
        <v>407</v>
      </c>
      <c r="CW26" s="169" t="s">
        <v>2082</v>
      </c>
      <c r="CX26" s="169" t="s">
        <v>408</v>
      </c>
      <c r="CY26" s="169" t="s">
        <v>407</v>
      </c>
      <c r="CZ26" s="169" t="s">
        <v>2082</v>
      </c>
      <c r="DA26" s="169" t="s">
        <v>408</v>
      </c>
      <c r="DB26" s="169" t="s">
        <v>407</v>
      </c>
      <c r="DC26" s="169" t="s">
        <v>2082</v>
      </c>
      <c r="DD26" s="169" t="s">
        <v>408</v>
      </c>
      <c r="DE26" s="169" t="s">
        <v>407</v>
      </c>
      <c r="DF26" s="169" t="s">
        <v>2082</v>
      </c>
      <c r="DG26" s="169" t="s">
        <v>408</v>
      </c>
      <c r="DH26" s="169" t="s">
        <v>407</v>
      </c>
      <c r="DI26" s="169" t="s">
        <v>2082</v>
      </c>
      <c r="DJ26" s="169" t="s">
        <v>408</v>
      </c>
      <c r="DK26" s="169" t="s">
        <v>407</v>
      </c>
      <c r="DL26" s="169" t="s">
        <v>2082</v>
      </c>
      <c r="DM26" s="169" t="s">
        <v>408</v>
      </c>
      <c r="DN26" s="169" t="s">
        <v>407</v>
      </c>
      <c r="DO26" s="169" t="s">
        <v>2082</v>
      </c>
      <c r="DP26" s="169" t="s">
        <v>408</v>
      </c>
      <c r="DQ26" s="169" t="s">
        <v>407</v>
      </c>
      <c r="DR26" s="169" t="s">
        <v>2082</v>
      </c>
      <c r="DS26" s="169" t="s">
        <v>408</v>
      </c>
      <c r="DT26" s="169" t="s">
        <v>407</v>
      </c>
      <c r="DU26" s="169" t="s">
        <v>2082</v>
      </c>
      <c r="DV26" s="169" t="s">
        <v>408</v>
      </c>
      <c r="DW26" s="169" t="s">
        <v>407</v>
      </c>
      <c r="DX26" s="169" t="s">
        <v>2082</v>
      </c>
      <c r="DY26" s="169" t="s">
        <v>408</v>
      </c>
      <c r="DZ26" s="169" t="s">
        <v>407</v>
      </c>
      <c r="EA26" s="169" t="s">
        <v>2082</v>
      </c>
      <c r="EB26" s="169" t="s">
        <v>408</v>
      </c>
      <c r="EC26" s="169" t="s">
        <v>407</v>
      </c>
      <c r="ED26" s="169" t="s">
        <v>2082</v>
      </c>
      <c r="EE26" s="169" t="s">
        <v>408</v>
      </c>
      <c r="EF26" s="169" t="s">
        <v>407</v>
      </c>
      <c r="EG26" s="169" t="s">
        <v>2082</v>
      </c>
      <c r="EH26" s="169" t="s">
        <v>408</v>
      </c>
      <c r="EI26" s="169" t="s">
        <v>407</v>
      </c>
      <c r="EJ26" s="169" t="s">
        <v>2082</v>
      </c>
      <c r="EK26" s="169" t="s">
        <v>408</v>
      </c>
      <c r="EL26" s="169" t="s">
        <v>407</v>
      </c>
      <c r="EM26" s="169" t="s">
        <v>2082</v>
      </c>
      <c r="EN26" s="169" t="s">
        <v>408</v>
      </c>
      <c r="EO26" s="169" t="s">
        <v>407</v>
      </c>
      <c r="EP26" s="169" t="s">
        <v>2082</v>
      </c>
      <c r="EQ26" s="169" t="s">
        <v>408</v>
      </c>
      <c r="ER26" s="169" t="s">
        <v>407</v>
      </c>
      <c r="ES26" s="169" t="s">
        <v>2082</v>
      </c>
      <c r="ET26" s="169" t="s">
        <v>408</v>
      </c>
      <c r="EU26" s="169" t="s">
        <v>407</v>
      </c>
      <c r="EV26" s="169" t="s">
        <v>2082</v>
      </c>
      <c r="EW26" s="169" t="s">
        <v>408</v>
      </c>
      <c r="EX26" s="169" t="s">
        <v>407</v>
      </c>
      <c r="EY26" s="169" t="s">
        <v>2082</v>
      </c>
      <c r="EZ26" s="169" t="s">
        <v>408</v>
      </c>
      <c r="FA26" s="169" t="s">
        <v>407</v>
      </c>
      <c r="FB26" s="169" t="s">
        <v>2082</v>
      </c>
      <c r="FC26" s="169" t="s">
        <v>408</v>
      </c>
      <c r="FD26" s="169" t="s">
        <v>407</v>
      </c>
      <c r="FE26" s="169" t="s">
        <v>2082</v>
      </c>
      <c r="FF26" s="169" t="s">
        <v>408</v>
      </c>
      <c r="FG26" s="169" t="s">
        <v>407</v>
      </c>
      <c r="FH26" s="169" t="s">
        <v>2082</v>
      </c>
      <c r="FI26" s="169" t="s">
        <v>408</v>
      </c>
      <c r="FJ26" s="169" t="s">
        <v>407</v>
      </c>
      <c r="FK26" s="169" t="s">
        <v>2082</v>
      </c>
      <c r="FL26" s="169" t="s">
        <v>408</v>
      </c>
      <c r="FM26" s="169" t="s">
        <v>407</v>
      </c>
      <c r="FN26" s="169" t="s">
        <v>2082</v>
      </c>
      <c r="FO26" s="169" t="s">
        <v>408</v>
      </c>
      <c r="FP26" s="169" t="s">
        <v>407</v>
      </c>
      <c r="FQ26" s="169" t="s">
        <v>2082</v>
      </c>
      <c r="FR26" s="169" t="s">
        <v>408</v>
      </c>
      <c r="FS26" s="169" t="s">
        <v>407</v>
      </c>
      <c r="FT26" s="169" t="s">
        <v>2082</v>
      </c>
      <c r="FU26" s="169" t="s">
        <v>408</v>
      </c>
      <c r="FV26" s="169" t="s">
        <v>407</v>
      </c>
      <c r="FW26" s="169" t="s">
        <v>2082</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сведения'!$AK$169:$AK$218,MATCH($F28,'Общие сведения'!$Z$169:$Z$218,0))</f>
        <v>0</v>
      </c>
      <c r="Q28" s="1296"/>
      <c r="R28" s="210" cm="1" t="str">
        <f t="array" ref="R28:R28">INDEX('Общие сведения'!$AK$169:$AK$218,MATCH($F28,'Общие сведения'!$Z$169:$Z$218,0))</f>
        <v>0</v>
      </c>
      <c r="T28" s="805">
        <f>X28&gt;0</f>
        <v>0</v>
      </c>
      <c r="V28" s="172" t="s">
        <v>309</v>
      </c>
      <c r="X28" s="172">
        <v>0</v>
      </c>
      <c r="AB28" s="1569" t="s">
        <v>390</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2083</v>
      </c>
      <c r="AC30" s="1444"/>
      <c r="AD30" s="351" cm="1" t="str">
        <f t="array" ref="AD30:AD30">INDEX('Общие сведения'!$AM$169:$AM$218,MATCH($F30,'Общие сведения'!$Z$169:$Z$218,0))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2084</v>
      </c>
      <c r="AC31" s="1444"/>
      <c r="AD31" s="351" cm="1" t="str">
        <f t="array" ref="AD31:AD31">INDEX('Общие сведения'!$AJ$169:$AJ$218,MATCH($F31,'Общие сведения'!$Z$169:$Z$218,0))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2085</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2086</v>
      </c>
      <c r="D33" s="1291" t="s">
        <v>2087</v>
      </c>
      <c r="E33" s="794">
        <v>17.1</v>
      </c>
      <c r="F33" s="919" cm="1" t="str">
        <f t="array" ref="F33:F33">OFFSET(G33,-1,-1)</f>
        <v>0</v>
      </c>
      <c r="G33" s="736" t="s">
        <v>1729</v>
      </c>
      <c r="H33" s="210" t="s">
        <v>493</v>
      </c>
      <c r="I33" s="210" t="s">
        <v>2088</v>
      </c>
      <c r="J33" s="1312" t="s">
        <v>2089</v>
      </c>
      <c r="K33" s="1312" cm="1" t="str">
        <f t="array" ref="K33:K33">INDEX('Общие сведения'!$N$169:$N$218,MATCH($F33,'Общие сведения'!$Z$169:$Z$218,0)+1)</f>
        <v>0</v>
      </c>
      <c r="L33" s="1312" t="s">
        <v>2090</v>
      </c>
      <c r="M33" s="1312" t="s">
        <v>1724</v>
      </c>
      <c r="N33" s="1312" t="s">
        <v>2091</v>
      </c>
      <c r="O33" s="1313" t="s">
        <v>2092</v>
      </c>
      <c r="P33" s="1312"/>
      <c r="Q33" s="1312"/>
      <c r="T33" s="805" cm="1" t="str">
        <f t="array" ref="T33:T33">T32</f>
        <v>false</v>
      </c>
      <c r="AB33" s="1351" t="s">
        <v>2093</v>
      </c>
      <c r="AC33" s="361" t="s">
        <v>895</v>
      </c>
      <c r="AD33" s="144">
        <f>IF(method_reg="Метод экономически обоснованных расходов",_xlfn.SUMIFS('Калькуляция (4.6)'!AJ$25:AJ$229,'Калькуляция (4.6)'!$F$25:$F$229,$F33,'Калькуляция (4.6)'!$G$25:$G$229,$G33),IF(method_reg="Метод сравнения аналогов",_xlfn.SUMIFS(INDEX('Калькуляция (МСА)'!$AE$25:$BC$109,,MATCH(AD$8,'Калькуляция (МСА)'!$AE$8:$BC$8,0)),'Калькуляция (МСА)'!$F$25:$F$109,$F33,'Калькуляция (МСА)'!$G$25:$G$109,$G33),_xlfn.SUMIFS(INDEX('Калькуляция (5.9)'!$AJ$25:$BC$192,,MATCH(AD$8,'Калькуляция (5.9)'!$AJ$8:$BC$8,0)),'Калькуляция (5.9)'!$F$25:$F$192,$F33,'Калькуляция (5.9)'!$G$25:$G$192,$G33)))</f>
        <v>0</v>
      </c>
      <c r="AE33" s="144">
        <f>IF(method_reg="Метод экономически обоснованных расходов",_xlfn.SUMIFS('Калькуляция (4.6)'!AK$25:AK$229,'Калькуляция (4.6)'!$F$25:$F$229,$F33,'Калькуляция (4.6)'!$G$25:$G$229,$G33),IF(method_reg="Метод сравнения аналогов",_xlfn.SUMIFS(INDEX('Калькуляция (МСА)'!$AE$25:$BC$109,,MATCH(AE$8,'Калькуляция (МСА)'!$AE$8:$BC$8,0)),'Калькуляция (МСА)'!$F$25:$F$109,$F33,'Калькуляция (МСА)'!$G$25:$G$109,$G33),_xlfn.SUMIFS(INDEX('Калькуляция (5.9)'!$AJ$25:$BC$192,,MATCH(AE$8,'Калькуляция (5.9)'!$AJ$8:$BC$8,0)),'Калькуляция (5.9)'!$F$25:$F$192,$F33,'Калькуляция (5.9)'!$G$25:$G$192,$G33)))</f>
        <v>0</v>
      </c>
      <c r="AF33" s="363">
        <f>IF(AD33=0,0,(AE33-AD33)/AD33*100)</f>
        <v>0</v>
      </c>
      <c r="AG33" s="362">
        <f>IF(method_reg="Метод сравнения аналогов",_xlfn.SUMIFS(INDEX('Калькуляция (МСА)'!$AE$25:$BC$109,,MATCH(AG$8,'Калькуляция (МСА)'!$AE$8:$BC$8,0)),'Калькуляция (МСА)'!$F$25:$F$109,$F33,'Калькуляция (МСА)'!$G$25:$G$109,$G33),_xlfn.SUMIFS(INDEX('Калькуляция (5.9)'!$AJ$25:$BC$192,,MATCH(AG$8,'Калькуляция (5.9)'!$AJ$8:$BC$8,0)),'Калькуляция (5.9)'!$F$25:$F$192,$F33,'Калькуляция (5.9)'!$G$25:$G$192,$G33))</f>
        <v>0</v>
      </c>
      <c r="AH33" s="362">
        <f>IF(method_reg="Метод сравнения аналогов",_xlfn.SUMIFS(INDEX('Калькуляция (МСА)'!$AE$25:$BC$109,,MATCH(AH$8,'Калькуляция (МСА)'!$AE$8:$BC$8,0)),'Калькуляция (МСА)'!$F$25:$F$109,$F33,'Калькуляция (МСА)'!$G$25:$G$109,$G33),_xlfn.SUMIFS(INDEX('Калькуляция (5.9)'!$AJ$25:$BC$192,,MATCH(AH$8,'Калькуляция (5.9)'!$AJ$8:$BC$8,0)),'Калькуляция (5.9)'!$F$25:$F$192,$F33,'Калькуляция (5.9)'!$G$25:$G$192,$G33))</f>
        <v>0</v>
      </c>
      <c r="AI33" s="363">
        <f>IF(AG33=0,0,(AH33-AG33)/AG33*100)</f>
        <v>0</v>
      </c>
      <c r="AJ33" s="362">
        <f>IF(method_reg="Метод сравнения аналогов",_xlfn.SUMIFS(INDEX('Калькуляция (МСА)'!$AE$25:$BC$109,,MATCH(AJ$8,'Калькуляция (МСА)'!$AE$8:$BC$8,0)),'Калькуляция (МСА)'!$F$25:$F$109,$F33,'Калькуляция (МСА)'!$G$25:$G$109,$G33),_xlfn.SUMIFS(INDEX('Калькуляция (5.9)'!$AJ$25:$BC$192,,MATCH(AJ$8,'Калькуляция (5.9)'!$AJ$8:$BC$8,0)),'Калькуляция (5.9)'!$F$25:$F$192,$F33,'Калькуляция (5.9)'!$G$25:$G$192,$G33))</f>
        <v>0</v>
      </c>
      <c r="AK33" s="362">
        <f>IF(method_reg="Метод сравнения аналогов",_xlfn.SUMIFS(INDEX('Калькуляция (МСА)'!$AE$25:$BC$109,,MATCH(AK$8,'Калькуляция (МСА)'!$AE$8:$BC$8,0)),'Калькуляция (МСА)'!$F$25:$F$109,$F33,'Калькуляция (МСА)'!$G$25:$G$109,$G33),_xlfn.SUMIFS(INDEX('Калькуляция (5.9)'!$AJ$25:$BC$192,,MATCH(AK$8,'Калькуляция (5.9)'!$AJ$8:$BC$8,0)),'Калькуляция (5.9)'!$F$25:$F$192,$F33,'Калькуляция (5.9)'!$G$25:$G$192,$G33))</f>
        <v>0</v>
      </c>
      <c r="AL33" s="363">
        <f>IF(AJ33=0,0,(AK33-AJ33)/AJ33*100)</f>
        <v>0</v>
      </c>
      <c r="AM33" s="362">
        <f>IF(method_reg="Метод сравнения аналогов",_xlfn.SUMIFS(INDEX('Калькуляция (МСА)'!$AE$25:$BC$109,,MATCH(AM$8,'Калькуляция (МСА)'!$AE$8:$BC$8,0)),'Калькуляция (МСА)'!$F$25:$F$109,$F33,'Калькуляция (МСА)'!$G$25:$G$109,$G33),_xlfn.SUMIFS(INDEX('Калькуляция (5.9)'!$AJ$25:$BC$192,,MATCH(AM$8,'Калькуляция (5.9)'!$AJ$8:$BC$8,0)),'Калькуляция (5.9)'!$F$25:$F$192,$F33,'Калькуляция (5.9)'!$G$25:$G$192,$G33))</f>
        <v>0</v>
      </c>
      <c r="AN33" s="362">
        <f>IF(method_reg="Метод сравнения аналогов",_xlfn.SUMIFS(INDEX('Калькуляция (МСА)'!$AE$25:$BC$109,,MATCH(AN$8,'Калькуляция (МСА)'!$AE$8:$BC$8,0)),'Калькуляция (МСА)'!$F$25:$F$109,$F33,'Калькуляция (МСА)'!$G$25:$G$109,$G33),_xlfn.SUMIFS(INDEX('Калькуляция (5.9)'!$AJ$25:$BC$192,,MATCH(AN$8,'Калькуляция (5.9)'!$AJ$8:$BC$8,0)),'Калькуляция (5.9)'!$F$25:$F$192,$F33,'Калькуляция (5.9)'!$G$25:$G$192,$G33))</f>
        <v>0</v>
      </c>
      <c r="AO33" s="363">
        <f>IF(AM33=0,0,(AN33-AM33)/AM33*100)</f>
        <v>0</v>
      </c>
      <c r="AP33" s="362">
        <f>IF(method_reg="Метод сравнения аналогов",_xlfn.SUMIFS(INDEX('Калькуляция (МСА)'!$AE$25:$BC$109,,MATCH(AP$8,'Калькуляция (МСА)'!$AE$8:$BC$8,0)),'Калькуляция (МСА)'!$F$25:$F$109,$F33,'Калькуляция (МСА)'!$G$25:$G$109,$G33),_xlfn.SUMIFS(INDEX('Калькуляция (5.9)'!$AJ$25:$BC$192,,MATCH(AP$8,'Калькуляция (5.9)'!$AJ$8:$BC$8,0)),'Калькуляция (5.9)'!$F$25:$F$192,$F33,'Калькуляция (5.9)'!$G$25:$G$192,$G33))</f>
        <v>0</v>
      </c>
      <c r="AQ33" s="362">
        <f>IF(method_reg="Метод сравнения аналогов",_xlfn.SUMIFS(INDEX('Калькуляция (МСА)'!$AE$25:$BC$109,,MATCH(AQ$8,'Калькуляция (МСА)'!$AE$8:$BC$8,0)),'Калькуляция (МСА)'!$F$25:$F$109,$F33,'Калькуляция (МСА)'!$G$25:$G$109,$G33),_xlfn.SUMIFS(INDEX('Калькуляция (5.9)'!$AJ$25:$BC$192,,MATCH(AQ$8,'Калькуляция (5.9)'!$AJ$8:$BC$8,0)),'Калькуляция (5.9)'!$F$25:$F$192,$F33,'Калькуляция (5.9)'!$G$25:$G$192,$G33))</f>
        <v>0</v>
      </c>
      <c r="AR33" s="363">
        <f>IF(AP33=0,0,(AQ33-AP33)/AP33*100)</f>
        <v>0</v>
      </c>
      <c r="AS33" s="144">
        <f>IF(method_reg="Метод сравнения аналогов",_xlfn.SUMIFS(INDEX('Калькуляция (МСА)'!$AE$25:$BC$109,,MATCH(AS$8,'Калькуляция (МСА)'!$AE$8:$BC$8,0)),'Калькуляция (МСА)'!$F$25:$F$109,$F33,'Калькуляция (МСА)'!$G$25:$G$109,$G33),_xlfn.SUMIFS(INDEX('Калькуляция (5.9)'!$AJ$25:$BC$192,,MATCH(AS$8,'Калькуляция (5.9)'!$AJ$8:$BC$8,0)),'Калькуляция (5.9)'!$F$25:$F$192,$F33,'Калькуляция (5.9)'!$G$25:$G$192,$G33))</f>
        <v>0</v>
      </c>
      <c r="AT33" s="144">
        <f>IF(method_reg="Метод сравнения аналогов",_xlfn.SUMIFS(INDEX('Калькуляция (МСА)'!$AE$25:$BC$109,,MATCH(AT$8,'Калькуляция (МСА)'!$AE$8:$BC$8,0)),'Калькуляция (МСА)'!$F$25:$F$109,$F33,'Калькуляция (МСА)'!$G$25:$G$109,$G33),_xlfn.SUMIFS(INDEX('Калькуляция (5.9)'!$AJ$25:$BC$192,,MATCH(AT$8,'Калькуляция (5.9)'!$AJ$8:$BC$8,0)),'Калькуляция (5.9)'!$F$25:$F$192,$F33,'Калькуляция (5.9)'!$G$25:$G$192,$G33))</f>
        <v>0</v>
      </c>
      <c r="AU33" s="363">
        <f>IF(AS33=0,0,(AT33-AS33)/AS33*100)</f>
        <v>0</v>
      </c>
      <c r="AV33" s="144">
        <f>IF(method_reg="Метод сравнения аналогов",_xlfn.SUMIFS(INDEX('Калькуляция (МСА)'!$AE$25:$BC$109,,MATCH(AV$8,'Калькуляция (МСА)'!$AE$8:$BC$8,0)),'Калькуляция (МСА)'!$F$25:$F$109,$F33,'Калькуляция (МСА)'!$G$25:$G$109,$G33),_xlfn.SUMIFS(INDEX('Калькуляция (5.9)'!$AJ$25:$BC$192,,MATCH(AV$8,'Калькуляция (5.9)'!$AJ$8:$BC$8,0)),'Калькуляция (5.9)'!$F$25:$F$192,$F33,'Калькуляция (5.9)'!$G$25:$G$192,$G33))</f>
        <v>0</v>
      </c>
      <c r="AW33" s="144">
        <f>IF(method_reg="Метод сравнения аналогов",_xlfn.SUMIFS(INDEX('Калькуляция (МСА)'!$AE$25:$BC$109,,MATCH(AW$8,'Калькуляция (МСА)'!$AE$8:$BC$8,0)),'Калькуляция (МСА)'!$F$25:$F$109,$F33,'Калькуляция (МСА)'!$G$25:$G$109,$G33),_xlfn.SUMIFS(INDEX('Калькуляция (5.9)'!$AJ$25:$BC$192,,MATCH(AW$8,'Калькуляция (5.9)'!$AJ$8:$BC$8,0)),'Калькуляция (5.9)'!$F$25:$F$192,$F33,'Калькуляция (5.9)'!$G$25:$G$192,$G33))</f>
        <v>0</v>
      </c>
      <c r="AX33" s="363">
        <f>IF(AV33=0,0,(AW33-AV33)/AV33*100)</f>
        <v>0</v>
      </c>
      <c r="AY33" s="144">
        <f>IF(method_reg="Метод сравнения аналогов",_xlfn.SUMIFS(INDEX('Калькуляция (МСА)'!$AE$25:$BC$109,,MATCH(AY$8,'Калькуляция (МСА)'!$AE$8:$BC$8,0)),'Калькуляция (МСА)'!$F$25:$F$109,$F33,'Калькуляция (МСА)'!$G$25:$G$109,$G33),_xlfn.SUMIFS(INDEX('Калькуляция (5.9)'!$AJ$25:$BC$192,,MATCH(AY$8,'Калькуляция (5.9)'!$AJ$8:$BC$8,0)),'Калькуляция (5.9)'!$F$25:$F$192,$F33,'Калькуляция (5.9)'!$G$25:$G$192,$G33))</f>
        <v>0</v>
      </c>
      <c r="AZ33" s="144">
        <f>IF(method_reg="Метод сравнения аналогов",_xlfn.SUMIFS(INDEX('Калькуляция (МСА)'!$AE$25:$BC$109,,MATCH(AZ$8,'Калькуляция (МСА)'!$AE$8:$BC$8,0)),'Калькуляция (МСА)'!$F$25:$F$109,$F33,'Калькуляция (МСА)'!$G$25:$G$109,$G33),_xlfn.SUMIFS(INDEX('Калькуляция (5.9)'!$AJ$25:$BC$192,,MATCH(AZ$8,'Калькуляция (5.9)'!$AJ$8:$BC$8,0)),'Калькуляция (5.9)'!$F$25:$F$192,$F33,'Калькуляция (5.9)'!$G$25:$G$192,$G33))</f>
        <v>0</v>
      </c>
      <c r="BA33" s="363">
        <f>IF(AY33=0,0,(AZ33-AY33)/AY33*100)</f>
        <v>0</v>
      </c>
      <c r="BB33" s="144">
        <f>IF(method_reg="Метод сравнения аналогов",_xlfn.SUMIFS(INDEX('Калькуляция (МСА)'!$AE$25:$BC$109,,MATCH(BB$8,'Калькуляция (МСА)'!$AE$8:$BC$8,0)),'Калькуляция (МСА)'!$F$25:$F$109,$F33,'Калькуляция (МСА)'!$G$25:$G$109,$G33),_xlfn.SUMIFS(INDEX('Калькуляция (5.9)'!$AJ$25:$BC$192,,MATCH(BB$8,'Калькуляция (5.9)'!$AJ$8:$BC$8,0)),'Калькуляция (5.9)'!$F$25:$F$192,$F33,'Калькуляция (5.9)'!$G$25:$G$192,$G33))</f>
        <v>0</v>
      </c>
      <c r="BC33" s="144">
        <f>IF(method_reg="Метод сравнения аналогов",_xlfn.SUMIFS(INDEX('Калькуляция (МСА)'!$AE$25:$BC$109,,MATCH(BC$8,'Калькуляция (МСА)'!$AE$8:$BC$8,0)),'Калькуляция (МСА)'!$F$25:$F$109,$F33,'Калькуляция (МСА)'!$G$25:$G$109,$G33),_xlfn.SUMIFS(INDEX('Калькуляция (5.9)'!$AJ$25:$BC$192,,MATCH(BC$8,'Калькуляция (5.9)'!$AJ$8:$BC$8,0)),'Калькуляция (5.9)'!$F$25:$F$192,$F33,'Калькуляция (5.9)'!$G$25:$G$192,$G33))</f>
        <v>0</v>
      </c>
      <c r="BD33" s="363">
        <f>IF(BB33=0,0,(BC33-BB33)/BB33*100)</f>
        <v>0</v>
      </c>
      <c r="BE33" s="144">
        <f>IF(method_reg="Метод сравнения аналогов",_xlfn.SUMIFS(INDEX('Калькуляция (МСА)'!$AE$25:$BC$109,,MATCH(BE$8,'Калькуляция (МСА)'!$AE$8:$BC$8,0)),'Калькуляция (МСА)'!$F$25:$F$109,$F33,'Калькуляция (МСА)'!$G$25:$G$109,$G33),_xlfn.SUMIFS(INDEX('Калькуляция (5.9)'!$AJ$25:$BC$192,,MATCH(BE$8,'Калькуляция (5.9)'!$AJ$8:$BC$8,0)),'Калькуляция (5.9)'!$F$25:$F$192,$F33,'Калькуляция (5.9)'!$G$25:$G$192,$G33))</f>
        <v>0</v>
      </c>
      <c r="BF33" s="144">
        <f>IF(method_reg="Метод сравнения аналогов",_xlfn.SUMIFS(INDEX('Калькуляция (МСА)'!$AE$25:$BC$109,,MATCH(BF$8,'Калькуляция (МСА)'!$AE$8:$BC$8,0)),'Калькуляция (МСА)'!$F$25:$F$109,$F33,'Калькуляция (МСА)'!$G$25:$G$109,$G33),_xlfn.SUMIFS(INDEX('Калькуляция (5.9)'!$AJ$25:$BC$192,,MATCH(BF$8,'Калькуляция (5.9)'!$AJ$8:$BC$8,0)),'Калькуляция (5.9)'!$F$25:$F$192,$F33,'Калькуляция (5.9)'!$G$25:$G$192,$G33))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2094</v>
      </c>
      <c r="GA33" s="1181"/>
      <c r="GB33" s="1181"/>
      <c r="GC33" s="1181"/>
      <c r="GD33" s="1181"/>
    </row>
    <row s="360" customFormat="1" customHeight="1" ht="16.672500000000003" hidden="1">
      <c r="B34" s="961" cm="1" t="str">
        <f t="array" ref="B34:B34">B33</f>
        <v>false</v>
      </c>
      <c r="C34" s="1322" t="s">
        <v>2086</v>
      </c>
      <c r="D34" s="1291" t="s">
        <v>2087</v>
      </c>
      <c r="E34" s="794">
        <v>17.1</v>
      </c>
      <c r="F34" s="919" cm="1" t="str">
        <f t="array" ref="F34:F34">OFFSET(G34,-1,-1)</f>
        <v>0</v>
      </c>
      <c r="G34" s="736" t="s">
        <v>1736</v>
      </c>
      <c r="H34" s="210" t="s">
        <v>493</v>
      </c>
      <c r="I34" s="210" t="s">
        <v>2095</v>
      </c>
      <c r="J34" s="1312" t="s">
        <v>2089</v>
      </c>
      <c r="K34" s="1312" cm="1" t="str">
        <f t="array" ref="K34:K34">OFFSET(J34,-1,1)</f>
        <v>0</v>
      </c>
      <c r="L34" s="1312" t="s">
        <v>2090</v>
      </c>
      <c r="M34" s="1312" t="s">
        <v>1733</v>
      </c>
      <c r="N34" s="1312" t="s">
        <v>2091</v>
      </c>
      <c r="O34" s="1313" t="s">
        <v>2092</v>
      </c>
      <c r="P34" s="1312"/>
      <c r="Q34" s="1312"/>
      <c r="T34" s="805" cm="1" t="str">
        <f t="array" ref="T34:T34">T33</f>
        <v>false</v>
      </c>
      <c r="AB34" s="1351" t="s">
        <v>2096</v>
      </c>
      <c r="AC34" s="361" t="s">
        <v>895</v>
      </c>
      <c r="AD34" s="144">
        <f>IF(method_reg="Метод экономически обоснованных расходов",_xlfn.SUMIFS('Калькуляция (4.6)'!AJ$25:AJ$229,'Калькуляция (4.6)'!$F$25:$F$229,$F34,'Калькуляция (4.6)'!$G$25:$G$229,$G34),IF(method_reg="Метод сравнения аналогов",_xlfn.SUMIFS(INDEX('Калькуляция (МСА)'!$AE$25:$BC$109,,MATCH(AD$8,'Калькуляция (МСА)'!$AE$8:$BC$8,0)),'Калькуляция (МСА)'!$F$25:$F$109,$F34,'Калькуляция (МСА)'!$G$25:$G$109,$G34),_xlfn.SUMIFS(INDEX('Калькуляция (5.9)'!$AJ$25:$BC$192,,MATCH(AD$8,'Калькуляция (5.9)'!$AJ$8:$BC$8,0)),'Калькуляция (5.9)'!$F$25:$F$192,$F34,'Калькуляция (5.9)'!$G$25:$G$192,$G34)))</f>
        <v>0</v>
      </c>
      <c r="AE34" s="144">
        <f>IF(method_reg="Метод экономически обоснованных расходов",_xlfn.SUMIFS('Калькуляция (4.6)'!AK$25:AK$229,'Калькуляция (4.6)'!$F$25:$F$229,$F34,'Калькуляция (4.6)'!$G$25:$G$229,$G34),IF(method_reg="Метод сравнения аналогов",_xlfn.SUMIFS(INDEX('Калькуляция (МСА)'!$AE$25:$BC$109,,MATCH(AE$8,'Калькуляция (МСА)'!$AE$8:$BC$8,0)),'Калькуляция (МСА)'!$F$25:$F$109,$F34,'Калькуляция (МСА)'!$G$25:$G$109,$G34),_xlfn.SUMIFS(INDEX('Калькуляция (5.9)'!$AJ$25:$BC$192,,MATCH(AE$8,'Калькуляция (5.9)'!$AJ$8:$BC$8,0)),'Калькуляция (5.9)'!$F$25:$F$192,$F34,'Калькуляция (5.9)'!$G$25:$G$192,$G34)))</f>
        <v>0</v>
      </c>
      <c r="AF34" s="363">
        <f>IF(AD34=0,0,(AE34-AD34)/AD34*100)</f>
        <v>0</v>
      </c>
      <c r="AG34" s="362">
        <f>IF(method_reg="Метод сравнения аналогов",_xlfn.SUMIFS(INDEX('Калькуляция (МСА)'!$AE$25:$BC$109,,MATCH(AG$8,'Калькуляция (МСА)'!$AE$8:$BC$8,0)),'Калькуляция (МСА)'!$F$25:$F$109,$F34,'Калькуляция (МСА)'!$G$25:$G$109,$G34),_xlfn.SUMIFS(INDEX('Калькуляция (5.9)'!$AJ$25:$BC$192,,MATCH(AG$8,'Калькуляция (5.9)'!$AJ$8:$BC$8,0)),'Калькуляция (5.9)'!$F$25:$F$192,$F34,'Калькуляция (5.9)'!$G$25:$G$192,$G34))</f>
        <v>0</v>
      </c>
      <c r="AH34" s="362">
        <f>IF(method_reg="Метод сравнения аналогов",_xlfn.SUMIFS(INDEX('Калькуляция (МСА)'!$AE$25:$BC$109,,MATCH(AH$8,'Калькуляция (МСА)'!$AE$8:$BC$8,0)),'Калькуляция (МСА)'!$F$25:$F$109,$F34,'Калькуляция (МСА)'!$G$25:$G$109,$G34),_xlfn.SUMIFS(INDEX('Калькуляция (5.9)'!$AJ$25:$BC$192,,MATCH(AH$8,'Калькуляция (5.9)'!$AJ$8:$BC$8,0)),'Калькуляция (5.9)'!$F$25:$F$192,$F34,'Калькуляция (5.9)'!$G$25:$G$192,$G34))</f>
        <v>0</v>
      </c>
      <c r="AI34" s="363">
        <f>IF(AG34=0,0,(AH34-AG34)/AG34*100)</f>
        <v>0</v>
      </c>
      <c r="AJ34" s="362">
        <f>IF(method_reg="Метод сравнения аналогов",_xlfn.SUMIFS(INDEX('Калькуляция (МСА)'!$AE$25:$BC$109,,MATCH(AJ$8,'Калькуляция (МСА)'!$AE$8:$BC$8,0)),'Калькуляция (МСА)'!$F$25:$F$109,$F34,'Калькуляция (МСА)'!$G$25:$G$109,$G34),_xlfn.SUMIFS(INDEX('Калькуляция (5.9)'!$AJ$25:$BC$192,,MATCH(AJ$8,'Калькуляция (5.9)'!$AJ$8:$BC$8,0)),'Калькуляция (5.9)'!$F$25:$F$192,$F34,'Калькуляция (5.9)'!$G$25:$G$192,$G34))</f>
        <v>0</v>
      </c>
      <c r="AK34" s="362">
        <f>IF(method_reg="Метод сравнения аналогов",_xlfn.SUMIFS(INDEX('Калькуляция (МСА)'!$AE$25:$BC$109,,MATCH(AK$8,'Калькуляция (МСА)'!$AE$8:$BC$8,0)),'Калькуляция (МСА)'!$F$25:$F$109,$F34,'Калькуляция (МСА)'!$G$25:$G$109,$G34),_xlfn.SUMIFS(INDEX('Калькуляция (5.9)'!$AJ$25:$BC$192,,MATCH(AK$8,'Калькуляция (5.9)'!$AJ$8:$BC$8,0)),'Калькуляция (5.9)'!$F$25:$F$192,$F34,'Калькуляция (5.9)'!$G$25:$G$192,$G34))</f>
        <v>0</v>
      </c>
      <c r="AL34" s="363">
        <f>IF(AJ34=0,0,(AK34-AJ34)/AJ34*100)</f>
        <v>0</v>
      </c>
      <c r="AM34" s="362">
        <f>IF(method_reg="Метод сравнения аналогов",_xlfn.SUMIFS(INDEX('Калькуляция (МСА)'!$AE$25:$BC$109,,MATCH(AM$8,'Калькуляция (МСА)'!$AE$8:$BC$8,0)),'Калькуляция (МСА)'!$F$25:$F$109,$F34,'Калькуляция (МСА)'!$G$25:$G$109,$G34),_xlfn.SUMIFS(INDEX('Калькуляция (5.9)'!$AJ$25:$BC$192,,MATCH(AM$8,'Калькуляция (5.9)'!$AJ$8:$BC$8,0)),'Калькуляция (5.9)'!$F$25:$F$192,$F34,'Калькуляция (5.9)'!$G$25:$G$192,$G34))</f>
        <v>0</v>
      </c>
      <c r="AN34" s="362">
        <f>IF(method_reg="Метод сравнения аналогов",_xlfn.SUMIFS(INDEX('Калькуляция (МСА)'!$AE$25:$BC$109,,MATCH(AN$8,'Калькуляция (МСА)'!$AE$8:$BC$8,0)),'Калькуляция (МСА)'!$F$25:$F$109,$F34,'Калькуляция (МСА)'!$G$25:$G$109,$G34),_xlfn.SUMIFS(INDEX('Калькуляция (5.9)'!$AJ$25:$BC$192,,MATCH(AN$8,'Калькуляция (5.9)'!$AJ$8:$BC$8,0)),'Калькуляция (5.9)'!$F$25:$F$192,$F34,'Калькуляция (5.9)'!$G$25:$G$192,$G34))</f>
        <v>0</v>
      </c>
      <c r="AO34" s="363">
        <f>IF(AM34=0,0,(AN34-AM34)/AM34*100)</f>
        <v>0</v>
      </c>
      <c r="AP34" s="362">
        <f>IF(method_reg="Метод сравнения аналогов",_xlfn.SUMIFS(INDEX('Калькуляция (МСА)'!$AE$25:$BC$109,,MATCH(AP$8,'Калькуляция (МСА)'!$AE$8:$BC$8,0)),'Калькуляция (МСА)'!$F$25:$F$109,$F34,'Калькуляция (МСА)'!$G$25:$G$109,$G34),_xlfn.SUMIFS(INDEX('Калькуляция (5.9)'!$AJ$25:$BC$192,,MATCH(AP$8,'Калькуляция (5.9)'!$AJ$8:$BC$8,0)),'Калькуляция (5.9)'!$F$25:$F$192,$F34,'Калькуляция (5.9)'!$G$25:$G$192,$G34))</f>
        <v>0</v>
      </c>
      <c r="AQ34" s="362">
        <f>IF(method_reg="Метод сравнения аналогов",_xlfn.SUMIFS(INDEX('Калькуляция (МСА)'!$AE$25:$BC$109,,MATCH(AQ$8,'Калькуляция (МСА)'!$AE$8:$BC$8,0)),'Калькуляция (МСА)'!$F$25:$F$109,$F34,'Калькуляция (МСА)'!$G$25:$G$109,$G34),_xlfn.SUMIFS(INDEX('Калькуляция (5.9)'!$AJ$25:$BC$192,,MATCH(AQ$8,'Калькуляция (5.9)'!$AJ$8:$BC$8,0)),'Калькуляция (5.9)'!$F$25:$F$192,$F34,'Калькуляция (5.9)'!$G$25:$G$192,$G34))</f>
        <v>0</v>
      </c>
      <c r="AR34" s="363">
        <f>IF(AP34=0,0,(AQ34-AP34)/AP34*100)</f>
        <v>0</v>
      </c>
      <c r="AS34" s="144">
        <f>IF(method_reg="Метод сравнения аналогов",_xlfn.SUMIFS(INDEX('Калькуляция (МСА)'!$AE$25:$BC$109,,MATCH(AS$8,'Калькуляция (МСА)'!$AE$8:$BC$8,0)),'Калькуляция (МСА)'!$F$25:$F$109,$F34,'Калькуляция (МСА)'!$G$25:$G$109,$G34),_xlfn.SUMIFS(INDEX('Калькуляция (5.9)'!$AJ$25:$BC$192,,MATCH(AS$8,'Калькуляция (5.9)'!$AJ$8:$BC$8,0)),'Калькуляция (5.9)'!$F$25:$F$192,$F34,'Калькуляция (5.9)'!$G$25:$G$192,$G34))</f>
        <v>0</v>
      </c>
      <c r="AT34" s="144">
        <f>IF(method_reg="Метод сравнения аналогов",_xlfn.SUMIFS(INDEX('Калькуляция (МСА)'!$AE$25:$BC$109,,MATCH(AT$8,'Калькуляция (МСА)'!$AE$8:$BC$8,0)),'Калькуляция (МСА)'!$F$25:$F$109,$F34,'Калькуляция (МСА)'!$G$25:$G$109,$G34),_xlfn.SUMIFS(INDEX('Калькуляция (5.9)'!$AJ$25:$BC$192,,MATCH(AT$8,'Калькуляция (5.9)'!$AJ$8:$BC$8,0)),'Калькуляция (5.9)'!$F$25:$F$192,$F34,'Калькуляция (5.9)'!$G$25:$G$192,$G34))</f>
        <v>0</v>
      </c>
      <c r="AU34" s="363">
        <f>IF(AS34=0,0,(AT34-AS34)/AS34*100)</f>
        <v>0</v>
      </c>
      <c r="AV34" s="144">
        <f>IF(method_reg="Метод сравнения аналогов",_xlfn.SUMIFS(INDEX('Калькуляция (МСА)'!$AE$25:$BC$109,,MATCH(AV$8,'Калькуляция (МСА)'!$AE$8:$BC$8,0)),'Калькуляция (МСА)'!$F$25:$F$109,$F34,'Калькуляция (МСА)'!$G$25:$G$109,$G34),_xlfn.SUMIFS(INDEX('Калькуляция (5.9)'!$AJ$25:$BC$192,,MATCH(AV$8,'Калькуляция (5.9)'!$AJ$8:$BC$8,0)),'Калькуляция (5.9)'!$F$25:$F$192,$F34,'Калькуляция (5.9)'!$G$25:$G$192,$G34))</f>
        <v>0</v>
      </c>
      <c r="AW34" s="144">
        <f>IF(method_reg="Метод сравнения аналогов",_xlfn.SUMIFS(INDEX('Калькуляция (МСА)'!$AE$25:$BC$109,,MATCH(AW$8,'Калькуляция (МСА)'!$AE$8:$BC$8,0)),'Калькуляция (МСА)'!$F$25:$F$109,$F34,'Калькуляция (МСА)'!$G$25:$G$109,$G34),_xlfn.SUMIFS(INDEX('Калькуляция (5.9)'!$AJ$25:$BC$192,,MATCH(AW$8,'Калькуляция (5.9)'!$AJ$8:$BC$8,0)),'Калькуляция (5.9)'!$F$25:$F$192,$F34,'Калькуляция (5.9)'!$G$25:$G$192,$G34))</f>
        <v>0</v>
      </c>
      <c r="AX34" s="363">
        <f>IF(AV34=0,0,(AW34-AV34)/AV34*100)</f>
        <v>0</v>
      </c>
      <c r="AY34" s="144">
        <f>IF(method_reg="Метод сравнения аналогов",_xlfn.SUMIFS(INDEX('Калькуляция (МСА)'!$AE$25:$BC$109,,MATCH(AY$8,'Калькуляция (МСА)'!$AE$8:$BC$8,0)),'Калькуляция (МСА)'!$F$25:$F$109,$F34,'Калькуляция (МСА)'!$G$25:$G$109,$G34),_xlfn.SUMIFS(INDEX('Калькуляция (5.9)'!$AJ$25:$BC$192,,MATCH(AY$8,'Калькуляция (5.9)'!$AJ$8:$BC$8,0)),'Калькуляция (5.9)'!$F$25:$F$192,$F34,'Калькуляция (5.9)'!$G$25:$G$192,$G34))</f>
        <v>0</v>
      </c>
      <c r="AZ34" s="144">
        <f>IF(method_reg="Метод сравнения аналогов",_xlfn.SUMIFS(INDEX('Калькуляция (МСА)'!$AE$25:$BC$109,,MATCH(AZ$8,'Калькуляция (МСА)'!$AE$8:$BC$8,0)),'Калькуляция (МСА)'!$F$25:$F$109,$F34,'Калькуляция (МСА)'!$G$25:$G$109,$G34),_xlfn.SUMIFS(INDEX('Калькуляция (5.9)'!$AJ$25:$BC$192,,MATCH(AZ$8,'Калькуляция (5.9)'!$AJ$8:$BC$8,0)),'Калькуляция (5.9)'!$F$25:$F$192,$F34,'Калькуляция (5.9)'!$G$25:$G$192,$G34))</f>
        <v>0</v>
      </c>
      <c r="BA34" s="363">
        <f>IF(AY34=0,0,(AZ34-AY34)/AY34*100)</f>
        <v>0</v>
      </c>
      <c r="BB34" s="144">
        <f>IF(method_reg="Метод сравнения аналогов",_xlfn.SUMIFS(INDEX('Калькуляция (МСА)'!$AE$25:$BC$109,,MATCH(BB$8,'Калькуляция (МСА)'!$AE$8:$BC$8,0)),'Калькуляция (МСА)'!$F$25:$F$109,$F34,'Калькуляция (МСА)'!$G$25:$G$109,$G34),_xlfn.SUMIFS(INDEX('Калькуляция (5.9)'!$AJ$25:$BC$192,,MATCH(BB$8,'Калькуляция (5.9)'!$AJ$8:$BC$8,0)),'Калькуляция (5.9)'!$F$25:$F$192,$F34,'Калькуляция (5.9)'!$G$25:$G$192,$G34))</f>
        <v>0</v>
      </c>
      <c r="BC34" s="144">
        <f>IF(method_reg="Метод сравнения аналогов",_xlfn.SUMIFS(INDEX('Калькуляция (МСА)'!$AE$25:$BC$109,,MATCH(BC$8,'Калькуляция (МСА)'!$AE$8:$BC$8,0)),'Калькуляция (МСА)'!$F$25:$F$109,$F34,'Калькуляция (МСА)'!$G$25:$G$109,$G34),_xlfn.SUMIFS(INDEX('Калькуляция (5.9)'!$AJ$25:$BC$192,,MATCH(BC$8,'Калькуляция (5.9)'!$AJ$8:$BC$8,0)),'Калькуляция (5.9)'!$F$25:$F$192,$F34,'Калькуляция (5.9)'!$G$25:$G$192,$G34))</f>
        <v>0</v>
      </c>
      <c r="BD34" s="363">
        <f>IF(BB34=0,0,(BC34-BB34)/BB34*100)</f>
        <v>0</v>
      </c>
      <c r="BE34" s="144">
        <f>IF(method_reg="Метод сравнения аналогов",_xlfn.SUMIFS(INDEX('Калькуляция (МСА)'!$AE$25:$BC$109,,MATCH(BE$8,'Калькуляция (МСА)'!$AE$8:$BC$8,0)),'Калькуляция (МСА)'!$F$25:$F$109,$F34,'Калькуляция (МСА)'!$G$25:$G$109,$G34),_xlfn.SUMIFS(INDEX('Калькуляция (5.9)'!$AJ$25:$BC$192,,MATCH(BE$8,'Калькуляция (5.9)'!$AJ$8:$BC$8,0)),'Калькуляция (5.9)'!$F$25:$F$192,$F34,'Калькуляция (5.9)'!$G$25:$G$192,$G34))</f>
        <v>0</v>
      </c>
      <c r="BF34" s="144">
        <f>IF(method_reg="Метод сравнения аналогов",_xlfn.SUMIFS(INDEX('Калькуляция (МСА)'!$AE$25:$BC$109,,MATCH(BF$8,'Калькуляция (МСА)'!$AE$8:$BC$8,0)),'Калькуляция (МСА)'!$F$25:$F$109,$F34,'Калькуляция (МСА)'!$G$25:$G$109,$G34),_xlfn.SUMIFS(INDEX('Калькуляция (5.9)'!$AJ$25:$BC$192,,MATCH(BF$8,'Калькуляция (5.9)'!$AJ$8:$BC$8,0)),'Калькуляция (5.9)'!$F$25:$F$192,$F34,'Калькуляция (5.9)'!$G$25:$G$192,$G34))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2097</v>
      </c>
      <c r="GA34" s="1181"/>
      <c r="GB34" s="1181"/>
      <c r="GC34" s="1181"/>
      <c r="GD34" s="1181"/>
    </row>
    <row customHeight="1" ht="16.672500000000003" hidden="1">
      <c r="B35" s="961" cm="1" t="str">
        <f t="array" ref="B35:B35">B34</f>
        <v>false</v>
      </c>
      <c r="C35" s="1322" t="s">
        <v>1739</v>
      </c>
      <c r="D35" s="1291" t="s">
        <v>1740</v>
      </c>
      <c r="E35" s="794">
        <v>17.1</v>
      </c>
      <c r="F35" s="919" cm="1" t="str">
        <f t="array" ref="F35:F35">OFFSET(G35,-1,-1)</f>
        <v>0</v>
      </c>
      <c r="H35" s="210" t="s">
        <v>496</v>
      </c>
      <c r="I35" s="210" t="s">
        <v>2098</v>
      </c>
      <c r="J35" s="1312" t="s">
        <v>2089</v>
      </c>
      <c r="K35" s="1312" cm="1" t="str">
        <f t="array" ref="K35:K35">OFFSET(J35,-1,1)</f>
        <v>0</v>
      </c>
      <c r="L35" s="1312" t="s">
        <v>2099</v>
      </c>
      <c r="M35" s="1312"/>
      <c r="N35" s="1312" t="s">
        <v>2091</v>
      </c>
      <c r="O35" s="1313" t="s">
        <v>2092</v>
      </c>
      <c r="P35" s="1312"/>
      <c r="Q35" s="1312"/>
      <c r="T35" s="805" cm="1" t="str">
        <f t="array" ref="T35:T35">T34</f>
        <v>false</v>
      </c>
      <c r="AB35" s="1057" t="s">
        <v>2100</v>
      </c>
      <c r="AC35" s="169" t="s">
        <v>490</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2101</v>
      </c>
      <c r="GA35" s="1181"/>
      <c r="GB35" s="1181"/>
      <c r="GC35" s="1181"/>
      <c r="GD35" s="1181"/>
    </row>
    <row customHeight="1" ht="16.672500000000003" hidden="1">
      <c r="B36" s="961" cm="1" t="str">
        <f t="array" ref="B36:B36">B35</f>
        <v>false</v>
      </c>
      <c r="C36" s="1322" t="s">
        <v>1721</v>
      </c>
      <c r="D36" s="1291" t="s">
        <v>1722</v>
      </c>
      <c r="E36" s="794">
        <v>17.1</v>
      </c>
      <c r="F36" s="919" cm="1" t="str">
        <f t="array" ref="F36:F36">OFFSET(G36,-1,-1)</f>
        <v>0</v>
      </c>
      <c r="G36" s="190" t="s">
        <v>2102</v>
      </c>
      <c r="H36" s="210" t="s">
        <v>503</v>
      </c>
      <c r="I36" s="210" t="s">
        <v>2098</v>
      </c>
      <c r="J36" s="1312" t="s">
        <v>2089</v>
      </c>
      <c r="K36" s="1312" cm="1" t="str">
        <f t="array" ref="K36:K36">OFFSET(J36,-1,1)</f>
        <v>0</v>
      </c>
      <c r="L36" s="1312" t="s">
        <v>2103</v>
      </c>
      <c r="M36" s="1312"/>
      <c r="N36" s="1312" t="s">
        <v>2091</v>
      </c>
      <c r="O36" s="1313" t="s">
        <v>2092</v>
      </c>
      <c r="P36" s="1312"/>
      <c r="Q36" s="1312"/>
      <c r="T36" s="805" cm="1" t="str">
        <f t="array" ref="T36:T36">T35</f>
        <v>false</v>
      </c>
      <c r="AB36" s="1057" t="s">
        <v>2104</v>
      </c>
      <c r="AC36" s="169" t="s">
        <v>591</v>
      </c>
      <c r="AD36" s="145">
        <f>SUM(AD37:AD38)</f>
        <v>0</v>
      </c>
      <c r="AE36" s="145">
        <f>SUM(AE37:AE38)</f>
        <v>0</v>
      </c>
      <c r="AF36" s="397">
        <f>IF(AD36=0,0,(AE36-AD36)/AD36*100)</f>
        <v>0</v>
      </c>
      <c r="AG36" s="413">
        <f>SUM(AG37:AG38)</f>
        <v>0</v>
      </c>
      <c r="AH36" s="413">
        <f>SUM(AH37:AH38)</f>
        <v>0</v>
      </c>
      <c r="AI36" s="397">
        <f>IF(AG36=0,0,(AH36-AG36)/AG36*100)</f>
        <v>0</v>
      </c>
      <c r="AJ36" s="413">
        <f>SUM(AJ37:AJ38)</f>
        <v>0</v>
      </c>
      <c r="AK36" s="413">
        <f>SUM(AK37:AK38)</f>
        <v>0</v>
      </c>
      <c r="AL36" s="397">
        <f>IF(AJ36=0,0,(AK36-AJ36)/AJ36*100)</f>
        <v>0</v>
      </c>
      <c r="AM36" s="413">
        <f>SUM(AM37:AM38)</f>
        <v>0</v>
      </c>
      <c r="AN36" s="413">
        <f>SUM(AN37:AN38)</f>
        <v>0</v>
      </c>
      <c r="AO36" s="397">
        <f>IF(AM36=0,0,(AN36-AM36)/AM36*100)</f>
        <v>0</v>
      </c>
      <c r="AP36" s="413">
        <f>SUM(AP37:AP38)</f>
        <v>0</v>
      </c>
      <c r="AQ36" s="413">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2105</v>
      </c>
      <c r="GA36" s="1181"/>
      <c r="GB36" s="1181"/>
      <c r="GC36" s="1181"/>
      <c r="GD36" s="1181"/>
    </row>
    <row customHeight="1" ht="16.672500000000003" hidden="1">
      <c r="B37" s="961" cm="1" t="str">
        <f t="array" ref="B37:B37">B36</f>
        <v>false</v>
      </c>
      <c r="C37" s="1322" t="s">
        <v>1721</v>
      </c>
      <c r="D37" s="1291" t="s">
        <v>1722</v>
      </c>
      <c r="E37" s="794">
        <v>17.1</v>
      </c>
      <c r="F37" s="919" cm="1" t="str">
        <f t="array" ref="F37:F37">OFFSET(G37,-1,-1)</f>
        <v>0</v>
      </c>
      <c r="G37" s="190" t="s">
        <v>1723</v>
      </c>
      <c r="J37" s="1312" t="s">
        <v>2089</v>
      </c>
      <c r="K37" s="1312" cm="1" t="str">
        <f t="array" ref="K37:K37">OFFSET(J37,-1,1)</f>
        <v>0</v>
      </c>
      <c r="L37" s="1312" t="s">
        <v>2103</v>
      </c>
      <c r="M37" s="1312" t="s">
        <v>1724</v>
      </c>
      <c r="N37" s="1312" t="s">
        <v>2091</v>
      </c>
      <c r="O37" s="1313" t="s">
        <v>2092</v>
      </c>
      <c r="P37" s="1312"/>
      <c r="Q37" s="1312"/>
      <c r="T37" s="805" cm="1" t="str">
        <f t="array" ref="T37:T37">T36</f>
        <v>false</v>
      </c>
      <c r="AB37" s="286" t="s">
        <v>1725</v>
      </c>
      <c r="AC37" s="169" t="s">
        <v>591</v>
      </c>
      <c r="AD37" s="145">
        <f>IF(method_reg="Метод экономически обоснованных расходов",_xlfn.SUMIFS('Калькуляция (4.6)'!AJ$25:AJ$229,'Калькуляция (4.6)'!$F$25:$F$229,$F37,'Калькуляция (4.6)'!$G$25:$G$229,$G37),IF(method_reg="Метод сравнения аналогов",_xlfn.SUMIFS(INDEX('Калькуляция (МСА)'!$AE$25:$BC$109,,MATCH(AD$8,'Калькуляция (МСА)'!$AE$8:$BC$8,0)),'Калькуляция (МСА)'!$F$25:$F$109,$F37,'Калькуляция (МСА)'!$G$25:$G$109,$G37),_xlfn.SUMIFS(INDEX('Калькуляция (5.9)'!$AJ$25:$BC$192,,MATCH(AD$8,'Калькуляция (5.9)'!$AJ$8:$BC$8,0)),'Калькуляция (5.9)'!$F$25:$F$192,$F37,'Калькуляция (5.9)'!$G$25:$G$192,$G37)))</f>
        <v>0</v>
      </c>
      <c r="AE37" s="145">
        <f>IF(method_reg="Метод экономически обоснованных расходов",_xlfn.SUMIFS('Калькуляция (4.6)'!AK$25:AK$229,'Калькуляция (4.6)'!$F$25:$F$229,$F37,'Калькуляция (4.6)'!$G$25:$G$229,$G37),IF(method_reg="Метод сравнения аналогов",_xlfn.SUMIFS(INDEX('Калькуляция (МСА)'!$AE$25:$BC$109,,MATCH(AE$8,'Калькуляция (МСА)'!$AE$8:$BC$8,0)),'Калькуляция (МСА)'!$F$25:$F$109,$F37,'Калькуляция (МСА)'!$G$25:$G$109,$G37),_xlfn.SUMIFS(INDEX('Калькуляция (5.9)'!$AJ$25:$BC$192,,MATCH(AE$8,'Калькуляция (5.9)'!$AJ$8:$BC$8,0)),'Калькуляция (5.9)'!$F$25:$F$192,$F37,'Калькуляция (5.9)'!$G$25:$G$192,$G37)))</f>
        <v>0</v>
      </c>
      <c r="AF37" s="397">
        <f>IF(AD37=0,0,(AE37-AD37)/AD37*100)</f>
        <v>0</v>
      </c>
      <c r="AG37" s="413">
        <f>IF(method_reg="Метод сравнения аналогов",_xlfn.SUMIFS(INDEX('Калькуляция (МСА)'!$AE$25:$BC$109,,MATCH(AG$8,'Калькуляция (МСА)'!$AE$8:$BC$8,0)),'Калькуляция (МСА)'!$F$25:$F$109,$F37,'Калькуляция (МСА)'!$G$25:$G$109,$G37),_xlfn.SUMIFS(INDEX('Калькуляция (5.9)'!$AJ$25:$BC$192,,MATCH(AG$8,'Калькуляция (5.9)'!$AJ$8:$BC$8,0)),'Калькуляция (5.9)'!$F$25:$F$192,$F37,'Калькуляция (5.9)'!$G$25:$G$192,$G37))</f>
        <v>0</v>
      </c>
      <c r="AH37" s="413">
        <f>IF(method_reg="Метод сравнения аналогов",_xlfn.SUMIFS(INDEX('Калькуляция (МСА)'!$AE$25:$BC$109,,MATCH(AH$8,'Калькуляция (МСА)'!$AE$8:$BC$8,0)),'Калькуляция (МСА)'!$F$25:$F$109,$F37,'Калькуляция (МСА)'!$G$25:$G$109,$G37),_xlfn.SUMIFS(INDEX('Калькуляция (5.9)'!$AJ$25:$BC$192,,MATCH(AH$8,'Калькуляция (5.9)'!$AJ$8:$BC$8,0)),'Калькуляция (5.9)'!$F$25:$F$192,$F37,'Калькуляция (5.9)'!$G$25:$G$192,$G37))</f>
        <v>0</v>
      </c>
      <c r="AI37" s="397">
        <f>IF(AG37=0,0,(AH37-AG37)/AG37*100)</f>
        <v>0</v>
      </c>
      <c r="AJ37" s="413">
        <f>IF(method_reg="Метод сравнения аналогов",_xlfn.SUMIFS(INDEX('Калькуляция (МСА)'!$AE$25:$BC$109,,MATCH(AJ$8,'Калькуляция (МСА)'!$AE$8:$BC$8,0)),'Калькуляция (МСА)'!$F$25:$F$109,$F37,'Калькуляция (МСА)'!$G$25:$G$109,$G37),_xlfn.SUMIFS(INDEX('Калькуляция (5.9)'!$AJ$25:$BC$192,,MATCH(AJ$8,'Калькуляция (5.9)'!$AJ$8:$BC$8,0)),'Калькуляция (5.9)'!$F$25:$F$192,$F37,'Калькуляция (5.9)'!$G$25:$G$192,$G37))</f>
        <v>0</v>
      </c>
      <c r="AK37" s="413">
        <f>IF(method_reg="Метод сравнения аналогов",_xlfn.SUMIFS(INDEX('Калькуляция (МСА)'!$AE$25:$BC$109,,MATCH(AK$8,'Калькуляция (МСА)'!$AE$8:$BC$8,0)),'Калькуляция (МСА)'!$F$25:$F$109,$F37,'Калькуляция (МСА)'!$G$25:$G$109,$G37),_xlfn.SUMIFS(INDEX('Калькуляция (5.9)'!$AJ$25:$BC$192,,MATCH(AK$8,'Калькуляция (5.9)'!$AJ$8:$BC$8,0)),'Калькуляция (5.9)'!$F$25:$F$192,$F37,'Калькуляция (5.9)'!$G$25:$G$192,$G37))</f>
        <v>0</v>
      </c>
      <c r="AL37" s="397">
        <f>IF(AJ37=0,0,(AK37-AJ37)/AJ37*100)</f>
        <v>0</v>
      </c>
      <c r="AM37" s="413">
        <f>IF(method_reg="Метод сравнения аналогов",_xlfn.SUMIFS(INDEX('Калькуляция (МСА)'!$AE$25:$BC$109,,MATCH(AM$8,'Калькуляция (МСА)'!$AE$8:$BC$8,0)),'Калькуляция (МСА)'!$F$25:$F$109,$F37,'Калькуляция (МСА)'!$G$25:$G$109,$G37),_xlfn.SUMIFS(INDEX('Калькуляция (5.9)'!$AJ$25:$BC$192,,MATCH(AM$8,'Калькуляция (5.9)'!$AJ$8:$BC$8,0)),'Калькуляция (5.9)'!$F$25:$F$192,$F37,'Калькуляция (5.9)'!$G$25:$G$192,$G37))</f>
        <v>0</v>
      </c>
      <c r="AN37" s="413">
        <f>IF(method_reg="Метод сравнения аналогов",_xlfn.SUMIFS(INDEX('Калькуляция (МСА)'!$AE$25:$BC$109,,MATCH(AN$8,'Калькуляция (МСА)'!$AE$8:$BC$8,0)),'Калькуляция (МСА)'!$F$25:$F$109,$F37,'Калькуляция (МСА)'!$G$25:$G$109,$G37),_xlfn.SUMIFS(INDEX('Калькуляция (5.9)'!$AJ$25:$BC$192,,MATCH(AN$8,'Калькуляция (5.9)'!$AJ$8:$BC$8,0)),'Калькуляция (5.9)'!$F$25:$F$192,$F37,'Калькуляция (5.9)'!$G$25:$G$192,$G37))</f>
        <v>0</v>
      </c>
      <c r="AO37" s="397">
        <f>IF(AM37=0,0,(AN37-AM37)/AM37*100)</f>
        <v>0</v>
      </c>
      <c r="AP37" s="413">
        <f>IF(method_reg="Метод сравнения аналогов",_xlfn.SUMIFS(INDEX('Калькуляция (МСА)'!$AE$25:$BC$109,,MATCH(AP$8,'Калькуляция (МСА)'!$AE$8:$BC$8,0)),'Калькуляция (МСА)'!$F$25:$F$109,$F37,'Калькуляция (МСА)'!$G$25:$G$109,$G37),_xlfn.SUMIFS(INDEX('Калькуляция (5.9)'!$AJ$25:$BC$192,,MATCH(AP$8,'Калькуляция (5.9)'!$AJ$8:$BC$8,0)),'Калькуляция (5.9)'!$F$25:$F$192,$F37,'Калькуляция (5.9)'!$G$25:$G$192,$G37))</f>
        <v>0</v>
      </c>
      <c r="AQ37" s="413">
        <f>IF(method_reg="Метод сравнения аналогов",_xlfn.SUMIFS(INDEX('Калькуляция (МСА)'!$AE$25:$BC$109,,MATCH(AQ$8,'Калькуляция (МСА)'!$AE$8:$BC$8,0)),'Калькуляция (МСА)'!$F$25:$F$109,$F37,'Калькуляция (МСА)'!$G$25:$G$109,$G37),_xlfn.SUMIFS(INDEX('Калькуляция (5.9)'!$AJ$25:$BC$192,,MATCH(AQ$8,'Калькуляция (5.9)'!$AJ$8:$BC$8,0)),'Калькуляция (5.9)'!$F$25:$F$192,$F37,'Калькуляция (5.9)'!$G$25:$G$192,$G37))</f>
        <v>0</v>
      </c>
      <c r="AR37" s="397">
        <f>IF(AP37=0,0,(AQ37-AP37)/AP37*100)</f>
        <v>0</v>
      </c>
      <c r="AS37" s="145">
        <f>IF(method_reg="Метод сравнения аналогов",_xlfn.SUMIFS(INDEX('Калькуляция (МСА)'!$AE$25:$BC$109,,MATCH(AS$8,'Калькуляция (МСА)'!$AE$8:$BC$8,0)),'Калькуляция (МСА)'!$F$25:$F$109,$F37,'Калькуляция (МСА)'!$G$25:$G$109,$G37),_xlfn.SUMIFS(INDEX('Калькуляция (5.9)'!$AJ$25:$BC$192,,MATCH(AS$8,'Калькуляция (5.9)'!$AJ$8:$BC$8,0)),'Калькуляция (5.9)'!$F$25:$F$192,$F37,'Калькуляция (5.9)'!$G$25:$G$192,$G37))</f>
        <v>0</v>
      </c>
      <c r="AT37" s="145">
        <f>IF(method_reg="Метод сравнения аналогов",_xlfn.SUMIFS(INDEX('Калькуляция (МСА)'!$AE$25:$BC$109,,MATCH(AT$8,'Калькуляция (МСА)'!$AE$8:$BC$8,0)),'Калькуляция (МСА)'!$F$25:$F$109,$F37,'Калькуляция (МСА)'!$G$25:$G$109,$G37),_xlfn.SUMIFS(INDEX('Калькуляция (5.9)'!$AJ$25:$BC$192,,MATCH(AT$8,'Калькуляция (5.9)'!$AJ$8:$BC$8,0)),'Калькуляция (5.9)'!$F$25:$F$192,$F37,'Калькуляция (5.9)'!$G$25:$G$192,$G37))</f>
        <v>0</v>
      </c>
      <c r="AU37" s="397">
        <f>IF(AS37=0,0,(AT37-AS37)/AS37*100)</f>
        <v>0</v>
      </c>
      <c r="AV37" s="145">
        <f>IF(method_reg="Метод сравнения аналогов",_xlfn.SUMIFS(INDEX('Калькуляция (МСА)'!$AE$25:$BC$109,,MATCH(AV$8,'Калькуляция (МСА)'!$AE$8:$BC$8,0)),'Калькуляция (МСА)'!$F$25:$F$109,$F37,'Калькуляция (МСА)'!$G$25:$G$109,$G37),_xlfn.SUMIFS(INDEX('Калькуляция (5.9)'!$AJ$25:$BC$192,,MATCH(AV$8,'Калькуляция (5.9)'!$AJ$8:$BC$8,0)),'Калькуляция (5.9)'!$F$25:$F$192,$F37,'Калькуляция (5.9)'!$G$25:$G$192,$G37))</f>
        <v>0</v>
      </c>
      <c r="AW37" s="145">
        <f>IF(method_reg="Метод сравнения аналогов",_xlfn.SUMIFS(INDEX('Калькуляция (МСА)'!$AE$25:$BC$109,,MATCH(AW$8,'Калькуляция (МСА)'!$AE$8:$BC$8,0)),'Калькуляция (МСА)'!$F$25:$F$109,$F37,'Калькуляция (МСА)'!$G$25:$G$109,$G37),_xlfn.SUMIFS(INDEX('Калькуляция (5.9)'!$AJ$25:$BC$192,,MATCH(AW$8,'Калькуляция (5.9)'!$AJ$8:$BC$8,0)),'Калькуляция (5.9)'!$F$25:$F$192,$F37,'Калькуляция (5.9)'!$G$25:$G$192,$G37))</f>
        <v>0</v>
      </c>
      <c r="AX37" s="397">
        <f>IF(AV37=0,0,(AW37-AV37)/AV37*100)</f>
        <v>0</v>
      </c>
      <c r="AY37" s="145">
        <f>IF(method_reg="Метод сравнения аналогов",_xlfn.SUMIFS(INDEX('Калькуляция (МСА)'!$AE$25:$BC$109,,MATCH(AY$8,'Калькуляция (МСА)'!$AE$8:$BC$8,0)),'Калькуляция (МСА)'!$F$25:$F$109,$F37,'Калькуляция (МСА)'!$G$25:$G$109,$G37),_xlfn.SUMIFS(INDEX('Калькуляция (5.9)'!$AJ$25:$BC$192,,MATCH(AY$8,'Калькуляция (5.9)'!$AJ$8:$BC$8,0)),'Калькуляция (5.9)'!$F$25:$F$192,$F37,'Калькуляция (5.9)'!$G$25:$G$192,$G37))</f>
        <v>0</v>
      </c>
      <c r="AZ37" s="145">
        <f>IF(method_reg="Метод сравнения аналогов",_xlfn.SUMIFS(INDEX('Калькуляция (МСА)'!$AE$25:$BC$109,,MATCH(AZ$8,'Калькуляция (МСА)'!$AE$8:$BC$8,0)),'Калькуляция (МСА)'!$F$25:$F$109,$F37,'Калькуляция (МСА)'!$G$25:$G$109,$G37),_xlfn.SUMIFS(INDEX('Калькуляция (5.9)'!$AJ$25:$BC$192,,MATCH(AZ$8,'Калькуляция (5.9)'!$AJ$8:$BC$8,0)),'Калькуляция (5.9)'!$F$25:$F$192,$F37,'Калькуляция (5.9)'!$G$25:$G$192,$G37))</f>
        <v>0</v>
      </c>
      <c r="BA37" s="397">
        <f>IF(AY37=0,0,(AZ37-AY37)/AY37*100)</f>
        <v>0</v>
      </c>
      <c r="BB37" s="145">
        <f>IF(method_reg="Метод сравнения аналогов",_xlfn.SUMIFS(INDEX('Калькуляция (МСА)'!$AE$25:$BC$109,,MATCH(BB$8,'Калькуляция (МСА)'!$AE$8:$BC$8,0)),'Калькуляция (МСА)'!$F$25:$F$109,$F37,'Калькуляция (МСА)'!$G$25:$G$109,$G37),_xlfn.SUMIFS(INDEX('Калькуляция (5.9)'!$AJ$25:$BC$192,,MATCH(BB$8,'Калькуляция (5.9)'!$AJ$8:$BC$8,0)),'Калькуляция (5.9)'!$F$25:$F$192,$F37,'Калькуляция (5.9)'!$G$25:$G$192,$G37))</f>
        <v>0</v>
      </c>
      <c r="BC37" s="145">
        <f>IF(method_reg="Метод сравнения аналогов",_xlfn.SUMIFS(INDEX('Калькуляция (МСА)'!$AE$25:$BC$109,,MATCH(BC$8,'Калькуляция (МСА)'!$AE$8:$BC$8,0)),'Калькуляция (МСА)'!$F$25:$F$109,$F37,'Калькуляция (МСА)'!$G$25:$G$109,$G37),_xlfn.SUMIFS(INDEX('Калькуляция (5.9)'!$AJ$25:$BC$192,,MATCH(BC$8,'Калькуляция (5.9)'!$AJ$8:$BC$8,0)),'Калькуляция (5.9)'!$F$25:$F$192,$F37,'Калькуляция (5.9)'!$G$25:$G$192,$G37))</f>
        <v>0</v>
      </c>
      <c r="BD37" s="397">
        <f>IF(BB37=0,0,(BC37-BB37)/BB37*100)</f>
        <v>0</v>
      </c>
      <c r="BE37" s="145">
        <f>IF(method_reg="Метод сравнения аналогов",_xlfn.SUMIFS(INDEX('Калькуляция (МСА)'!$AE$25:$BC$109,,MATCH(BE$8,'Калькуляция (МСА)'!$AE$8:$BC$8,0)),'Калькуляция (МСА)'!$F$25:$F$109,$F37,'Калькуляция (МСА)'!$G$25:$G$109,$G37),_xlfn.SUMIFS(INDEX('Калькуляция (5.9)'!$AJ$25:$BC$192,,MATCH(BE$8,'Калькуляция (5.9)'!$AJ$8:$BC$8,0)),'Калькуляция (5.9)'!$F$25:$F$192,$F37,'Калькуляция (5.9)'!$G$25:$G$192,$G37))</f>
        <v>0</v>
      </c>
      <c r="BF37" s="145">
        <f>IF(method_reg="Метод сравнения аналогов",_xlfn.SUMIFS(INDEX('Калькуляция (МСА)'!$AE$25:$BC$109,,MATCH(BF$8,'Калькуляция (МСА)'!$AE$8:$BC$8,0)),'Калькуляция (МСА)'!$F$25:$F$109,$F37,'Калькуляция (МСА)'!$G$25:$G$109,$G37),_xlfn.SUMIFS(INDEX('Калькуляция (5.9)'!$AJ$25:$BC$192,,MATCH(BF$8,'Калькуляция (5.9)'!$AJ$8:$BC$8,0)),'Калькуляция (5.9)'!$F$25:$F$192,$F37,'Калькуляция (5.9)'!$G$25:$G$192,$G37))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2106</v>
      </c>
      <c r="GA37" s="1181"/>
      <c r="GB37" s="1181"/>
      <c r="GC37" s="1181"/>
      <c r="GD37" s="1181"/>
    </row>
    <row customHeight="1" ht="16.672500000000003" hidden="1">
      <c r="B38" s="961" cm="1" t="str">
        <f t="array" ref="B38:B38">B37</f>
        <v>false</v>
      </c>
      <c r="C38" s="1322" t="s">
        <v>1721</v>
      </c>
      <c r="D38" s="1291" t="s">
        <v>1722</v>
      </c>
      <c r="E38" s="794">
        <v>17.1</v>
      </c>
      <c r="F38" s="919" cm="1" t="str">
        <f t="array" ref="F38:F38">OFFSET(G38,-1,-1)</f>
        <v>0</v>
      </c>
      <c r="G38" s="190" t="s">
        <v>1732</v>
      </c>
      <c r="J38" s="1312" t="s">
        <v>2089</v>
      </c>
      <c r="K38" s="1312" cm="1" t="str">
        <f t="array" ref="K38:K38">OFFSET(J38,-1,1)</f>
        <v>0</v>
      </c>
      <c r="L38" s="1312" t="s">
        <v>2103</v>
      </c>
      <c r="M38" s="1312" t="s">
        <v>1733</v>
      </c>
      <c r="N38" s="1312" t="s">
        <v>2091</v>
      </c>
      <c r="O38" s="1313" t="s">
        <v>2092</v>
      </c>
      <c r="P38" s="1312"/>
      <c r="Q38" s="1312"/>
      <c r="T38" s="805" cm="1" t="str">
        <f t="array" ref="T38:T38">T37</f>
        <v>false</v>
      </c>
      <c r="AB38" s="286" t="s">
        <v>1734</v>
      </c>
      <c r="AC38" s="169" t="s">
        <v>591</v>
      </c>
      <c r="AD38" s="145">
        <f>IF(method_reg="Метод экономически обоснованных расходов",_xlfn.SUMIFS('Калькуляция (4.6)'!AJ$25:AJ$229,'Калькуляция (4.6)'!$F$25:$F$229,$F38,'Калькуляция (4.6)'!$G$25:$G$229,$G38),IF(method_reg="Метод сравнения аналогов",_xlfn.SUMIFS(INDEX('Калькуляция (МСА)'!$AE$25:$BC$109,,MATCH(AD$8,'Калькуляция (МСА)'!$AE$8:$BC$8,0)),'Калькуляция (МСА)'!$F$25:$F$109,$F38,'Калькуляция (МСА)'!$G$25:$G$109,$G38),_xlfn.SUMIFS(INDEX('Калькуляция (5.9)'!$AJ$25:$BC$192,,MATCH(AD$8,'Калькуляция (5.9)'!$AJ$8:$BC$8,0)),'Калькуляция (5.9)'!$F$25:$F$192,$F38,'Калькуляция (5.9)'!$G$25:$G$192,$G38)))</f>
        <v>0</v>
      </c>
      <c r="AE38" s="145">
        <f>IF(method_reg="Метод экономически обоснованных расходов",_xlfn.SUMIFS('Калькуляция (4.6)'!AK$25:AK$229,'Калькуляция (4.6)'!$F$25:$F$229,$F38,'Калькуляция (4.6)'!$G$25:$G$229,$G38),IF(method_reg="Метод сравнения аналогов",_xlfn.SUMIFS(INDEX('Калькуляция (МСА)'!$AE$25:$BC$109,,MATCH(AE$8,'Калькуляция (МСА)'!$AE$8:$BC$8,0)),'Калькуляция (МСА)'!$F$25:$F$109,$F38,'Калькуляция (МСА)'!$G$25:$G$109,$G38),_xlfn.SUMIFS(INDEX('Калькуляция (5.9)'!$AJ$25:$BC$192,,MATCH(AE$8,'Калькуляция (5.9)'!$AJ$8:$BC$8,0)),'Калькуляция (5.9)'!$F$25:$F$192,$F38,'Калькуляция (5.9)'!$G$25:$G$192,$G38)))</f>
        <v>0</v>
      </c>
      <c r="AF38" s="397">
        <f>IF(AD38=0,0,(AE38-AD38)/AD38*100)</f>
        <v>0</v>
      </c>
      <c r="AG38" s="413">
        <f>IF(method_reg="Метод сравнения аналогов",_xlfn.SUMIFS(INDEX('Калькуляция (МСА)'!$AE$25:$BC$109,,MATCH(AG$8,'Калькуляция (МСА)'!$AE$8:$BC$8,0)),'Калькуляция (МСА)'!$F$25:$F$109,$F38,'Калькуляция (МСА)'!$G$25:$G$109,$G38),_xlfn.SUMIFS(INDEX('Калькуляция (5.9)'!$AJ$25:$BC$192,,MATCH(AG$8,'Калькуляция (5.9)'!$AJ$8:$BC$8,0)),'Калькуляция (5.9)'!$F$25:$F$192,$F38,'Калькуляция (5.9)'!$G$25:$G$192,$G38))</f>
        <v>0</v>
      </c>
      <c r="AH38" s="413">
        <f>IF(method_reg="Метод сравнения аналогов",_xlfn.SUMIFS(INDEX('Калькуляция (МСА)'!$AE$25:$BC$109,,MATCH(AH$8,'Калькуляция (МСА)'!$AE$8:$BC$8,0)),'Калькуляция (МСА)'!$F$25:$F$109,$F38,'Калькуляция (МСА)'!$G$25:$G$109,$G38),_xlfn.SUMIFS(INDEX('Калькуляция (5.9)'!$AJ$25:$BC$192,,MATCH(AH$8,'Калькуляция (5.9)'!$AJ$8:$BC$8,0)),'Калькуляция (5.9)'!$F$25:$F$192,$F38,'Калькуляция (5.9)'!$G$25:$G$192,$G38))</f>
        <v>0</v>
      </c>
      <c r="AI38" s="397">
        <f>IF(AG38=0,0,(AH38-AG38)/AG38*100)</f>
        <v>0</v>
      </c>
      <c r="AJ38" s="413">
        <f>IF(method_reg="Метод сравнения аналогов",_xlfn.SUMIFS(INDEX('Калькуляция (МСА)'!$AE$25:$BC$109,,MATCH(AJ$8,'Калькуляция (МСА)'!$AE$8:$BC$8,0)),'Калькуляция (МСА)'!$F$25:$F$109,$F38,'Калькуляция (МСА)'!$G$25:$G$109,$G38),_xlfn.SUMIFS(INDEX('Калькуляция (5.9)'!$AJ$25:$BC$192,,MATCH(AJ$8,'Калькуляция (5.9)'!$AJ$8:$BC$8,0)),'Калькуляция (5.9)'!$F$25:$F$192,$F38,'Калькуляция (5.9)'!$G$25:$G$192,$G38))</f>
        <v>0</v>
      </c>
      <c r="AK38" s="413">
        <f>IF(method_reg="Метод сравнения аналогов",_xlfn.SUMIFS(INDEX('Калькуляция (МСА)'!$AE$25:$BC$109,,MATCH(AK$8,'Калькуляция (МСА)'!$AE$8:$BC$8,0)),'Калькуляция (МСА)'!$F$25:$F$109,$F38,'Калькуляция (МСА)'!$G$25:$G$109,$G38),_xlfn.SUMIFS(INDEX('Калькуляция (5.9)'!$AJ$25:$BC$192,,MATCH(AK$8,'Калькуляция (5.9)'!$AJ$8:$BC$8,0)),'Калькуляция (5.9)'!$F$25:$F$192,$F38,'Калькуляция (5.9)'!$G$25:$G$192,$G38))</f>
        <v>0</v>
      </c>
      <c r="AL38" s="397">
        <f>IF(AJ38=0,0,(AK38-AJ38)/AJ38*100)</f>
        <v>0</v>
      </c>
      <c r="AM38" s="413">
        <f>IF(method_reg="Метод сравнения аналогов",_xlfn.SUMIFS(INDEX('Калькуляция (МСА)'!$AE$25:$BC$109,,MATCH(AM$8,'Калькуляция (МСА)'!$AE$8:$BC$8,0)),'Калькуляция (МСА)'!$F$25:$F$109,$F38,'Калькуляция (МСА)'!$G$25:$G$109,$G38),_xlfn.SUMIFS(INDEX('Калькуляция (5.9)'!$AJ$25:$BC$192,,MATCH(AM$8,'Калькуляция (5.9)'!$AJ$8:$BC$8,0)),'Калькуляция (5.9)'!$F$25:$F$192,$F38,'Калькуляция (5.9)'!$G$25:$G$192,$G38))</f>
        <v>0</v>
      </c>
      <c r="AN38" s="413">
        <f>IF(method_reg="Метод сравнения аналогов",_xlfn.SUMIFS(INDEX('Калькуляция (МСА)'!$AE$25:$BC$109,,MATCH(AN$8,'Калькуляция (МСА)'!$AE$8:$BC$8,0)),'Калькуляция (МСА)'!$F$25:$F$109,$F38,'Калькуляция (МСА)'!$G$25:$G$109,$G38),_xlfn.SUMIFS(INDEX('Калькуляция (5.9)'!$AJ$25:$BC$192,,MATCH(AN$8,'Калькуляция (5.9)'!$AJ$8:$BC$8,0)),'Калькуляция (5.9)'!$F$25:$F$192,$F38,'Калькуляция (5.9)'!$G$25:$G$192,$G38))</f>
        <v>0</v>
      </c>
      <c r="AO38" s="397">
        <f>IF(AM38=0,0,(AN38-AM38)/AM38*100)</f>
        <v>0</v>
      </c>
      <c r="AP38" s="413">
        <f>IF(method_reg="Метод сравнения аналогов",_xlfn.SUMIFS(INDEX('Калькуляция (МСА)'!$AE$25:$BC$109,,MATCH(AP$8,'Калькуляция (МСА)'!$AE$8:$BC$8,0)),'Калькуляция (МСА)'!$F$25:$F$109,$F38,'Калькуляция (МСА)'!$G$25:$G$109,$G38),_xlfn.SUMIFS(INDEX('Калькуляция (5.9)'!$AJ$25:$BC$192,,MATCH(AP$8,'Калькуляция (5.9)'!$AJ$8:$BC$8,0)),'Калькуляция (5.9)'!$F$25:$F$192,$F38,'Калькуляция (5.9)'!$G$25:$G$192,$G38))</f>
        <v>0</v>
      </c>
      <c r="AQ38" s="413">
        <f>IF(method_reg="Метод сравнения аналогов",_xlfn.SUMIFS(INDEX('Калькуляция (МСА)'!$AE$25:$BC$109,,MATCH(AQ$8,'Калькуляция (МСА)'!$AE$8:$BC$8,0)),'Калькуляция (МСА)'!$F$25:$F$109,$F38,'Калькуляция (МСА)'!$G$25:$G$109,$G38),_xlfn.SUMIFS(INDEX('Калькуляция (5.9)'!$AJ$25:$BC$192,,MATCH(AQ$8,'Калькуляция (5.9)'!$AJ$8:$BC$8,0)),'Калькуляция (5.9)'!$F$25:$F$192,$F38,'Калькуляция (5.9)'!$G$25:$G$192,$G38))</f>
        <v>0</v>
      </c>
      <c r="AR38" s="397">
        <f>IF(AP38=0,0,(AQ38-AP38)/AP38*100)</f>
        <v>0</v>
      </c>
      <c r="AS38" s="145">
        <f>IF(method_reg="Метод сравнения аналогов",_xlfn.SUMIFS(INDEX('Калькуляция (МСА)'!$AE$25:$BC$109,,MATCH(AS$8,'Калькуляция (МСА)'!$AE$8:$BC$8,0)),'Калькуляция (МСА)'!$F$25:$F$109,$F38,'Калькуляция (МСА)'!$G$25:$G$109,$G38),_xlfn.SUMIFS(INDEX('Калькуляция (5.9)'!$AJ$25:$BC$192,,MATCH(AS$8,'Калькуляция (5.9)'!$AJ$8:$BC$8,0)),'Калькуляция (5.9)'!$F$25:$F$192,$F38,'Калькуляция (5.9)'!$G$25:$G$192,$G38))</f>
        <v>0</v>
      </c>
      <c r="AT38" s="145">
        <f>IF(method_reg="Метод сравнения аналогов",_xlfn.SUMIFS(INDEX('Калькуляция (МСА)'!$AE$25:$BC$109,,MATCH(AT$8,'Калькуляция (МСА)'!$AE$8:$BC$8,0)),'Калькуляция (МСА)'!$F$25:$F$109,$F38,'Калькуляция (МСА)'!$G$25:$G$109,$G38),_xlfn.SUMIFS(INDEX('Калькуляция (5.9)'!$AJ$25:$BC$192,,MATCH(AT$8,'Калькуляция (5.9)'!$AJ$8:$BC$8,0)),'Калькуляция (5.9)'!$F$25:$F$192,$F38,'Калькуляция (5.9)'!$G$25:$G$192,$G38))</f>
        <v>0</v>
      </c>
      <c r="AU38" s="397">
        <f>IF(AS38=0,0,(AT38-AS38)/AS38*100)</f>
        <v>0</v>
      </c>
      <c r="AV38" s="145">
        <f>IF(method_reg="Метод сравнения аналогов",_xlfn.SUMIFS(INDEX('Калькуляция (МСА)'!$AE$25:$BC$109,,MATCH(AV$8,'Калькуляция (МСА)'!$AE$8:$BC$8,0)),'Калькуляция (МСА)'!$F$25:$F$109,$F38,'Калькуляция (МСА)'!$G$25:$G$109,$G38),_xlfn.SUMIFS(INDEX('Калькуляция (5.9)'!$AJ$25:$BC$192,,MATCH(AV$8,'Калькуляция (5.9)'!$AJ$8:$BC$8,0)),'Калькуляция (5.9)'!$F$25:$F$192,$F38,'Калькуляция (5.9)'!$G$25:$G$192,$G38))</f>
        <v>0</v>
      </c>
      <c r="AW38" s="145">
        <f>IF(method_reg="Метод сравнения аналогов",_xlfn.SUMIFS(INDEX('Калькуляция (МСА)'!$AE$25:$BC$109,,MATCH(AW$8,'Калькуляция (МСА)'!$AE$8:$BC$8,0)),'Калькуляция (МСА)'!$F$25:$F$109,$F38,'Калькуляция (МСА)'!$G$25:$G$109,$G38),_xlfn.SUMIFS(INDEX('Калькуляция (5.9)'!$AJ$25:$BC$192,,MATCH(AW$8,'Калькуляция (5.9)'!$AJ$8:$BC$8,0)),'Калькуляция (5.9)'!$F$25:$F$192,$F38,'Калькуляция (5.9)'!$G$25:$G$192,$G38))</f>
        <v>0</v>
      </c>
      <c r="AX38" s="397">
        <f>IF(AV38=0,0,(AW38-AV38)/AV38*100)</f>
        <v>0</v>
      </c>
      <c r="AY38" s="145">
        <f>IF(method_reg="Метод сравнения аналогов",_xlfn.SUMIFS(INDEX('Калькуляция (МСА)'!$AE$25:$BC$109,,MATCH(AY$8,'Калькуляция (МСА)'!$AE$8:$BC$8,0)),'Калькуляция (МСА)'!$F$25:$F$109,$F38,'Калькуляция (МСА)'!$G$25:$G$109,$G38),_xlfn.SUMIFS(INDEX('Калькуляция (5.9)'!$AJ$25:$BC$192,,MATCH(AY$8,'Калькуляция (5.9)'!$AJ$8:$BC$8,0)),'Калькуляция (5.9)'!$F$25:$F$192,$F38,'Калькуляция (5.9)'!$G$25:$G$192,$G38))</f>
        <v>0</v>
      </c>
      <c r="AZ38" s="145">
        <f>IF(method_reg="Метод сравнения аналогов",_xlfn.SUMIFS(INDEX('Калькуляция (МСА)'!$AE$25:$BC$109,,MATCH(AZ$8,'Калькуляция (МСА)'!$AE$8:$BC$8,0)),'Калькуляция (МСА)'!$F$25:$F$109,$F38,'Калькуляция (МСА)'!$G$25:$G$109,$G38),_xlfn.SUMIFS(INDEX('Калькуляция (5.9)'!$AJ$25:$BC$192,,MATCH(AZ$8,'Калькуляция (5.9)'!$AJ$8:$BC$8,0)),'Калькуляция (5.9)'!$F$25:$F$192,$F38,'Калькуляция (5.9)'!$G$25:$G$192,$G38))</f>
        <v>0</v>
      </c>
      <c r="BA38" s="397">
        <f>IF(AY38=0,0,(AZ38-AY38)/AY38*100)</f>
        <v>0</v>
      </c>
      <c r="BB38" s="145">
        <f>IF(method_reg="Метод сравнения аналогов",_xlfn.SUMIFS(INDEX('Калькуляция (МСА)'!$AE$25:$BC$109,,MATCH(BB$8,'Калькуляция (МСА)'!$AE$8:$BC$8,0)),'Калькуляция (МСА)'!$F$25:$F$109,$F38,'Калькуляция (МСА)'!$G$25:$G$109,$G38),_xlfn.SUMIFS(INDEX('Калькуляция (5.9)'!$AJ$25:$BC$192,,MATCH(BB$8,'Калькуляция (5.9)'!$AJ$8:$BC$8,0)),'Калькуляция (5.9)'!$F$25:$F$192,$F38,'Калькуляция (5.9)'!$G$25:$G$192,$G38))</f>
        <v>0</v>
      </c>
      <c r="BC38" s="145">
        <f>IF(method_reg="Метод сравнения аналогов",_xlfn.SUMIFS(INDEX('Калькуляция (МСА)'!$AE$25:$BC$109,,MATCH(BC$8,'Калькуляция (МСА)'!$AE$8:$BC$8,0)),'Калькуляция (МСА)'!$F$25:$F$109,$F38,'Калькуляция (МСА)'!$G$25:$G$109,$G38),_xlfn.SUMIFS(INDEX('Калькуляция (5.9)'!$AJ$25:$BC$192,,MATCH(BC$8,'Калькуляция (5.9)'!$AJ$8:$BC$8,0)),'Калькуляция (5.9)'!$F$25:$F$192,$F38,'Калькуляция (5.9)'!$G$25:$G$192,$G38))</f>
        <v>0</v>
      </c>
      <c r="BD38" s="397">
        <f>IF(BB38=0,0,(BC38-BB38)/BB38*100)</f>
        <v>0</v>
      </c>
      <c r="BE38" s="145">
        <f>IF(method_reg="Метод сравнения аналогов",_xlfn.SUMIFS(INDEX('Калькуляция (МСА)'!$AE$25:$BC$109,,MATCH(BE$8,'Калькуляция (МСА)'!$AE$8:$BC$8,0)),'Калькуляция (МСА)'!$F$25:$F$109,$F38,'Калькуляция (МСА)'!$G$25:$G$109,$G38),_xlfn.SUMIFS(INDEX('Калькуляция (5.9)'!$AJ$25:$BC$192,,MATCH(BE$8,'Калькуляция (5.9)'!$AJ$8:$BC$8,0)),'Калькуляция (5.9)'!$F$25:$F$192,$F38,'Калькуляция (5.9)'!$G$25:$G$192,$G38))</f>
        <v>0</v>
      </c>
      <c r="BF38" s="145">
        <f>IF(method_reg="Метод сравнения аналогов",_xlfn.SUMIFS(INDEX('Калькуляция (МСА)'!$AE$25:$BC$109,,MATCH(BF$8,'Калькуляция (МСА)'!$AE$8:$BC$8,0)),'Калькуляция (МСА)'!$F$25:$F$109,$F38,'Калькуляция (МСА)'!$G$25:$G$109,$G38),_xlfn.SUMIFS(INDEX('Калькуляция (5.9)'!$AJ$25:$BC$192,,MATCH(BF$8,'Калькуляция (5.9)'!$AJ$8:$BC$8,0)),'Калькуляция (5.9)'!$F$25:$F$192,$F38,'Калькуляция (5.9)'!$G$25:$G$192,$G38))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2107</v>
      </c>
      <c r="GA38" s="1181"/>
      <c r="GB38" s="1181"/>
      <c r="GC38" s="1181"/>
      <c r="GD38" s="1181"/>
    </row>
    <row s="360" customFormat="1" customHeight="1" ht="16.672500000000003" hidden="1">
      <c r="B39" s="961" cm="1" t="str">
        <f t="array" ref="B39:B39">B38</f>
        <v>false</v>
      </c>
      <c r="C39" s="1322" t="s">
        <v>2108</v>
      </c>
      <c r="D39" s="1291" t="s">
        <v>2109</v>
      </c>
      <c r="E39" s="794">
        <v>17.1</v>
      </c>
      <c r="F39" s="919" cm="1" t="str">
        <f t="array" ref="F39:F39">OFFSET(G39,-1,-1)</f>
        <v>0</v>
      </c>
      <c r="H39" s="210" t="s">
        <v>493</v>
      </c>
      <c r="I39" s="210" t="s">
        <v>2110</v>
      </c>
      <c r="J39" s="1312" t="s">
        <v>2089</v>
      </c>
      <c r="K39" s="1312" cm="1" t="str">
        <f t="array" ref="K39:K39">OFFSET(J39,-1,1)</f>
        <v>0</v>
      </c>
      <c r="L39" s="1312"/>
      <c r="M39" s="1312" t="s">
        <v>1724</v>
      </c>
      <c r="N39" s="1312" t="s">
        <v>2111</v>
      </c>
      <c r="O39" s="1313" t="s">
        <v>2112</v>
      </c>
      <c r="P39" s="1312"/>
      <c r="Q39" s="1312"/>
      <c r="T39" s="805" cm="1" t="str">
        <f t="array" ref="T39:T39">T38</f>
        <v>false</v>
      </c>
      <c r="AB39" s="1351" t="s">
        <v>2113</v>
      </c>
      <c r="AC39" s="361" t="s">
        <v>895</v>
      </c>
      <c r="AD39" s="144">
        <f>IF(tax_system="ОСНО",AD33*Сценарии!AE$26,AD33)</f>
        <v>0</v>
      </c>
      <c r="AE39" s="144">
        <f>IF(tax_system="ОСНО",AE33*Сценарии!AO$26,AE33)</f>
        <v>0</v>
      </c>
      <c r="AF39" s="363">
        <f>IF(AD39=0,0,(AE39-AD39)/AD39*100)</f>
        <v>0</v>
      </c>
      <c r="AG39" s="362">
        <f>IF(tax_system="ОСНО",AG33*Сценарии!AF$26,AG33)</f>
        <v>0</v>
      </c>
      <c r="AH39" s="362">
        <f>IF(tax_system="ОСНО",AH33*Сценарии!AP$26,AH33)</f>
        <v>0</v>
      </c>
      <c r="AI39" s="363">
        <f>IF(AG39=0,0,(AH39-AG39)/AG39*100)</f>
        <v>0</v>
      </c>
      <c r="AJ39" s="362">
        <f>IF(tax_system="ОСНО",AJ33*Сценарии!AG$26,AJ33)</f>
        <v>0</v>
      </c>
      <c r="AK39" s="362">
        <f>IF(tax_system="ОСНО",AK33*Сценарии!AQ$26,AK33)</f>
        <v>0</v>
      </c>
      <c r="AL39" s="363">
        <f>IF(AJ39=0,0,(AK39-AJ39)/AJ39*100)</f>
        <v>0</v>
      </c>
      <c r="AM39" s="362">
        <f>IF(tax_system="ОСНО",AM33*Сценарии!AH$26,AM33)</f>
        <v>0</v>
      </c>
      <c r="AN39" s="362">
        <f>IF(tax_system="ОСНО",AN33*Сценарии!AR$26,AN33)</f>
        <v>0</v>
      </c>
      <c r="AO39" s="363">
        <f>IF(AM39=0,0,(AN39-AM39)/AM39*100)</f>
        <v>0</v>
      </c>
      <c r="AP39" s="362">
        <f>IF(tax_system="ОСНО",AP33*Сценарии!AI$26,AP33)</f>
        <v>0</v>
      </c>
      <c r="AQ39" s="362">
        <f>IF(tax_system="ОСНО",AQ33*Сценарии!AS$26,AQ33)</f>
        <v>0</v>
      </c>
      <c r="AR39" s="363">
        <f>IF(AP39=0,0,(AQ39-AP39)/AP39*100)</f>
        <v>0</v>
      </c>
      <c r="AS39" s="144">
        <f>IF(tax_system="ОСНО",AS33*Сценарии!AJ$26,AS33)</f>
        <v>0</v>
      </c>
      <c r="AT39" s="144">
        <f>IF(tax_system="ОСНО",AT33*Сценарии!AT$26,AT33)</f>
        <v>0</v>
      </c>
      <c r="AU39" s="363">
        <f>IF(AS39=0,0,(AT39-AS39)/AS39*100)</f>
        <v>0</v>
      </c>
      <c r="AV39" s="144">
        <f>IF(tax_system="ОСНО",AV33*Сценарии!AK$26,AV33)</f>
        <v>0</v>
      </c>
      <c r="AW39" s="144">
        <f>IF(tax_system="ОСНО",AW33*Сценарии!AU$26,AW33)</f>
        <v>0</v>
      </c>
      <c r="AX39" s="363">
        <f>IF(AV39=0,0,(AW39-AV39)/AV39*100)</f>
        <v>0</v>
      </c>
      <c r="AY39" s="144">
        <f>IF(tax_system="ОСНО",AY33*Сценарии!AL$26,AY33)</f>
        <v>0</v>
      </c>
      <c r="AZ39" s="144">
        <f>IF(tax_system="ОСНО",AZ33*Сценарии!AV$26,AZ33)</f>
        <v>0</v>
      </c>
      <c r="BA39" s="363">
        <f>IF(AY39=0,0,(AZ39-AY39)/AY39*100)</f>
        <v>0</v>
      </c>
      <c r="BB39" s="144">
        <f>IF(tax_system="ОСНО",BB33*Сценарии!AM$26,BB33)</f>
        <v>0</v>
      </c>
      <c r="BC39" s="144">
        <f>IF(tax_system="ОСНО",BC33*Сценарии!AW$26,BC33)</f>
        <v>0</v>
      </c>
      <c r="BD39" s="363">
        <f>IF(BB39=0,0,(BC39-BB39)/BB39*100)</f>
        <v>0</v>
      </c>
      <c r="BE39" s="144">
        <f>IF(tax_system="ОСНО",BE33*Сценарии!AN$26,BE33)</f>
        <v>0</v>
      </c>
      <c r="BF39" s="144">
        <f>IF(tax_system="ОСНО",BF33*Сценарии!AX$26,BF33)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2114</v>
      </c>
      <c r="GA39" s="1181"/>
      <c r="GB39" s="1181"/>
      <c r="GC39" s="1181"/>
      <c r="GD39" s="1181"/>
    </row>
    <row s="360" customFormat="1" customHeight="1" ht="16.672500000000003" hidden="1">
      <c r="B40" s="961" cm="1" t="str">
        <f t="array" ref="B40:B40">B39</f>
        <v>false</v>
      </c>
      <c r="C40" s="1322" t="s">
        <v>2108</v>
      </c>
      <c r="D40" s="1291" t="s">
        <v>2109</v>
      </c>
      <c r="E40" s="794">
        <v>17.1</v>
      </c>
      <c r="F40" s="919" cm="1" t="str">
        <f t="array" ref="F40:F40">OFFSET(G40,-1,-1)</f>
        <v>0</v>
      </c>
      <c r="H40" s="210" t="s">
        <v>493</v>
      </c>
      <c r="I40" s="210" t="s">
        <v>2115</v>
      </c>
      <c r="J40" s="1312" t="s">
        <v>2089</v>
      </c>
      <c r="K40" s="1312" cm="1" t="str">
        <f t="array" ref="K40:K40">OFFSET(J40,-1,1)</f>
        <v>0</v>
      </c>
      <c r="L40" s="1312"/>
      <c r="M40" s="1312" t="s">
        <v>1733</v>
      </c>
      <c r="N40" s="1312" t="s">
        <v>2111</v>
      </c>
      <c r="O40" s="1313" t="s">
        <v>2112</v>
      </c>
      <c r="P40" s="1312"/>
      <c r="Q40" s="1312"/>
      <c r="T40" s="805" cm="1" t="str">
        <f t="array" ref="T40:T40">T39</f>
        <v>false</v>
      </c>
      <c r="AB40" s="1351" t="s">
        <v>2116</v>
      </c>
      <c r="AC40" s="361" t="s">
        <v>895</v>
      </c>
      <c r="AD40" s="144">
        <f>IF(tax_system="ОСНО",AD34*Сценарии!AE$26,AD34)</f>
        <v>0</v>
      </c>
      <c r="AE40" s="144">
        <f>IF(tax_system="ОСНО",AE34*Сценарии!AO$26,AE34)</f>
        <v>0</v>
      </c>
      <c r="AF40" s="363">
        <f>IF(AD40=0,0,(AE40-AD40)/AD40*100)</f>
        <v>0</v>
      </c>
      <c r="AG40" s="362">
        <f>IF(tax_system="ОСНО",AG34*Сценарии!AF$26,AG34)</f>
        <v>0</v>
      </c>
      <c r="AH40" s="362">
        <f>IF(tax_system="ОСНО",AH34*Сценарии!AP$26,AH34)</f>
        <v>0</v>
      </c>
      <c r="AI40" s="363">
        <f>IF(AG40=0,0,(AH40-AG40)/AG40*100)</f>
        <v>0</v>
      </c>
      <c r="AJ40" s="362">
        <f>IF(tax_system="ОСНО",AJ34*Сценарии!AG$26,AJ34)</f>
        <v>0</v>
      </c>
      <c r="AK40" s="362">
        <f>IF(tax_system="ОСНО",AK34*Сценарии!AQ$26,AK34)</f>
        <v>0</v>
      </c>
      <c r="AL40" s="363">
        <f>IF(AJ40=0,0,(AK40-AJ40)/AJ40*100)</f>
        <v>0</v>
      </c>
      <c r="AM40" s="362">
        <f>IF(tax_system="ОСНО",AM34*Сценарии!AH$26,AM34)</f>
        <v>0</v>
      </c>
      <c r="AN40" s="362">
        <f>IF(tax_system="ОСНО",AN34*Сценарии!AR$26,AN34)</f>
        <v>0</v>
      </c>
      <c r="AO40" s="363">
        <f>IF(AM40=0,0,(AN40-AM40)/AM40*100)</f>
        <v>0</v>
      </c>
      <c r="AP40" s="362">
        <f>IF(tax_system="ОСНО",AP34*Сценарии!AI$26,AP34)</f>
        <v>0</v>
      </c>
      <c r="AQ40" s="362">
        <f>IF(tax_system="ОСНО",AQ34*Сценарии!AS$26,AQ34)</f>
        <v>0</v>
      </c>
      <c r="AR40" s="363">
        <f>IF(AP40=0,0,(AQ40-AP40)/AP40*100)</f>
        <v>0</v>
      </c>
      <c r="AS40" s="144">
        <f>IF(tax_system="ОСНО",AS34*Сценарии!AJ$26,AS34)</f>
        <v>0</v>
      </c>
      <c r="AT40" s="144">
        <f>IF(tax_system="ОСНО",AT34*Сценарии!AT$26,AT34)</f>
        <v>0</v>
      </c>
      <c r="AU40" s="363">
        <f>IF(AS40=0,0,(AT40-AS40)/AS40*100)</f>
        <v>0</v>
      </c>
      <c r="AV40" s="144">
        <f>IF(tax_system="ОСНО",AV34*Сценарии!AK$26,AV34)</f>
        <v>0</v>
      </c>
      <c r="AW40" s="144">
        <f>IF(tax_system="ОСНО",AW34*Сценарии!AU$26,AW34)</f>
        <v>0</v>
      </c>
      <c r="AX40" s="363">
        <f>IF(AV40=0,0,(AW40-AV40)/AV40*100)</f>
        <v>0</v>
      </c>
      <c r="AY40" s="144">
        <f>IF(tax_system="ОСНО",AY34*Сценарии!AL$26,AY34)</f>
        <v>0</v>
      </c>
      <c r="AZ40" s="144">
        <f>IF(tax_system="ОСНО",AZ34*Сценарии!AV$26,AZ34)</f>
        <v>0</v>
      </c>
      <c r="BA40" s="363">
        <f>IF(AY40=0,0,(AZ40-AY40)/AY40*100)</f>
        <v>0</v>
      </c>
      <c r="BB40" s="144">
        <f>IF(tax_system="ОСНО",BB34*Сценарии!AM$26,BB34)</f>
        <v>0</v>
      </c>
      <c r="BC40" s="144">
        <f>IF(tax_system="ОСНО",BC34*Сценарии!AW$26,BC34)</f>
        <v>0</v>
      </c>
      <c r="BD40" s="363">
        <f>IF(BB40=0,0,(BC40-BB40)/BB40*100)</f>
        <v>0</v>
      </c>
      <c r="BE40" s="144">
        <f>IF(tax_system="ОСНО",BE34*Сценарии!AN$26,BE34)</f>
        <v>0</v>
      </c>
      <c r="BF40" s="144">
        <f>IF(tax_system="ОСНО",BF34*Сценарии!AX$26,BF34)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2117</v>
      </c>
      <c r="GA40" s="1181"/>
      <c r="GB40" s="1181"/>
      <c r="GC40" s="1181"/>
      <c r="GD40" s="1181"/>
    </row>
    <row customHeight="1" ht="16.672500000000003" hidden="1">
      <c r="B41" s="961" cm="1" t="str">
        <f t="array" ref="B41:B41">B40</f>
        <v>false</v>
      </c>
      <c r="C41" s="1322" t="s">
        <v>1739</v>
      </c>
      <c r="D41" s="1291" t="s">
        <v>1740</v>
      </c>
      <c r="E41" s="794">
        <v>17.1</v>
      </c>
      <c r="F41" s="919" cm="1" t="str">
        <f t="array" ref="F41:F41">OFFSET(G41,-1,-1)</f>
        <v>0</v>
      </c>
      <c r="H41" s="210" t="s">
        <v>496</v>
      </c>
      <c r="I41" s="210" t="s">
        <v>2118</v>
      </c>
      <c r="J41" s="1312" t="s">
        <v>2089</v>
      </c>
      <c r="K41" s="1312" cm="1" t="str">
        <f t="array" ref="K41:K41">OFFSET(J41,-1,1)</f>
        <v>0</v>
      </c>
      <c r="L41" s="1312" t="s">
        <v>2099</v>
      </c>
      <c r="M41" s="1312"/>
      <c r="N41" s="1312" t="s">
        <v>2111</v>
      </c>
      <c r="O41" s="1313" t="s">
        <v>2112</v>
      </c>
      <c r="P41" s="1312"/>
      <c r="Q41" s="1312"/>
      <c r="T41" s="805" cm="1" t="str">
        <f t="array" ref="T41:T41">T40</f>
        <v>false</v>
      </c>
      <c r="AB41" s="1057" t="s">
        <v>2100</v>
      </c>
      <c r="AC41" s="169" t="s">
        <v>490</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2119</v>
      </c>
      <c r="GA41" s="1181"/>
      <c r="GB41" s="1181"/>
      <c r="GC41" s="1181"/>
      <c r="GD41" s="1181"/>
    </row>
    <row customHeight="1" ht="16.672500000000003" hidden="1">
      <c r="B42" s="961" cm="1" t="str">
        <f t="array" ref="B42:B42">B41</f>
        <v>false</v>
      </c>
      <c r="C42" s="1322" t="s">
        <v>1721</v>
      </c>
      <c r="D42" s="1291" t="s">
        <v>1722</v>
      </c>
      <c r="E42" s="794">
        <v>17.1</v>
      </c>
      <c r="F42" s="919" cm="1" t="str">
        <f t="array" ref="F42:F42">OFFSET(G42,-1,-1)</f>
        <v>0</v>
      </c>
      <c r="G42" s="190" t="s">
        <v>2120</v>
      </c>
      <c r="H42" s="210" t="s">
        <v>503</v>
      </c>
      <c r="I42" s="210" t="s">
        <v>2118</v>
      </c>
      <c r="J42" s="1312" t="s">
        <v>2089</v>
      </c>
      <c r="K42" s="1312" cm="1" t="str">
        <f t="array" ref="K42:K42">OFFSET(J42,-1,1)</f>
        <v>0</v>
      </c>
      <c r="L42" s="1312" t="s">
        <v>2103</v>
      </c>
      <c r="M42" s="1312"/>
      <c r="N42" s="1312" t="s">
        <v>2111</v>
      </c>
      <c r="O42" s="1313" t="s">
        <v>2112</v>
      </c>
      <c r="P42" s="1312"/>
      <c r="Q42" s="1312"/>
      <c r="T42" s="805" cm="1" t="str">
        <f t="array" ref="T42:T42">T41</f>
        <v>false</v>
      </c>
      <c r="AB42" s="1057" t="s">
        <v>2121</v>
      </c>
      <c r="AC42" s="169" t="s">
        <v>591</v>
      </c>
      <c r="AD42" s="98">
        <f>_xlfn.SUMIFS('Баланс Пр'!AI$27:AI$233,'Баланс Пр'!$F$27:$F$233,$F42,'Баланс Пр'!$AB$27:$AB$233,"9.1.2.3")</f>
        <v>0</v>
      </c>
      <c r="AE42" s="98">
        <f>_xlfn.SUMIFS('Баланс Пр'!AS$27:AS$233,'Баланс Пр'!$F$27:$F$233,$F42,'Баланс Пр'!$AB$27:$AB$233,"9.1.2.3")</f>
        <v>0</v>
      </c>
      <c r="AF42" s="397">
        <f>IF(AD42=0,0,(AE42-AD42)/AD42*100)</f>
        <v>0</v>
      </c>
      <c r="AG42" s="308">
        <f>_xlfn.SUMIFS('Баланс Пр'!AJ$27:AJ$233,'Баланс Пр'!$F$27:$F$233,$F42,'Баланс Пр'!$AB$27:$AB$233,"9.1.2.3")</f>
        <v>0</v>
      </c>
      <c r="AH42" s="308">
        <f>_xlfn.SUMIFS('Баланс Пр'!AT$27:AT$233,'Баланс Пр'!$F$27:$F$233,$F42,'Баланс Пр'!$AB$27:$AB$233,"9.1.2.3")</f>
        <v>0</v>
      </c>
      <c r="AI42" s="397">
        <f>IF(AG42=0,0,(AH42-AG42)/AG42*100)</f>
        <v>0</v>
      </c>
      <c r="AJ42" s="308">
        <f>_xlfn.SUMIFS('Баланс Пр'!AK$27:AK$233,'Баланс Пр'!$F$27:$F$233,$F42,'Баланс Пр'!$AB$27:$AB$233,"9.1.2.3")</f>
        <v>0</v>
      </c>
      <c r="AK42" s="308">
        <f>_xlfn.SUMIFS('Баланс Пр'!AU$27:AU$233,'Баланс Пр'!$F$27:$F$233,$F42,'Баланс Пр'!$AB$27:$AB$233,"9.1.2.3")</f>
        <v>0</v>
      </c>
      <c r="AL42" s="397">
        <f>IF(AJ42=0,0,(AK42-AJ42)/AJ42*100)</f>
        <v>0</v>
      </c>
      <c r="AM42" s="308">
        <f>_xlfn.SUMIFS('Баланс Пр'!AL$27:AL$233,'Баланс Пр'!$F$27:$F$233,$F42,'Баланс Пр'!$AB$27:$AB$233,"9.1.2.3")</f>
        <v>0</v>
      </c>
      <c r="AN42" s="308">
        <f>_xlfn.SUMIFS('Баланс Пр'!AV$27:AV$233,'Баланс Пр'!$F$27:$F$233,$F42,'Баланс Пр'!$AB$27:$AB$233,"9.1.2.3")</f>
        <v>0</v>
      </c>
      <c r="AO42" s="397">
        <f>IF(AM42=0,0,(AN42-AM42)/AM42*100)</f>
        <v>0</v>
      </c>
      <c r="AP42" s="308">
        <f>_xlfn.SUMIFS('Баланс Пр'!AM$27:AM$233,'Баланс Пр'!$F$27:$F$233,$F42,'Баланс Пр'!$AB$27:$AB$233,"9.1.2.3")</f>
        <v>0</v>
      </c>
      <c r="AQ42" s="308">
        <f>_xlfn.SUMIFS('Баланс Пр'!AW$27:AW$233,'Баланс Пр'!$F$27:$F$233,$F42,'Баланс Пр'!$AB$27:$AB$233,"9.1.2.3")</f>
        <v>0</v>
      </c>
      <c r="AR42" s="397">
        <f>IF(AP42=0,0,(AQ42-AP42)/AP42*100)</f>
        <v>0</v>
      </c>
      <c r="AS42" s="98">
        <f>_xlfn.SUMIFS('Баланс Пр'!AN$27:AN$233,'Баланс Пр'!$F$27:$F$233,$F42,'Баланс Пр'!$AB$27:$AB$233,"9.1.2.3")</f>
        <v>0</v>
      </c>
      <c r="AT42" s="98">
        <f>_xlfn.SUMIFS('Баланс Пр'!AX$27:AX$233,'Баланс Пр'!$F$27:$F$233,$F42,'Баланс Пр'!$AB$27:$AB$233,"9.1.2.3")</f>
        <v>0</v>
      </c>
      <c r="AU42" s="397">
        <f>IF(AS42=0,0,(AT42-AS42)/AS42*100)</f>
        <v>0</v>
      </c>
      <c r="AV42" s="98">
        <f>_xlfn.SUMIFS('Баланс Пр'!AO$27:AO$233,'Баланс Пр'!$F$27:$F$233,$F42,'Баланс Пр'!$AB$27:$AB$233,"9.1.2.3")</f>
        <v>0</v>
      </c>
      <c r="AW42" s="98">
        <f>_xlfn.SUMIFS('Баланс Пр'!AY$27:AY$233,'Баланс Пр'!$F$27:$F$233,$F42,'Баланс Пр'!$AB$27:$AB$233,"9.1.2.3")</f>
        <v>0</v>
      </c>
      <c r="AX42" s="397">
        <f>IF(AV42=0,0,(AW42-AV42)/AV42*100)</f>
        <v>0</v>
      </c>
      <c r="AY42" s="98">
        <f>_xlfn.SUMIFS('Баланс Пр'!AP$27:AP$233,'Баланс Пр'!$F$27:$F$233,$F42,'Баланс Пр'!$AB$27:$AB$233,"9.1.2.3")</f>
        <v>0</v>
      </c>
      <c r="AZ42" s="98">
        <f>_xlfn.SUMIFS('Баланс Пр'!AZ$27:AZ$233,'Баланс Пр'!$F$27:$F$233,$F42,'Баланс Пр'!$AB$27:$AB$233,"9.1.2.3")</f>
        <v>0</v>
      </c>
      <c r="BA42" s="397">
        <f>IF(AY42=0,0,(AZ42-AY42)/AY42*100)</f>
        <v>0</v>
      </c>
      <c r="BB42" s="98">
        <f>_xlfn.SUMIFS('Баланс Пр'!AQ$27:AQ$233,'Баланс Пр'!$F$27:$F$233,$F42,'Баланс Пр'!$AB$27:$AB$233,"9.1.2.3")</f>
        <v>0</v>
      </c>
      <c r="BC42" s="98">
        <f>_xlfn.SUMIFS('Баланс Пр'!BA$27:BA$233,'Баланс Пр'!$F$27:$F$233,$F42,'Баланс Пр'!$AB$27:$AB$233,"9.1.2.3")</f>
        <v>0</v>
      </c>
      <c r="BD42" s="397">
        <f>IF(BB42=0,0,(BC42-BB42)/BB42*100)</f>
        <v>0</v>
      </c>
      <c r="BE42" s="98">
        <f>_xlfn.SUMIFS('Баланс Пр'!AR$27:AR$233,'Баланс Пр'!$F$27:$F$233,$F42,'Баланс Пр'!$AB$27:$AB$233,"9.1.2.3")</f>
        <v>0</v>
      </c>
      <c r="BF42" s="98">
        <f>_xlfn.SUMIFS('Баланс Пр'!BB$27:BB$233,'Баланс Пр'!$F$27:$F$233,$F42,'Баланс Пр'!$AB$27:$AB$233,"9.1.2.3")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2122</v>
      </c>
      <c r="GA42" s="1181"/>
      <c r="GB42" s="1181"/>
      <c r="GC42" s="1181"/>
      <c r="GD42" s="1181"/>
    </row>
    <row customHeight="1" ht="16.672500000000003" hidden="1">
      <c r="B43" s="961" cm="1" t="str">
        <f t="array" ref="B43:B43">B42</f>
        <v>false</v>
      </c>
      <c r="C43" s="1322" t="s">
        <v>1721</v>
      </c>
      <c r="D43" s="1291" t="s">
        <v>1722</v>
      </c>
      <c r="E43" s="794">
        <v>17.1</v>
      </c>
      <c r="F43" s="919" cm="1" t="str">
        <f t="array" ref="F43:F43">OFFSET(G43,-1,-1)</f>
        <v>0</v>
      </c>
      <c r="J43" s="1312" t="s">
        <v>2089</v>
      </c>
      <c r="K43" s="1312" cm="1" t="str">
        <f t="array" ref="K43:K43">OFFSET(J43,-1,1)</f>
        <v>0</v>
      </c>
      <c r="L43" s="1312" t="s">
        <v>2103</v>
      </c>
      <c r="M43" s="1312" t="s">
        <v>1724</v>
      </c>
      <c r="N43" s="1312" t="s">
        <v>2111</v>
      </c>
      <c r="O43" s="1313" t="s">
        <v>2112</v>
      </c>
      <c r="P43" s="1312"/>
      <c r="Q43" s="1312"/>
      <c r="T43" s="805" cm="1" t="str">
        <f t="array" ref="T43:T43">T42</f>
        <v>false</v>
      </c>
      <c r="AB43" s="273" t="s">
        <v>2123</v>
      </c>
      <c r="AC43" s="675" t="s">
        <v>591</v>
      </c>
      <c r="AD43" s="113"/>
      <c r="AE43" s="113"/>
      <c r="AF43" s="690">
        <f>IF(AD43=0,0,(AE43-AD43)/AD43*100)</f>
        <v>0</v>
      </c>
      <c r="AG43" s="378"/>
      <c r="AH43" s="378"/>
      <c r="AI43" s="690">
        <f>IF(AG43=0,0,(AH43-AG43)/AG43*100)</f>
        <v>0</v>
      </c>
      <c r="AJ43" s="378"/>
      <c r="AK43" s="378"/>
      <c r="AL43" s="690">
        <f>IF(AJ43=0,0,(AK43-AJ43)/AJ43*100)</f>
        <v>0</v>
      </c>
      <c r="AM43" s="378"/>
      <c r="AN43" s="378"/>
      <c r="AO43" s="690">
        <f>IF(AM43=0,0,(AN43-AM43)/AM43*100)</f>
        <v>0</v>
      </c>
      <c r="AP43" s="378"/>
      <c r="AQ43" s="378"/>
      <c r="AR43" s="690">
        <f>IF(AP43=0,0,(AQ43-AP43)/AP43*100)</f>
        <v>0</v>
      </c>
      <c r="AS43" s="113"/>
      <c r="AT43" s="113"/>
      <c r="AU43" s="690">
        <f>IF(AS43=0,0,(AT43-AS43)/AS43*100)</f>
        <v>0</v>
      </c>
      <c r="AV43" s="113"/>
      <c r="AW43" s="113"/>
      <c r="AX43" s="690">
        <f>IF(AV43=0,0,(AW43-AV43)/AV43*100)</f>
        <v>0</v>
      </c>
      <c r="AY43" s="113"/>
      <c r="AZ43" s="113"/>
      <c r="BA43" s="690">
        <f>IF(AY43=0,0,(AZ43-AY43)/AY43*100)</f>
        <v>0</v>
      </c>
      <c r="BB43" s="113"/>
      <c r="BC43" s="113"/>
      <c r="BD43" s="690">
        <f>IF(BB43=0,0,(BC43-BB43)/BB43*100)</f>
        <v>0</v>
      </c>
      <c r="BE43" s="113"/>
      <c r="BF43" s="113"/>
      <c r="BG43" s="690">
        <f>IF(BE43=0,0,(BF43-BE43)/BE43*100)</f>
        <v>0</v>
      </c>
      <c r="BH43" s="113"/>
      <c r="BI43" s="113"/>
      <c r="BJ43" s="690">
        <f>IF(BH43=0,0,(BI43-BH43)/BH43*100)</f>
        <v>0</v>
      </c>
      <c r="BK43" s="113"/>
      <c r="BL43" s="113"/>
      <c r="BM43" s="690">
        <f>IF(BK43=0,0,(BL43-BK43)/BK43*100)</f>
        <v>0</v>
      </c>
      <c r="BN43" s="113"/>
      <c r="BO43" s="113"/>
      <c r="BP43" s="690">
        <f>IF(BN43=0,0,(BO43-BN43)/BN43*100)</f>
        <v>0</v>
      </c>
      <c r="BQ43" s="113"/>
      <c r="BR43" s="113"/>
      <c r="BS43" s="690">
        <f>IF(BQ43=0,0,(BR43-BQ43)/BQ43*100)</f>
        <v>0</v>
      </c>
      <c r="BT43" s="113"/>
      <c r="BU43" s="113"/>
      <c r="BV43" s="690">
        <f>IF(BT43=0,0,(BU43-BT43)/BT43*100)</f>
        <v>0</v>
      </c>
      <c r="BW43" s="113"/>
      <c r="BX43" s="113"/>
      <c r="BY43" s="690">
        <f>IF(BW43=0,0,(BX43-BW43)/BW43*100)</f>
        <v>0</v>
      </c>
      <c r="BZ43" s="113"/>
      <c r="CA43" s="113"/>
      <c r="CB43" s="690">
        <f>IF(BZ43=0,0,(CA43-BZ43)/BZ43*100)</f>
        <v>0</v>
      </c>
      <c r="CC43" s="113"/>
      <c r="CD43" s="113"/>
      <c r="CE43" s="690">
        <f>IF(CC43=0,0,(CD43-CC43)/CC43*100)</f>
        <v>0</v>
      </c>
      <c r="CF43" s="113"/>
      <c r="CG43" s="113"/>
      <c r="CH43" s="690">
        <f>IF(CF43=0,0,(CG43-CF43)/CF43*100)</f>
        <v>0</v>
      </c>
      <c r="CI43" s="113"/>
      <c r="CJ43" s="113"/>
      <c r="CK43" s="690">
        <f>IF(CI43=0,0,(CJ43-CI43)/CI43*100)</f>
        <v>0</v>
      </c>
      <c r="CL43" s="113"/>
      <c r="CM43" s="113"/>
      <c r="CN43" s="690">
        <f>IF(CL43=0,0,(CM43-CL43)/CL43*100)</f>
        <v>0</v>
      </c>
      <c r="CO43" s="113"/>
      <c r="CP43" s="113"/>
      <c r="CQ43" s="690">
        <f>IF(CO43=0,0,(CP43-CO43)/CO43*100)</f>
        <v>0</v>
      </c>
      <c r="CR43" s="113"/>
      <c r="CS43" s="113"/>
      <c r="CT43" s="690">
        <f>IF(CR43=0,0,(CS43-CR43)/CR43*100)</f>
        <v>0</v>
      </c>
      <c r="CU43" s="113"/>
      <c r="CV43" s="113"/>
      <c r="CW43" s="690">
        <f>IF(CU43=0,0,(CV43-CU43)/CU43*100)</f>
        <v>0</v>
      </c>
      <c r="CX43" s="113"/>
      <c r="CY43" s="113"/>
      <c r="CZ43" s="690">
        <f>IF(CX43=0,0,(CY43-CX43)/CX43*100)</f>
        <v>0</v>
      </c>
      <c r="DA43" s="113"/>
      <c r="DB43" s="113"/>
      <c r="DC43" s="690">
        <f>IF(DA43=0,0,(DB43-DA43)/DA43*100)</f>
        <v>0</v>
      </c>
      <c r="DD43" s="113"/>
      <c r="DE43" s="113"/>
      <c r="DF43" s="690">
        <f>IF(DD43=0,0,(DE43-DD43)/DD43*100)</f>
        <v>0</v>
      </c>
      <c r="DG43" s="113"/>
      <c r="DH43" s="113"/>
      <c r="DI43" s="690">
        <f>IF(DG43=0,0,(DH43-DG43)/DG43*100)</f>
        <v>0</v>
      </c>
      <c r="DJ43" s="113"/>
      <c r="DK43" s="113"/>
      <c r="DL43" s="690">
        <f>IF(DJ43=0,0,(DK43-DJ43)/DJ43*100)</f>
        <v>0</v>
      </c>
      <c r="DM43" s="113"/>
      <c r="DN43" s="113"/>
      <c r="DO43" s="690">
        <f>IF(DM43=0,0,(DN43-DM43)/DM43*100)</f>
        <v>0</v>
      </c>
      <c r="DP43" s="113"/>
      <c r="DQ43" s="113"/>
      <c r="DR43" s="690">
        <f>IF(DP43=0,0,(DQ43-DP43)/DP43*100)</f>
        <v>0</v>
      </c>
      <c r="DS43" s="113"/>
      <c r="DT43" s="113"/>
      <c r="DU43" s="690">
        <f>IF(DS43=0,0,(DT43-DS43)/DS43*100)</f>
        <v>0</v>
      </c>
      <c r="DV43" s="113"/>
      <c r="DW43" s="113"/>
      <c r="DX43" s="690">
        <f>IF(DV43=0,0,(DW43-DV43)/DV43*100)</f>
        <v>0</v>
      </c>
      <c r="DY43" s="113"/>
      <c r="DZ43" s="113"/>
      <c r="EA43" s="690">
        <f>IF(DY43=0,0,(DZ43-DY43)/DY43*100)</f>
        <v>0</v>
      </c>
      <c r="EB43" s="113"/>
      <c r="EC43" s="113"/>
      <c r="ED43" s="690">
        <f>IF(EB43=0,0,(EC43-EB43)/EB43*100)</f>
        <v>0</v>
      </c>
      <c r="EE43" s="113"/>
      <c r="EF43" s="113"/>
      <c r="EG43" s="690">
        <f>IF(EE43=0,0,(EF43-EE43)/EE43*100)</f>
        <v>0</v>
      </c>
      <c r="EH43" s="113"/>
      <c r="EI43" s="113"/>
      <c r="EJ43" s="690">
        <f>IF(EH43=0,0,(EI43-EH43)/EH43*100)</f>
        <v>0</v>
      </c>
      <c r="EK43" s="113"/>
      <c r="EL43" s="113"/>
      <c r="EM43" s="690">
        <f>IF(EK43=0,0,(EL43-EK43)/EK43*100)</f>
        <v>0</v>
      </c>
      <c r="EN43" s="113"/>
      <c r="EO43" s="113"/>
      <c r="EP43" s="690">
        <f>IF(EN43=0,0,(EO43-EN43)/EN43*100)</f>
        <v>0</v>
      </c>
      <c r="EQ43" s="113"/>
      <c r="ER43" s="113"/>
      <c r="ES43" s="690">
        <f>IF(EQ43=0,0,(ER43-EQ43)/EQ43*100)</f>
        <v>0</v>
      </c>
      <c r="ET43" s="113"/>
      <c r="EU43" s="113"/>
      <c r="EV43" s="690">
        <f>IF(ET43=0,0,(EU43-ET43)/ET43*100)</f>
        <v>0</v>
      </c>
      <c r="EW43" s="113"/>
      <c r="EX43" s="113"/>
      <c r="EY43" s="690">
        <f>IF(EW43=0,0,(EX43-EW43)/EW43*100)</f>
        <v>0</v>
      </c>
      <c r="EZ43" s="113"/>
      <c r="FA43" s="113"/>
      <c r="FB43" s="690">
        <f>IF(EZ43=0,0,(FA43-EZ43)/EZ43*100)</f>
        <v>0</v>
      </c>
      <c r="FC43" s="113"/>
      <c r="FD43" s="113"/>
      <c r="FE43" s="690">
        <f>IF(FC43=0,0,(FD43-FC43)/FC43*100)</f>
        <v>0</v>
      </c>
      <c r="FF43" s="113"/>
      <c r="FG43" s="113"/>
      <c r="FH43" s="690">
        <f>IF(FF43=0,0,(FG43-FF43)/FF43*100)</f>
        <v>0</v>
      </c>
      <c r="FI43" s="113"/>
      <c r="FJ43" s="113"/>
      <c r="FK43" s="690">
        <f>IF(FI43=0,0,(FJ43-FI43)/FI43*100)</f>
        <v>0</v>
      </c>
      <c r="FL43" s="113"/>
      <c r="FM43" s="113"/>
      <c r="FN43" s="690">
        <f>IF(FL43=0,0,(FM43-FL43)/FL43*100)</f>
        <v>0</v>
      </c>
      <c r="FO43" s="113"/>
      <c r="FP43" s="113"/>
      <c r="FQ43" s="690">
        <f>IF(FO43=0,0,(FP43-FO43)/FO43*100)</f>
        <v>0</v>
      </c>
      <c r="FR43" s="113"/>
      <c r="FS43" s="113"/>
      <c r="FT43" s="690">
        <f>IF(FR43=0,0,(FS43-FR43)/FR43*100)</f>
        <v>0</v>
      </c>
      <c r="FU43" s="113"/>
      <c r="FV43" s="113"/>
      <c r="FW43" s="690">
        <f>IF(FU43=0,0,(FV43-FU43)/FU43*100)</f>
        <v>0</v>
      </c>
      <c r="FZ43" s="1181" t="s">
        <v>2124</v>
      </c>
      <c r="GA43" s="1181"/>
      <c r="GB43" s="1181"/>
      <c r="GC43" s="1181"/>
      <c r="GD43" s="1181"/>
    </row>
    <row customHeight="1" ht="16.672500000000003" hidden="1">
      <c r="B44" s="961" cm="1" t="str">
        <f t="array" ref="B44:B44">B43</f>
        <v>false</v>
      </c>
      <c r="C44" s="1322" t="s">
        <v>1721</v>
      </c>
      <c r="D44" s="1291" t="s">
        <v>1722</v>
      </c>
      <c r="E44" s="794">
        <v>17.1</v>
      </c>
      <c r="F44" s="919" cm="1" t="str">
        <f t="array" ref="F44:F44">OFFSET(G44,-1,-1)</f>
        <v>0</v>
      </c>
      <c r="J44" s="1312" t="s">
        <v>2089</v>
      </c>
      <c r="K44" s="1312" cm="1" t="str">
        <f t="array" ref="K44:K44">OFFSET(J44,-1,1)</f>
        <v>0</v>
      </c>
      <c r="L44" s="1312" t="s">
        <v>2103</v>
      </c>
      <c r="M44" s="1312" t="s">
        <v>1733</v>
      </c>
      <c r="N44" s="1312" t="s">
        <v>2111</v>
      </c>
      <c r="O44" s="1313" t="s">
        <v>2112</v>
      </c>
      <c r="P44" s="1312"/>
      <c r="Q44" s="1312"/>
      <c r="T44" s="805" cm="1" t="str">
        <f t="array" ref="T44:T44">T43</f>
        <v>false</v>
      </c>
      <c r="AB44" s="273" t="s">
        <v>2125</v>
      </c>
      <c r="AC44" s="675" t="s">
        <v>591</v>
      </c>
      <c r="AD44" s="113"/>
      <c r="AE44" s="113"/>
      <c r="AF44" s="690">
        <f>IF(AD44=0,0,(AE44-AD44)/AD44*100)</f>
        <v>0</v>
      </c>
      <c r="AG44" s="378"/>
      <c r="AH44" s="378"/>
      <c r="AI44" s="690">
        <f>IF(AG44=0,0,(AH44-AG44)/AG44*100)</f>
        <v>0</v>
      </c>
      <c r="AJ44" s="378"/>
      <c r="AK44" s="378"/>
      <c r="AL44" s="690">
        <f>IF(AJ44=0,0,(AK44-AJ44)/AJ44*100)</f>
        <v>0</v>
      </c>
      <c r="AM44" s="378"/>
      <c r="AN44" s="378"/>
      <c r="AO44" s="690">
        <f>IF(AM44=0,0,(AN44-AM44)/AM44*100)</f>
        <v>0</v>
      </c>
      <c r="AP44" s="378"/>
      <c r="AQ44" s="378"/>
      <c r="AR44" s="690">
        <f>IF(AP44=0,0,(AQ44-AP44)/AP44*100)</f>
        <v>0</v>
      </c>
      <c r="AS44" s="113"/>
      <c r="AT44" s="113"/>
      <c r="AU44" s="690">
        <f>IF(AS44=0,0,(AT44-AS44)/AS44*100)</f>
        <v>0</v>
      </c>
      <c r="AV44" s="113"/>
      <c r="AW44" s="113"/>
      <c r="AX44" s="690">
        <f>IF(AV44=0,0,(AW44-AV44)/AV44*100)</f>
        <v>0</v>
      </c>
      <c r="AY44" s="113"/>
      <c r="AZ44" s="113"/>
      <c r="BA44" s="690">
        <f>IF(AY44=0,0,(AZ44-AY44)/AY44*100)</f>
        <v>0</v>
      </c>
      <c r="BB44" s="113"/>
      <c r="BC44" s="113"/>
      <c r="BD44" s="690">
        <f>IF(BB44=0,0,(BC44-BB44)/BB44*100)</f>
        <v>0</v>
      </c>
      <c r="BE44" s="113"/>
      <c r="BF44" s="113"/>
      <c r="BG44" s="690">
        <f>IF(BE44=0,0,(BF44-BE44)/BE44*100)</f>
        <v>0</v>
      </c>
      <c r="BH44" s="113"/>
      <c r="BI44" s="113"/>
      <c r="BJ44" s="690">
        <f>IF(BH44=0,0,(BI44-BH44)/BH44*100)</f>
        <v>0</v>
      </c>
      <c r="BK44" s="113"/>
      <c r="BL44" s="113"/>
      <c r="BM44" s="690">
        <f>IF(BK44=0,0,(BL44-BK44)/BK44*100)</f>
        <v>0</v>
      </c>
      <c r="BN44" s="113"/>
      <c r="BO44" s="113"/>
      <c r="BP44" s="690">
        <f>IF(BN44=0,0,(BO44-BN44)/BN44*100)</f>
        <v>0</v>
      </c>
      <c r="BQ44" s="113"/>
      <c r="BR44" s="113"/>
      <c r="BS44" s="690">
        <f>IF(BQ44=0,0,(BR44-BQ44)/BQ44*100)</f>
        <v>0</v>
      </c>
      <c r="BT44" s="113"/>
      <c r="BU44" s="113"/>
      <c r="BV44" s="690">
        <f>IF(BT44=0,0,(BU44-BT44)/BT44*100)</f>
        <v>0</v>
      </c>
      <c r="BW44" s="113"/>
      <c r="BX44" s="113"/>
      <c r="BY44" s="690">
        <f>IF(BW44=0,0,(BX44-BW44)/BW44*100)</f>
        <v>0</v>
      </c>
      <c r="BZ44" s="113"/>
      <c r="CA44" s="113"/>
      <c r="CB44" s="690">
        <f>IF(BZ44=0,0,(CA44-BZ44)/BZ44*100)</f>
        <v>0</v>
      </c>
      <c r="CC44" s="113"/>
      <c r="CD44" s="113"/>
      <c r="CE44" s="690">
        <f>IF(CC44=0,0,(CD44-CC44)/CC44*100)</f>
        <v>0</v>
      </c>
      <c r="CF44" s="113"/>
      <c r="CG44" s="113"/>
      <c r="CH44" s="690">
        <f>IF(CF44=0,0,(CG44-CF44)/CF44*100)</f>
        <v>0</v>
      </c>
      <c r="CI44" s="113"/>
      <c r="CJ44" s="113"/>
      <c r="CK44" s="690">
        <f>IF(CI44=0,0,(CJ44-CI44)/CI44*100)</f>
        <v>0</v>
      </c>
      <c r="CL44" s="113"/>
      <c r="CM44" s="113"/>
      <c r="CN44" s="690">
        <f>IF(CL44=0,0,(CM44-CL44)/CL44*100)</f>
        <v>0</v>
      </c>
      <c r="CO44" s="113"/>
      <c r="CP44" s="113"/>
      <c r="CQ44" s="690">
        <f>IF(CO44=0,0,(CP44-CO44)/CO44*100)</f>
        <v>0</v>
      </c>
      <c r="CR44" s="113"/>
      <c r="CS44" s="113"/>
      <c r="CT44" s="690">
        <f>IF(CR44=0,0,(CS44-CR44)/CR44*100)</f>
        <v>0</v>
      </c>
      <c r="CU44" s="113"/>
      <c r="CV44" s="113"/>
      <c r="CW44" s="690">
        <f>IF(CU44=0,0,(CV44-CU44)/CU44*100)</f>
        <v>0</v>
      </c>
      <c r="CX44" s="113"/>
      <c r="CY44" s="113"/>
      <c r="CZ44" s="690">
        <f>IF(CX44=0,0,(CY44-CX44)/CX44*100)</f>
        <v>0</v>
      </c>
      <c r="DA44" s="113"/>
      <c r="DB44" s="113"/>
      <c r="DC44" s="690">
        <f>IF(DA44=0,0,(DB44-DA44)/DA44*100)</f>
        <v>0</v>
      </c>
      <c r="DD44" s="113"/>
      <c r="DE44" s="113"/>
      <c r="DF44" s="690">
        <f>IF(DD44=0,0,(DE44-DD44)/DD44*100)</f>
        <v>0</v>
      </c>
      <c r="DG44" s="113"/>
      <c r="DH44" s="113"/>
      <c r="DI44" s="690">
        <f>IF(DG44=0,0,(DH44-DG44)/DG44*100)</f>
        <v>0</v>
      </c>
      <c r="DJ44" s="113"/>
      <c r="DK44" s="113"/>
      <c r="DL44" s="690">
        <f>IF(DJ44=0,0,(DK44-DJ44)/DJ44*100)</f>
        <v>0</v>
      </c>
      <c r="DM44" s="113"/>
      <c r="DN44" s="113"/>
      <c r="DO44" s="690">
        <f>IF(DM44=0,0,(DN44-DM44)/DM44*100)</f>
        <v>0</v>
      </c>
      <c r="DP44" s="113"/>
      <c r="DQ44" s="113"/>
      <c r="DR44" s="690">
        <f>IF(DP44=0,0,(DQ44-DP44)/DP44*100)</f>
        <v>0</v>
      </c>
      <c r="DS44" s="113"/>
      <c r="DT44" s="113"/>
      <c r="DU44" s="690">
        <f>IF(DS44=0,0,(DT44-DS44)/DS44*100)</f>
        <v>0</v>
      </c>
      <c r="DV44" s="113"/>
      <c r="DW44" s="113"/>
      <c r="DX44" s="690">
        <f>IF(DV44=0,0,(DW44-DV44)/DV44*100)</f>
        <v>0</v>
      </c>
      <c r="DY44" s="113"/>
      <c r="DZ44" s="113"/>
      <c r="EA44" s="690">
        <f>IF(DY44=0,0,(DZ44-DY44)/DY44*100)</f>
        <v>0</v>
      </c>
      <c r="EB44" s="113"/>
      <c r="EC44" s="113"/>
      <c r="ED44" s="690">
        <f>IF(EB44=0,0,(EC44-EB44)/EB44*100)</f>
        <v>0</v>
      </c>
      <c r="EE44" s="113"/>
      <c r="EF44" s="113"/>
      <c r="EG44" s="690">
        <f>IF(EE44=0,0,(EF44-EE44)/EE44*100)</f>
        <v>0</v>
      </c>
      <c r="EH44" s="113"/>
      <c r="EI44" s="113"/>
      <c r="EJ44" s="690">
        <f>IF(EH44=0,0,(EI44-EH44)/EH44*100)</f>
        <v>0</v>
      </c>
      <c r="EK44" s="113"/>
      <c r="EL44" s="113"/>
      <c r="EM44" s="690">
        <f>IF(EK44=0,0,(EL44-EK44)/EK44*100)</f>
        <v>0</v>
      </c>
      <c r="EN44" s="113"/>
      <c r="EO44" s="113"/>
      <c r="EP44" s="690">
        <f>IF(EN44=0,0,(EO44-EN44)/EN44*100)</f>
        <v>0</v>
      </c>
      <c r="EQ44" s="113"/>
      <c r="ER44" s="113"/>
      <c r="ES44" s="690">
        <f>IF(EQ44=0,0,(ER44-EQ44)/EQ44*100)</f>
        <v>0</v>
      </c>
      <c r="ET44" s="113"/>
      <c r="EU44" s="113"/>
      <c r="EV44" s="690">
        <f>IF(ET44=0,0,(EU44-ET44)/ET44*100)</f>
        <v>0</v>
      </c>
      <c r="EW44" s="113"/>
      <c r="EX44" s="113"/>
      <c r="EY44" s="690">
        <f>IF(EW44=0,0,(EX44-EW44)/EW44*100)</f>
        <v>0</v>
      </c>
      <c r="EZ44" s="113"/>
      <c r="FA44" s="113"/>
      <c r="FB44" s="690">
        <f>IF(EZ44=0,0,(FA44-EZ44)/EZ44*100)</f>
        <v>0</v>
      </c>
      <c r="FC44" s="113"/>
      <c r="FD44" s="113"/>
      <c r="FE44" s="690">
        <f>IF(FC44=0,0,(FD44-FC44)/FC44*100)</f>
        <v>0</v>
      </c>
      <c r="FF44" s="113"/>
      <c r="FG44" s="113"/>
      <c r="FH44" s="690">
        <f>IF(FF44=0,0,(FG44-FF44)/FF44*100)</f>
        <v>0</v>
      </c>
      <c r="FI44" s="113"/>
      <c r="FJ44" s="113"/>
      <c r="FK44" s="690">
        <f>IF(FI44=0,0,(FJ44-FI44)/FI44*100)</f>
        <v>0</v>
      </c>
      <c r="FL44" s="113"/>
      <c r="FM44" s="113"/>
      <c r="FN44" s="690">
        <f>IF(FL44=0,0,(FM44-FL44)/FL44*100)</f>
        <v>0</v>
      </c>
      <c r="FO44" s="113"/>
      <c r="FP44" s="113"/>
      <c r="FQ44" s="690">
        <f>IF(FO44=0,0,(FP44-FO44)/FO44*100)</f>
        <v>0</v>
      </c>
      <c r="FR44" s="113"/>
      <c r="FS44" s="113"/>
      <c r="FT44" s="690">
        <f>IF(FR44=0,0,(FS44-FR44)/FR44*100)</f>
        <v>0</v>
      </c>
      <c r="FU44" s="113"/>
      <c r="FV44" s="113"/>
      <c r="FW44" s="690">
        <f>IF(FU44=0,0,(FV44-FU44)/FU44*100)</f>
        <v>0</v>
      </c>
      <c r="FZ44" s="1181" t="s">
        <v>2126</v>
      </c>
      <c r="GA44" s="1181"/>
      <c r="GB44" s="1181"/>
      <c r="GC44" s="1181"/>
      <c r="GD44" s="1181"/>
    </row>
    <row s="1387" customFormat="1" customHeight="1" ht="16.672500000000003" hidden="1">
      <c r="B45" s="961" cm="1" t="str">
        <f t="array" ref="B45:B45">OFFSET(A45,-1,1)</f>
        <v>false</v>
      </c>
      <c r="C45" s="1322" t="s">
        <v>2108</v>
      </c>
      <c r="D45" s="1291" t="s">
        <v>2109</v>
      </c>
      <c r="E45" s="794">
        <v>17.1</v>
      </c>
      <c r="F45" s="919" cm="1" t="str">
        <f t="array" ref="F45:F45">OFFSET(G45,-1,-1)</f>
        <v>0</v>
      </c>
      <c r="J45" s="1312" t="s">
        <v>2089</v>
      </c>
      <c r="K45" s="1312" cm="1" t="str">
        <f t="array" ref="K45:K45">OFFSET(J45,-1,1)</f>
        <v>0</v>
      </c>
      <c r="L45" s="1312"/>
      <c r="M45" s="1312"/>
      <c r="N45" s="1312" t="s">
        <v>2111</v>
      </c>
      <c r="O45" s="1313" t="s">
        <v>2112</v>
      </c>
      <c r="P45" s="1312"/>
      <c r="Q45" s="1312" cm="1" t="str">
        <f t="array" ref="Q45:Q45">AB45</f>
        <v>0</v>
      </c>
      <c r="T45" s="805">
        <f>AND(OFFSET(S45,1,1),Y45&gt;0)</f>
        <v>0</v>
      </c>
      <c r="W45" s="172" t="s">
        <v>233</v>
      </c>
      <c r="Y45" s="172">
        <v>0</v>
      </c>
      <c r="AA45" s="1412" t="s">
        <v>217</v>
      </c>
      <c r="AB45" s="146"/>
      <c r="AC45" s="675" t="s">
        <v>895</v>
      </c>
      <c r="AD45" s="113"/>
      <c r="AE45" s="113"/>
      <c r="AF45" s="690">
        <f>IF(AD45=0,0,(AE45-AD45)/AD45*100)</f>
        <v>0</v>
      </c>
      <c r="AG45" s="378"/>
      <c r="AH45" s="378"/>
      <c r="AI45" s="690">
        <f>IF(AG45=0,0,(AH45-AG45)/AG45*100)</f>
        <v>0</v>
      </c>
      <c r="AJ45" s="378"/>
      <c r="AK45" s="378"/>
      <c r="AL45" s="690">
        <f>IF(AJ45=0,0,(AK45-AJ45)/AJ45*100)</f>
        <v>0</v>
      </c>
      <c r="AM45" s="378"/>
      <c r="AN45" s="378"/>
      <c r="AO45" s="690">
        <f>IF(AM45=0,0,(AN45-AM45)/AM45*100)</f>
        <v>0</v>
      </c>
      <c r="AP45" s="378"/>
      <c r="AQ45" s="378"/>
      <c r="AR45" s="690">
        <f>IF(AP45=0,0,(AQ45-AP45)/AP45*100)</f>
        <v>0</v>
      </c>
      <c r="AS45" s="113"/>
      <c r="AT45" s="113"/>
      <c r="AU45" s="690">
        <f>IF(AS45=0,0,(AT45-AS45)/AS45*100)</f>
        <v>0</v>
      </c>
      <c r="AV45" s="113"/>
      <c r="AW45" s="113"/>
      <c r="AX45" s="690">
        <f>IF(AV45=0,0,(AW45-AV45)/AV45*100)</f>
        <v>0</v>
      </c>
      <c r="AY45" s="113"/>
      <c r="AZ45" s="113"/>
      <c r="BA45" s="690">
        <f>IF(AY45=0,0,(AZ45-AY45)/AY45*100)</f>
        <v>0</v>
      </c>
      <c r="BB45" s="113"/>
      <c r="BC45" s="113"/>
      <c r="BD45" s="690">
        <f>IF(BB45=0,0,(BC45-BB45)/BB45*100)</f>
        <v>0</v>
      </c>
      <c r="BE45" s="113"/>
      <c r="BF45" s="113"/>
      <c r="BG45" s="690">
        <f>IF(BE45=0,0,(BF45-BE45)/BE45*100)</f>
        <v>0</v>
      </c>
      <c r="BH45" s="113"/>
      <c r="BI45" s="113"/>
      <c r="BJ45" s="690">
        <f>IF(BH45=0,0,(BI45-BH45)/BH45*100)</f>
        <v>0</v>
      </c>
      <c r="BK45" s="113"/>
      <c r="BL45" s="113"/>
      <c r="BM45" s="690">
        <f>IF(BK45=0,0,(BL45-BK45)/BK45*100)</f>
        <v>0</v>
      </c>
      <c r="BN45" s="113"/>
      <c r="BO45" s="113"/>
      <c r="BP45" s="690">
        <f>IF(BN45=0,0,(BO45-BN45)/BN45*100)</f>
        <v>0</v>
      </c>
      <c r="BQ45" s="113"/>
      <c r="BR45" s="113"/>
      <c r="BS45" s="690">
        <f>IF(BQ45=0,0,(BR45-BQ45)/BQ45*100)</f>
        <v>0</v>
      </c>
      <c r="BT45" s="113"/>
      <c r="BU45" s="113"/>
      <c r="BV45" s="690">
        <f>IF(BT45=0,0,(BU45-BT45)/BT45*100)</f>
        <v>0</v>
      </c>
      <c r="BW45" s="113"/>
      <c r="BX45" s="113"/>
      <c r="BY45" s="690">
        <f>IF(BW45=0,0,(BX45-BW45)/BW45*100)</f>
        <v>0</v>
      </c>
      <c r="BZ45" s="113"/>
      <c r="CA45" s="113"/>
      <c r="CB45" s="690">
        <f>IF(BZ45=0,0,(CA45-BZ45)/BZ45*100)</f>
        <v>0</v>
      </c>
      <c r="CC45" s="113"/>
      <c r="CD45" s="113"/>
      <c r="CE45" s="690">
        <f>IF(CC45=0,0,(CD45-CC45)/CC45*100)</f>
        <v>0</v>
      </c>
      <c r="CF45" s="113"/>
      <c r="CG45" s="113"/>
      <c r="CH45" s="690">
        <f>IF(CF45=0,0,(CG45-CF45)/CF45*100)</f>
        <v>0</v>
      </c>
      <c r="CI45" s="113"/>
      <c r="CJ45" s="113"/>
      <c r="CK45" s="690">
        <f>IF(CI45=0,0,(CJ45-CI45)/CI45*100)</f>
        <v>0</v>
      </c>
      <c r="CL45" s="113"/>
      <c r="CM45" s="113"/>
      <c r="CN45" s="690">
        <f>IF(CL45=0,0,(CM45-CL45)/CL45*100)</f>
        <v>0</v>
      </c>
      <c r="CO45" s="113"/>
      <c r="CP45" s="113"/>
      <c r="CQ45" s="690">
        <f>IF(CO45=0,0,(CP45-CO45)/CO45*100)</f>
        <v>0</v>
      </c>
      <c r="CR45" s="113"/>
      <c r="CS45" s="113"/>
      <c r="CT45" s="690">
        <f>IF(CR45=0,0,(CS45-CR45)/CR45*100)</f>
        <v>0</v>
      </c>
      <c r="CU45" s="113"/>
      <c r="CV45" s="113"/>
      <c r="CW45" s="690">
        <f>IF(CU45=0,0,(CV45-CU45)/CU45*100)</f>
        <v>0</v>
      </c>
      <c r="CX45" s="113"/>
      <c r="CY45" s="113"/>
      <c r="CZ45" s="690">
        <f>IF(CX45=0,0,(CY45-CX45)/CX45*100)</f>
        <v>0</v>
      </c>
      <c r="DA45" s="113"/>
      <c r="DB45" s="113"/>
      <c r="DC45" s="690">
        <f>IF(DA45=0,0,(DB45-DA45)/DA45*100)</f>
        <v>0</v>
      </c>
      <c r="DD45" s="113"/>
      <c r="DE45" s="113"/>
      <c r="DF45" s="690">
        <f>IF(DD45=0,0,(DE45-DD45)/DD45*100)</f>
        <v>0</v>
      </c>
      <c r="DG45" s="113"/>
      <c r="DH45" s="113"/>
      <c r="DI45" s="690">
        <f>IF(DG45=0,0,(DH45-DG45)/DG45*100)</f>
        <v>0</v>
      </c>
      <c r="DJ45" s="113"/>
      <c r="DK45" s="113"/>
      <c r="DL45" s="690">
        <f>IF(DJ45=0,0,(DK45-DJ45)/DJ45*100)</f>
        <v>0</v>
      </c>
      <c r="DM45" s="113"/>
      <c r="DN45" s="113"/>
      <c r="DO45" s="690">
        <f>IF(DM45=0,0,(DN45-DM45)/DM45*100)</f>
        <v>0</v>
      </c>
      <c r="DP45" s="113"/>
      <c r="DQ45" s="113"/>
      <c r="DR45" s="690">
        <f>IF(DP45=0,0,(DQ45-DP45)/DP45*100)</f>
        <v>0</v>
      </c>
      <c r="DS45" s="113"/>
      <c r="DT45" s="113"/>
      <c r="DU45" s="690">
        <f>IF(DS45=0,0,(DT45-DS45)/DS45*100)</f>
        <v>0</v>
      </c>
      <c r="DV45" s="113"/>
      <c r="DW45" s="113"/>
      <c r="DX45" s="690">
        <f>IF(DV45=0,0,(DW45-DV45)/DV45*100)</f>
        <v>0</v>
      </c>
      <c r="DY45" s="113"/>
      <c r="DZ45" s="113"/>
      <c r="EA45" s="690">
        <f>IF(DY45=0,0,(DZ45-DY45)/DY45*100)</f>
        <v>0</v>
      </c>
      <c r="EB45" s="113"/>
      <c r="EC45" s="113"/>
      <c r="ED45" s="690">
        <f>IF(EB45=0,0,(EC45-EB45)/EB45*100)</f>
        <v>0</v>
      </c>
      <c r="EE45" s="113"/>
      <c r="EF45" s="113"/>
      <c r="EG45" s="690">
        <f>IF(EE45=0,0,(EF45-EE45)/EE45*100)</f>
        <v>0</v>
      </c>
      <c r="EH45" s="113"/>
      <c r="EI45" s="113"/>
      <c r="EJ45" s="690">
        <f>IF(EH45=0,0,(EI45-EH45)/EH45*100)</f>
        <v>0</v>
      </c>
      <c r="EK45" s="113"/>
      <c r="EL45" s="113"/>
      <c r="EM45" s="690">
        <f>IF(EK45=0,0,(EL45-EK45)/EK45*100)</f>
        <v>0</v>
      </c>
      <c r="EN45" s="113"/>
      <c r="EO45" s="113"/>
      <c r="EP45" s="690">
        <f>IF(EN45=0,0,(EO45-EN45)/EN45*100)</f>
        <v>0</v>
      </c>
      <c r="EQ45" s="113"/>
      <c r="ER45" s="113"/>
      <c r="ES45" s="690">
        <f>IF(EQ45=0,0,(ER45-EQ45)/EQ45*100)</f>
        <v>0</v>
      </c>
      <c r="ET45" s="113"/>
      <c r="EU45" s="113"/>
      <c r="EV45" s="690">
        <f>IF(ET45=0,0,(EU45-ET45)/ET45*100)</f>
        <v>0</v>
      </c>
      <c r="EW45" s="113"/>
      <c r="EX45" s="113"/>
      <c r="EY45" s="690">
        <f>IF(EW45=0,0,(EX45-EW45)/EW45*100)</f>
        <v>0</v>
      </c>
      <c r="EZ45" s="113"/>
      <c r="FA45" s="113"/>
      <c r="FB45" s="690">
        <f>IF(EZ45=0,0,(FA45-EZ45)/EZ45*100)</f>
        <v>0</v>
      </c>
      <c r="FC45" s="113"/>
      <c r="FD45" s="113"/>
      <c r="FE45" s="690">
        <f>IF(FC45=0,0,(FD45-FC45)/FC45*100)</f>
        <v>0</v>
      </c>
      <c r="FF45" s="113"/>
      <c r="FG45" s="113"/>
      <c r="FH45" s="690">
        <f>IF(FF45=0,0,(FG45-FF45)/FF45*100)</f>
        <v>0</v>
      </c>
      <c r="FI45" s="113"/>
      <c r="FJ45" s="113"/>
      <c r="FK45" s="690">
        <f>IF(FI45=0,0,(FJ45-FI45)/FI45*100)</f>
        <v>0</v>
      </c>
      <c r="FL45" s="113"/>
      <c r="FM45" s="113"/>
      <c r="FN45" s="690">
        <f>IF(FL45=0,0,(FM45-FL45)/FL45*100)</f>
        <v>0</v>
      </c>
      <c r="FO45" s="113"/>
      <c r="FP45" s="113"/>
      <c r="FQ45" s="690">
        <f>IF(FO45=0,0,(FP45-FO45)/FO45*100)</f>
        <v>0</v>
      </c>
      <c r="FR45" s="113"/>
      <c r="FS45" s="113"/>
      <c r="FT45" s="690">
        <f>IF(FR45=0,0,(FS45-FR45)/FR45*100)</f>
        <v>0</v>
      </c>
      <c r="FU45" s="113"/>
      <c r="FV45" s="113"/>
      <c r="FW45" s="690">
        <f>IF(FU45=0,0,(FV45-FU45)/FU45*100)</f>
        <v>0</v>
      </c>
      <c r="FZ45" s="1181" t="s">
        <v>2127</v>
      </c>
      <c r="GA45" s="1181" t="s">
        <v>2128</v>
      </c>
      <c r="GB45" s="1181" cm="1" t="str">
        <f t="array" ref="GB45:GB45">AB45</f>
        <v>0</v>
      </c>
      <c r="GC45" s="1181"/>
      <c r="GD45" s="1181" t="b">
        <v>1</v>
      </c>
    </row>
    <row s="1387" customFormat="1" customHeight="1" ht="16.672500000000003" hidden="1">
      <c r="B46" s="961" cm="1" t="str">
        <f t="array" ref="B46:B46">OFFSET(A46,-1,1)</f>
        <v>false</v>
      </c>
      <c r="C46" s="1322" t="s">
        <v>1721</v>
      </c>
      <c r="D46" s="1291" t="s">
        <v>1722</v>
      </c>
      <c r="E46" s="794">
        <v>17.1</v>
      </c>
      <c r="F46" s="919" cm="1" t="str">
        <f t="array" ref="F46:F46">OFFSET(G46,-1,-1)</f>
        <v>0</v>
      </c>
      <c r="J46" s="1312" t="s">
        <v>2089</v>
      </c>
      <c r="K46" s="1312" cm="1" t="str">
        <f t="array" ref="K46:K46">OFFSET(J46,-1,1)</f>
        <v>0</v>
      </c>
      <c r="L46" s="1312" t="s">
        <v>2103</v>
      </c>
      <c r="M46" s="1312"/>
      <c r="N46" s="1312" t="s">
        <v>2111</v>
      </c>
      <c r="O46" s="1313" t="s">
        <v>2112</v>
      </c>
      <c r="P46" s="1312"/>
      <c r="Q46" s="1312" cm="1" t="str">
        <f t="array" ref="Q46:Q46">AB45</f>
        <v>0</v>
      </c>
      <c r="T46" s="805">
        <f>AND(OFFSET(S46,1,1),Y45&gt;0)</f>
        <v>0</v>
      </c>
      <c r="AA46" s="1412"/>
      <c r="AB46" s="1057" t="s">
        <v>2129</v>
      </c>
      <c r="AC46" s="675" t="s">
        <v>591</v>
      </c>
      <c r="AD46" s="113"/>
      <c r="AE46" s="113"/>
      <c r="AF46" s="690">
        <f>IF(AD46=0,0,(AE46-AD46)/AD46*100)</f>
        <v>0</v>
      </c>
      <c r="AG46" s="378"/>
      <c r="AH46" s="378"/>
      <c r="AI46" s="690">
        <f>IF(AG46=0,0,(AH46-AG46)/AG46*100)</f>
        <v>0</v>
      </c>
      <c r="AJ46" s="378"/>
      <c r="AK46" s="378"/>
      <c r="AL46" s="690">
        <f>IF(AJ46=0,0,(AK46-AJ46)/AJ46*100)</f>
        <v>0</v>
      </c>
      <c r="AM46" s="378"/>
      <c r="AN46" s="378"/>
      <c r="AO46" s="690">
        <f>IF(AM46=0,0,(AN46-AM46)/AM46*100)</f>
        <v>0</v>
      </c>
      <c r="AP46" s="378"/>
      <c r="AQ46" s="378"/>
      <c r="AR46" s="690">
        <f>IF(AP46=0,0,(AQ46-AP46)/AP46*100)</f>
        <v>0</v>
      </c>
      <c r="AS46" s="113"/>
      <c r="AT46" s="113"/>
      <c r="AU46" s="690">
        <f>IF(AS46=0,0,(AT46-AS46)/AS46*100)</f>
        <v>0</v>
      </c>
      <c r="AV46" s="113"/>
      <c r="AW46" s="113"/>
      <c r="AX46" s="690">
        <f>IF(AV46=0,0,(AW46-AV46)/AV46*100)</f>
        <v>0</v>
      </c>
      <c r="AY46" s="113"/>
      <c r="AZ46" s="113"/>
      <c r="BA46" s="690">
        <f>IF(AY46=0,0,(AZ46-AY46)/AY46*100)</f>
        <v>0</v>
      </c>
      <c r="BB46" s="113"/>
      <c r="BC46" s="113"/>
      <c r="BD46" s="690">
        <f>IF(BB46=0,0,(BC46-BB46)/BB46*100)</f>
        <v>0</v>
      </c>
      <c r="BE46" s="113"/>
      <c r="BF46" s="113"/>
      <c r="BG46" s="690">
        <f>IF(BE46=0,0,(BF46-BE46)/BE46*100)</f>
        <v>0</v>
      </c>
      <c r="BH46" s="113"/>
      <c r="BI46" s="113"/>
      <c r="BJ46" s="690">
        <f>IF(BH46=0,0,(BI46-BH46)/BH46*100)</f>
        <v>0</v>
      </c>
      <c r="BK46" s="113"/>
      <c r="BL46" s="113"/>
      <c r="BM46" s="690">
        <f>IF(BK46=0,0,(BL46-BK46)/BK46*100)</f>
        <v>0</v>
      </c>
      <c r="BN46" s="113"/>
      <c r="BO46" s="113"/>
      <c r="BP46" s="690">
        <f>IF(BN46=0,0,(BO46-BN46)/BN46*100)</f>
        <v>0</v>
      </c>
      <c r="BQ46" s="113"/>
      <c r="BR46" s="113"/>
      <c r="BS46" s="690">
        <f>IF(BQ46=0,0,(BR46-BQ46)/BQ46*100)</f>
        <v>0</v>
      </c>
      <c r="BT46" s="113"/>
      <c r="BU46" s="113"/>
      <c r="BV46" s="690">
        <f>IF(BT46=0,0,(BU46-BT46)/BT46*100)</f>
        <v>0</v>
      </c>
      <c r="BW46" s="113"/>
      <c r="BX46" s="113"/>
      <c r="BY46" s="690">
        <f>IF(BW46=0,0,(BX46-BW46)/BW46*100)</f>
        <v>0</v>
      </c>
      <c r="BZ46" s="113"/>
      <c r="CA46" s="113"/>
      <c r="CB46" s="690">
        <f>IF(BZ46=0,0,(CA46-BZ46)/BZ46*100)</f>
        <v>0</v>
      </c>
      <c r="CC46" s="113"/>
      <c r="CD46" s="113"/>
      <c r="CE46" s="690">
        <f>IF(CC46=0,0,(CD46-CC46)/CC46*100)</f>
        <v>0</v>
      </c>
      <c r="CF46" s="113"/>
      <c r="CG46" s="113"/>
      <c r="CH46" s="690">
        <f>IF(CF46=0,0,(CG46-CF46)/CF46*100)</f>
        <v>0</v>
      </c>
      <c r="CI46" s="113"/>
      <c r="CJ46" s="113"/>
      <c r="CK46" s="690">
        <f>IF(CI46=0,0,(CJ46-CI46)/CI46*100)</f>
        <v>0</v>
      </c>
      <c r="CL46" s="113"/>
      <c r="CM46" s="113"/>
      <c r="CN46" s="690">
        <f>IF(CL46=0,0,(CM46-CL46)/CL46*100)</f>
        <v>0</v>
      </c>
      <c r="CO46" s="113"/>
      <c r="CP46" s="113"/>
      <c r="CQ46" s="690">
        <f>IF(CO46=0,0,(CP46-CO46)/CO46*100)</f>
        <v>0</v>
      </c>
      <c r="CR46" s="113"/>
      <c r="CS46" s="113"/>
      <c r="CT46" s="690">
        <f>IF(CR46=0,0,(CS46-CR46)/CR46*100)</f>
        <v>0</v>
      </c>
      <c r="CU46" s="113"/>
      <c r="CV46" s="113"/>
      <c r="CW46" s="690">
        <f>IF(CU46=0,0,(CV46-CU46)/CU46*100)</f>
        <v>0</v>
      </c>
      <c r="CX46" s="113"/>
      <c r="CY46" s="113"/>
      <c r="CZ46" s="690">
        <f>IF(CX46=0,0,(CY46-CX46)/CX46*100)</f>
        <v>0</v>
      </c>
      <c r="DA46" s="113"/>
      <c r="DB46" s="113"/>
      <c r="DC46" s="690">
        <f>IF(DA46=0,0,(DB46-DA46)/DA46*100)</f>
        <v>0</v>
      </c>
      <c r="DD46" s="113"/>
      <c r="DE46" s="113"/>
      <c r="DF46" s="690">
        <f>IF(DD46=0,0,(DE46-DD46)/DD46*100)</f>
        <v>0</v>
      </c>
      <c r="DG46" s="113"/>
      <c r="DH46" s="113"/>
      <c r="DI46" s="690">
        <f>IF(DG46=0,0,(DH46-DG46)/DG46*100)</f>
        <v>0</v>
      </c>
      <c r="DJ46" s="113"/>
      <c r="DK46" s="113"/>
      <c r="DL46" s="690">
        <f>IF(DJ46=0,0,(DK46-DJ46)/DJ46*100)</f>
        <v>0</v>
      </c>
      <c r="DM46" s="113"/>
      <c r="DN46" s="113"/>
      <c r="DO46" s="690">
        <f>IF(DM46=0,0,(DN46-DM46)/DM46*100)</f>
        <v>0</v>
      </c>
      <c r="DP46" s="113"/>
      <c r="DQ46" s="113"/>
      <c r="DR46" s="690">
        <f>IF(DP46=0,0,(DQ46-DP46)/DP46*100)</f>
        <v>0</v>
      </c>
      <c r="DS46" s="113"/>
      <c r="DT46" s="113"/>
      <c r="DU46" s="690">
        <f>IF(DS46=0,0,(DT46-DS46)/DS46*100)</f>
        <v>0</v>
      </c>
      <c r="DV46" s="113"/>
      <c r="DW46" s="113"/>
      <c r="DX46" s="690">
        <f>IF(DV46=0,0,(DW46-DV46)/DV46*100)</f>
        <v>0</v>
      </c>
      <c r="DY46" s="113"/>
      <c r="DZ46" s="113"/>
      <c r="EA46" s="690">
        <f>IF(DY46=0,0,(DZ46-DY46)/DY46*100)</f>
        <v>0</v>
      </c>
      <c r="EB46" s="113"/>
      <c r="EC46" s="113"/>
      <c r="ED46" s="690">
        <f>IF(EB46=0,0,(EC46-EB46)/EB46*100)</f>
        <v>0</v>
      </c>
      <c r="EE46" s="113"/>
      <c r="EF46" s="113"/>
      <c r="EG46" s="690">
        <f>IF(EE46=0,0,(EF46-EE46)/EE46*100)</f>
        <v>0</v>
      </c>
      <c r="EH46" s="113"/>
      <c r="EI46" s="113"/>
      <c r="EJ46" s="690">
        <f>IF(EH46=0,0,(EI46-EH46)/EH46*100)</f>
        <v>0</v>
      </c>
      <c r="EK46" s="113"/>
      <c r="EL46" s="113"/>
      <c r="EM46" s="690">
        <f>IF(EK46=0,0,(EL46-EK46)/EK46*100)</f>
        <v>0</v>
      </c>
      <c r="EN46" s="113"/>
      <c r="EO46" s="113"/>
      <c r="EP46" s="690">
        <f>IF(EN46=0,0,(EO46-EN46)/EN46*100)</f>
        <v>0</v>
      </c>
      <c r="EQ46" s="113"/>
      <c r="ER46" s="113"/>
      <c r="ES46" s="690">
        <f>IF(EQ46=0,0,(ER46-EQ46)/EQ46*100)</f>
        <v>0</v>
      </c>
      <c r="ET46" s="113"/>
      <c r="EU46" s="113"/>
      <c r="EV46" s="690">
        <f>IF(ET46=0,0,(EU46-ET46)/ET46*100)</f>
        <v>0</v>
      </c>
      <c r="EW46" s="113"/>
      <c r="EX46" s="113"/>
      <c r="EY46" s="690">
        <f>IF(EW46=0,0,(EX46-EW46)/EW46*100)</f>
        <v>0</v>
      </c>
      <c r="EZ46" s="113"/>
      <c r="FA46" s="113"/>
      <c r="FB46" s="690">
        <f>IF(EZ46=0,0,(FA46-EZ46)/EZ46*100)</f>
        <v>0</v>
      </c>
      <c r="FC46" s="113"/>
      <c r="FD46" s="113"/>
      <c r="FE46" s="690">
        <f>IF(FC46=0,0,(FD46-FC46)/FC46*100)</f>
        <v>0</v>
      </c>
      <c r="FF46" s="113"/>
      <c r="FG46" s="113"/>
      <c r="FH46" s="690">
        <f>IF(FF46=0,0,(FG46-FF46)/FF46*100)</f>
        <v>0</v>
      </c>
      <c r="FI46" s="113"/>
      <c r="FJ46" s="113"/>
      <c r="FK46" s="690">
        <f>IF(FI46=0,0,(FJ46-FI46)/FI46*100)</f>
        <v>0</v>
      </c>
      <c r="FL46" s="113"/>
      <c r="FM46" s="113"/>
      <c r="FN46" s="690">
        <f>IF(FL46=0,0,(FM46-FL46)/FL46*100)</f>
        <v>0</v>
      </c>
      <c r="FO46" s="113"/>
      <c r="FP46" s="113"/>
      <c r="FQ46" s="690">
        <f>IF(FO46=0,0,(FP46-FO46)/FO46*100)</f>
        <v>0</v>
      </c>
      <c r="FR46" s="113"/>
      <c r="FS46" s="113"/>
      <c r="FT46" s="690">
        <f>IF(FR46=0,0,(FS46-FR46)/FR46*100)</f>
        <v>0</v>
      </c>
      <c r="FU46" s="113"/>
      <c r="FV46" s="113"/>
      <c r="FW46" s="690">
        <f>IF(FU46=0,0,(FV46-FU46)/FU46*100)</f>
        <v>0</v>
      </c>
      <c r="FZ46" s="1181" t="s">
        <v>2122</v>
      </c>
      <c r="GA46" s="1181" t="s">
        <v>2128</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2130</v>
      </c>
      <c r="AB47" s="897" t="s">
        <v>235</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2128</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2131</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2132</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2133</v>
      </c>
      <c r="D50" s="1291" t="s">
        <v>2134</v>
      </c>
      <c r="E50" s="794">
        <v>15.8</v>
      </c>
      <c r="F50" s="919" cm="1" t="str">
        <f t="array" ref="F50:F50">OFFSET(G50,-1,-1)</f>
        <v>0</v>
      </c>
      <c r="G50" s="736" t="s">
        <v>1729</v>
      </c>
      <c r="H50" s="210" t="s">
        <v>2135</v>
      </c>
      <c r="I50" s="210" t="s">
        <v>2088</v>
      </c>
      <c r="J50" s="1312"/>
      <c r="K50" s="1312" cm="1" t="str">
        <f t="array" ref="K50:K50">OFFSET(J50,-1,1)</f>
        <v>0</v>
      </c>
      <c r="L50" s="1312"/>
      <c r="M50" s="1312" t="s">
        <v>1724</v>
      </c>
      <c r="N50" s="1312" t="s">
        <v>2091</v>
      </c>
      <c r="O50" s="1313" t="s">
        <v>2092</v>
      </c>
      <c r="P50" s="1312" t="s">
        <v>2136</v>
      </c>
      <c r="Q50" s="1312"/>
      <c r="T50" s="805" cm="1" t="str">
        <f t="array" ref="T50:T50">T49</f>
        <v>false</v>
      </c>
      <c r="AB50" s="273" t="s">
        <v>2137</v>
      </c>
      <c r="AC50" s="169" t="s">
        <v>895</v>
      </c>
      <c r="AD50" s="66">
        <f>IF(method_reg="Метод экономически обоснованных расходов",_xlfn.SUMIFS('Калькуляция (4.6)'!AJ$25:AJ$229,'Калькуляция (4.6)'!$F$25:$F$229,$F50,'Калькуляция (4.6)'!$G$25:$G$229,$G50),IF(method_reg="Метод сравнения аналогов",_xlfn.SUMIFS(INDEX('Калькуляция (МСА)'!$AE$25:$BC$109,,MATCH(AD$8,'Калькуляция (МСА)'!$AE$8:$BC$8,0)),'Калькуляция (МСА)'!$F$25:$F$109,$F50,'Калькуляция (МСА)'!$G$25:$G$109,$G50),_xlfn.SUMIFS(INDEX('Калькуляция (5.9)'!$AJ$25:$BC$192,,MATCH(AD$8,'Калькуляция (5.9)'!$AJ$8:$BC$8,0)),'Калькуляция (5.9)'!$F$25:$F$192,$F50,'Калькуляция (5.9)'!$G$25:$G$192,$G50)))</f>
        <v>0</v>
      </c>
      <c r="AE50" s="66">
        <f>IF(method_reg="Метод экономически обоснованных расходов",_xlfn.SUMIFS('Калькуляция (4.6)'!AK$25:AK$229,'Калькуляция (4.6)'!$F$25:$F$229,$F50,'Калькуляция (4.6)'!$G$25:$G$229,$G50),IF(method_reg="Метод сравнения аналогов",_xlfn.SUMIFS(INDEX('Калькуляция (МСА)'!$AE$25:$BC$109,,MATCH(AE$8,'Калькуляция (МСА)'!$AE$8:$BC$8,0)),'Калькуляция (МСА)'!$F$25:$F$109,$F50,'Калькуляция (МСА)'!$G$25:$G$109,$G50),_xlfn.SUMIFS(INDEX('Калькуляция (5.9)'!$AJ$25:$BC$192,,MATCH(AE$8,'Калькуляция (5.9)'!$AJ$8:$BC$8,0)),'Калькуляция (5.9)'!$F$25:$F$192,$F50,'Калькуляция (5.9)'!$G$25:$G$192,$G50)))</f>
        <v>0</v>
      </c>
      <c r="AF50" s="365">
        <f>IF(AD50=0,0,(AE50-AD50)/AD50*100)</f>
        <v>0</v>
      </c>
      <c r="AG50" s="366">
        <f>IF(method_reg="Метод сравнения аналогов",_xlfn.SUMIFS(INDEX('Калькуляция (МСА)'!$AE$25:$BC$109,,MATCH(AG$8,'Калькуляция (МСА)'!$AE$8:$BC$8,0)),'Калькуляция (МСА)'!$F$25:$F$109,$F50,'Калькуляция (МСА)'!$G$25:$G$109,$G50),_xlfn.SUMIFS(INDEX('Калькуляция (5.9)'!$AJ$25:$BC$192,,MATCH(AG$8,'Калькуляция (5.9)'!$AJ$8:$BC$8,0)),'Калькуляция (5.9)'!$F$25:$F$192,$F50,'Калькуляция (5.9)'!$G$25:$G$192,$G50))</f>
        <v>0</v>
      </c>
      <c r="AH50" s="366">
        <f>IF(method_reg="Метод сравнения аналогов",_xlfn.SUMIFS(INDEX('Калькуляция (МСА)'!$AE$25:$BC$109,,MATCH(AH$8,'Калькуляция (МСА)'!$AE$8:$BC$8,0)),'Калькуляция (МСА)'!$F$25:$F$109,$F50,'Калькуляция (МСА)'!$G$25:$G$109,$G50),_xlfn.SUMIFS(INDEX('Калькуляция (5.9)'!$AJ$25:$BC$192,,MATCH(AH$8,'Калькуляция (5.9)'!$AJ$8:$BC$8,0)),'Калькуляция (5.9)'!$F$25:$F$192,$F50,'Калькуляция (5.9)'!$G$25:$G$192,$G50))</f>
        <v>0</v>
      </c>
      <c r="AI50" s="365">
        <f>IF(AG50=0,0,(AH50-AG50)/AG50*100)</f>
        <v>0</v>
      </c>
      <c r="AJ50" s="366">
        <f>IF(method_reg="Метод сравнения аналогов",_xlfn.SUMIFS(INDEX('Калькуляция (МСА)'!$AE$25:$BC$109,,MATCH(AJ$8,'Калькуляция (МСА)'!$AE$8:$BC$8,0)),'Калькуляция (МСА)'!$F$25:$F$109,$F50,'Калькуляция (МСА)'!$G$25:$G$109,$G50),_xlfn.SUMIFS(INDEX('Калькуляция (5.9)'!$AJ$25:$BC$192,,MATCH(AJ$8,'Калькуляция (5.9)'!$AJ$8:$BC$8,0)),'Калькуляция (5.9)'!$F$25:$F$192,$F50,'Калькуляция (5.9)'!$G$25:$G$192,$G50))</f>
        <v>0</v>
      </c>
      <c r="AK50" s="366">
        <f>IF(method_reg="Метод сравнения аналогов",_xlfn.SUMIFS(INDEX('Калькуляция (МСА)'!$AE$25:$BC$109,,MATCH(AK$8,'Калькуляция (МСА)'!$AE$8:$BC$8,0)),'Калькуляция (МСА)'!$F$25:$F$109,$F50,'Калькуляция (МСА)'!$G$25:$G$109,$G50),_xlfn.SUMIFS(INDEX('Калькуляция (5.9)'!$AJ$25:$BC$192,,MATCH(AK$8,'Калькуляция (5.9)'!$AJ$8:$BC$8,0)),'Калькуляция (5.9)'!$F$25:$F$192,$F50,'Калькуляция (5.9)'!$G$25:$G$192,$G50))</f>
        <v>0</v>
      </c>
      <c r="AL50" s="365">
        <f>IF(AJ50=0,0,(AK50-AJ50)/AJ50*100)</f>
        <v>0</v>
      </c>
      <c r="AM50" s="366">
        <f>IF(method_reg="Метод сравнения аналогов",_xlfn.SUMIFS(INDEX('Калькуляция (МСА)'!$AE$25:$BC$109,,MATCH(AM$8,'Калькуляция (МСА)'!$AE$8:$BC$8,0)),'Калькуляция (МСА)'!$F$25:$F$109,$F50,'Калькуляция (МСА)'!$G$25:$G$109,$G50),_xlfn.SUMIFS(INDEX('Калькуляция (5.9)'!$AJ$25:$BC$192,,MATCH(AM$8,'Калькуляция (5.9)'!$AJ$8:$BC$8,0)),'Калькуляция (5.9)'!$F$25:$F$192,$F50,'Калькуляция (5.9)'!$G$25:$G$192,$G50))</f>
        <v>0</v>
      </c>
      <c r="AN50" s="366">
        <f>IF(method_reg="Метод сравнения аналогов",_xlfn.SUMIFS(INDEX('Калькуляция (МСА)'!$AE$25:$BC$109,,MATCH(AN$8,'Калькуляция (МСА)'!$AE$8:$BC$8,0)),'Калькуляция (МСА)'!$F$25:$F$109,$F50,'Калькуляция (МСА)'!$G$25:$G$109,$G50),_xlfn.SUMIFS(INDEX('Калькуляция (5.9)'!$AJ$25:$BC$192,,MATCH(AN$8,'Калькуляция (5.9)'!$AJ$8:$BC$8,0)),'Калькуляция (5.9)'!$F$25:$F$192,$F50,'Калькуляция (5.9)'!$G$25:$G$192,$G50))</f>
        <v>0</v>
      </c>
      <c r="AO50" s="365">
        <f>IF(AM50=0,0,(AN50-AM50)/AM50*100)</f>
        <v>0</v>
      </c>
      <c r="AP50" s="366">
        <f>IF(method_reg="Метод сравнения аналогов",_xlfn.SUMIFS(INDEX('Калькуляция (МСА)'!$AE$25:$BC$109,,MATCH(AP$8,'Калькуляция (МСА)'!$AE$8:$BC$8,0)),'Калькуляция (МСА)'!$F$25:$F$109,$F50,'Калькуляция (МСА)'!$G$25:$G$109,$G50),_xlfn.SUMIFS(INDEX('Калькуляция (5.9)'!$AJ$25:$BC$192,,MATCH(AP$8,'Калькуляция (5.9)'!$AJ$8:$BC$8,0)),'Калькуляция (5.9)'!$F$25:$F$192,$F50,'Калькуляция (5.9)'!$G$25:$G$192,$G50))</f>
        <v>0</v>
      </c>
      <c r="AQ50" s="366">
        <f>IF(method_reg="Метод сравнения аналогов",_xlfn.SUMIFS(INDEX('Калькуляция (МСА)'!$AE$25:$BC$109,,MATCH(AQ$8,'Калькуляция (МСА)'!$AE$8:$BC$8,0)),'Калькуляция (МСА)'!$F$25:$F$109,$F50,'Калькуляция (МСА)'!$G$25:$G$109,$G50),_xlfn.SUMIFS(INDEX('Калькуляция (5.9)'!$AJ$25:$BC$192,,MATCH(AQ$8,'Калькуляция (5.9)'!$AJ$8:$BC$8,0)),'Калькуляция (5.9)'!$F$25:$F$192,$F50,'Калькуляция (5.9)'!$G$25:$G$192,$G50))</f>
        <v>0</v>
      </c>
      <c r="AR50" s="365">
        <f>IF(AP50=0,0,(AQ50-AP50)/AP50*100)</f>
        <v>0</v>
      </c>
      <c r="AS50" s="66">
        <f>IF(method_reg="Метод сравнения аналогов",_xlfn.SUMIFS(INDEX('Калькуляция (МСА)'!$AE$25:$BC$109,,MATCH(AS$8,'Калькуляция (МСА)'!$AE$8:$BC$8,0)),'Калькуляция (МСА)'!$F$25:$F$109,$F50,'Калькуляция (МСА)'!$G$25:$G$109,$G50),_xlfn.SUMIFS(INDEX('Калькуляция (5.9)'!$AJ$25:$BC$192,,MATCH(AS$8,'Калькуляция (5.9)'!$AJ$8:$BC$8,0)),'Калькуляция (5.9)'!$F$25:$F$192,$F50,'Калькуляция (5.9)'!$G$25:$G$192,$G50))</f>
        <v>0</v>
      </c>
      <c r="AT50" s="66">
        <f>IF(method_reg="Метод сравнения аналогов",_xlfn.SUMIFS(INDEX('Калькуляция (МСА)'!$AE$25:$BC$109,,MATCH(AT$8,'Калькуляция (МСА)'!$AE$8:$BC$8,0)),'Калькуляция (МСА)'!$F$25:$F$109,$F50,'Калькуляция (МСА)'!$G$25:$G$109,$G50),_xlfn.SUMIFS(INDEX('Калькуляция (5.9)'!$AJ$25:$BC$192,,MATCH(AT$8,'Калькуляция (5.9)'!$AJ$8:$BC$8,0)),'Калькуляция (5.9)'!$F$25:$F$192,$F50,'Калькуляция (5.9)'!$G$25:$G$192,$G50))</f>
        <v>0</v>
      </c>
      <c r="AU50" s="365">
        <f>IF(AS50=0,0,(AT50-AS50)/AS50*100)</f>
        <v>0</v>
      </c>
      <c r="AV50" s="66">
        <f>IF(method_reg="Метод сравнения аналогов",_xlfn.SUMIFS(INDEX('Калькуляция (МСА)'!$AE$25:$BC$109,,MATCH(AV$8,'Калькуляция (МСА)'!$AE$8:$BC$8,0)),'Калькуляция (МСА)'!$F$25:$F$109,$F50,'Калькуляция (МСА)'!$G$25:$G$109,$G50),_xlfn.SUMIFS(INDEX('Калькуляция (5.9)'!$AJ$25:$BC$192,,MATCH(AV$8,'Калькуляция (5.9)'!$AJ$8:$BC$8,0)),'Калькуляция (5.9)'!$F$25:$F$192,$F50,'Калькуляция (5.9)'!$G$25:$G$192,$G50))</f>
        <v>0</v>
      </c>
      <c r="AW50" s="66">
        <f>IF(method_reg="Метод сравнения аналогов",_xlfn.SUMIFS(INDEX('Калькуляция (МСА)'!$AE$25:$BC$109,,MATCH(AW$8,'Калькуляция (МСА)'!$AE$8:$BC$8,0)),'Калькуляция (МСА)'!$F$25:$F$109,$F50,'Калькуляция (МСА)'!$G$25:$G$109,$G50),_xlfn.SUMIFS(INDEX('Калькуляция (5.9)'!$AJ$25:$BC$192,,MATCH(AW$8,'Калькуляция (5.9)'!$AJ$8:$BC$8,0)),'Калькуляция (5.9)'!$F$25:$F$192,$F50,'Калькуляция (5.9)'!$G$25:$G$192,$G50))</f>
        <v>0</v>
      </c>
      <c r="AX50" s="365">
        <f>IF(AV50=0,0,(AW50-AV50)/AV50*100)</f>
        <v>0</v>
      </c>
      <c r="AY50" s="66">
        <f>IF(method_reg="Метод сравнения аналогов",_xlfn.SUMIFS(INDEX('Калькуляция (МСА)'!$AE$25:$BC$109,,MATCH(AY$8,'Калькуляция (МСА)'!$AE$8:$BC$8,0)),'Калькуляция (МСА)'!$F$25:$F$109,$F50,'Калькуляция (МСА)'!$G$25:$G$109,$G50),_xlfn.SUMIFS(INDEX('Калькуляция (5.9)'!$AJ$25:$BC$192,,MATCH(AY$8,'Калькуляция (5.9)'!$AJ$8:$BC$8,0)),'Калькуляция (5.9)'!$F$25:$F$192,$F50,'Калькуляция (5.9)'!$G$25:$G$192,$G50))</f>
        <v>0</v>
      </c>
      <c r="AZ50" s="66">
        <f>IF(method_reg="Метод сравнения аналогов",_xlfn.SUMIFS(INDEX('Калькуляция (МСА)'!$AE$25:$BC$109,,MATCH(AZ$8,'Калькуляция (МСА)'!$AE$8:$BC$8,0)),'Калькуляция (МСА)'!$F$25:$F$109,$F50,'Калькуляция (МСА)'!$G$25:$G$109,$G50),_xlfn.SUMIFS(INDEX('Калькуляция (5.9)'!$AJ$25:$BC$192,,MATCH(AZ$8,'Калькуляция (5.9)'!$AJ$8:$BC$8,0)),'Калькуляция (5.9)'!$F$25:$F$192,$F50,'Калькуляция (5.9)'!$G$25:$G$192,$G50))</f>
        <v>0</v>
      </c>
      <c r="BA50" s="365">
        <f>IF(AY50=0,0,(AZ50-AY50)/AY50*100)</f>
        <v>0</v>
      </c>
      <c r="BB50" s="66">
        <f>IF(method_reg="Метод сравнения аналогов",_xlfn.SUMIFS(INDEX('Калькуляция (МСА)'!$AE$25:$BC$109,,MATCH(BB$8,'Калькуляция (МСА)'!$AE$8:$BC$8,0)),'Калькуляция (МСА)'!$F$25:$F$109,$F50,'Калькуляция (МСА)'!$G$25:$G$109,$G50),_xlfn.SUMIFS(INDEX('Калькуляция (5.9)'!$AJ$25:$BC$192,,MATCH(BB$8,'Калькуляция (5.9)'!$AJ$8:$BC$8,0)),'Калькуляция (5.9)'!$F$25:$F$192,$F50,'Калькуляция (5.9)'!$G$25:$G$192,$G50))</f>
        <v>0</v>
      </c>
      <c r="BC50" s="66">
        <f>IF(method_reg="Метод сравнения аналогов",_xlfn.SUMIFS(INDEX('Калькуляция (МСА)'!$AE$25:$BC$109,,MATCH(BC$8,'Калькуляция (МСА)'!$AE$8:$BC$8,0)),'Калькуляция (МСА)'!$F$25:$F$109,$F50,'Калькуляция (МСА)'!$G$25:$G$109,$G50),_xlfn.SUMIFS(INDEX('Калькуляция (5.9)'!$AJ$25:$BC$192,,MATCH(BC$8,'Калькуляция (5.9)'!$AJ$8:$BC$8,0)),'Калькуляция (5.9)'!$F$25:$F$192,$F50,'Калькуляция (5.9)'!$G$25:$G$192,$G50))</f>
        <v>0</v>
      </c>
      <c r="BD50" s="365">
        <f>IF(BB50=0,0,(BC50-BB50)/BB50*100)</f>
        <v>0</v>
      </c>
      <c r="BE50" s="66">
        <f>IF(method_reg="Метод сравнения аналогов",_xlfn.SUMIFS(INDEX('Калькуляция (МСА)'!$AE$25:$BC$109,,MATCH(BE$8,'Калькуляция (МСА)'!$AE$8:$BC$8,0)),'Калькуляция (МСА)'!$F$25:$F$109,$F50,'Калькуляция (МСА)'!$G$25:$G$109,$G50),_xlfn.SUMIFS(INDEX('Калькуляция (5.9)'!$AJ$25:$BC$192,,MATCH(BE$8,'Калькуляция (5.9)'!$AJ$8:$BC$8,0)),'Калькуляция (5.9)'!$F$25:$F$192,$F50,'Калькуляция (5.9)'!$G$25:$G$192,$G50))</f>
        <v>0</v>
      </c>
      <c r="BF50" s="66">
        <f>IF(method_reg="Метод сравнения аналогов",_xlfn.SUMIFS(INDEX('Калькуляция (МСА)'!$AE$25:$BC$109,,MATCH(BF$8,'Калькуляция (МСА)'!$AE$8:$BC$8,0)),'Калькуляция (МСА)'!$F$25:$F$109,$F50,'Калькуляция (МСА)'!$G$25:$G$109,$G50),_xlfn.SUMIFS(INDEX('Калькуляция (5.9)'!$AJ$25:$BC$192,,MATCH(BF$8,'Калькуляция (5.9)'!$AJ$8:$BC$8,0)),'Калькуляция (5.9)'!$F$25:$F$192,$F50,'Калькуляция (5.9)'!$G$25:$G$192,$G50))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2138</v>
      </c>
      <c r="GA50" s="1181"/>
      <c r="GB50" s="1181"/>
      <c r="GC50" s="1181"/>
      <c r="GD50" s="1181"/>
    </row>
    <row customHeight="1" ht="15.405000000000001" hidden="1">
      <c r="B51" s="961" cm="1" t="str">
        <f t="array" ref="B51:B51">B50</f>
        <v>false</v>
      </c>
      <c r="C51" s="1322" t="s">
        <v>2139</v>
      </c>
      <c r="D51" s="1291" t="s">
        <v>2140</v>
      </c>
      <c r="E51" s="794">
        <v>15.8</v>
      </c>
      <c r="F51" s="919" cm="1" t="str">
        <f t="array" ref="F51:F51">OFFSET(G51,-1,-1)</f>
        <v>0</v>
      </c>
      <c r="G51" s="736" t="s">
        <v>1762</v>
      </c>
      <c r="H51" s="210" t="s">
        <v>2141</v>
      </c>
      <c r="I51" s="210" t="s">
        <v>2088</v>
      </c>
      <c r="J51" s="1312"/>
      <c r="K51" s="1312" cm="1" t="str">
        <f t="array" ref="K51:K51">OFFSET(J51,-1,1)</f>
        <v>0</v>
      </c>
      <c r="L51" s="1312"/>
      <c r="M51" s="1312" t="s">
        <v>1724</v>
      </c>
      <c r="N51" s="1312" t="s">
        <v>2091</v>
      </c>
      <c r="O51" s="1313" t="s">
        <v>2092</v>
      </c>
      <c r="P51" s="1312" t="s">
        <v>2142</v>
      </c>
      <c r="Q51" s="1312"/>
      <c r="T51" s="805" cm="1" t="str">
        <f t="array" ref="T51:T51">T50</f>
        <v>false</v>
      </c>
      <c r="AB51" s="273" t="s">
        <v>2143</v>
      </c>
      <c r="AC51" s="169" t="s">
        <v>895</v>
      </c>
      <c r="AD51" s="66">
        <f>IF(method_reg="Метод экономически обоснованных расходов",_xlfn.SUMIFS('Калькуляция (4.6)'!AJ$25:AJ$229,'Калькуляция (4.6)'!$F$25:$F$229,$F51,'Калькуляция (4.6)'!$G$25:$G$229,$G51),IF(method_reg="Метод сравнения аналогов",_xlfn.SUMIFS(INDEX('Калькуляция (МСА)'!$AE$25:$BC$109,,MATCH(AD$8,'Калькуляция (МСА)'!$AE$8:$BC$8,0)),'Калькуляция (МСА)'!$F$25:$F$109,$F51,'Калькуляция (МСА)'!$G$25:$G$109,$G51),_xlfn.SUMIFS(INDEX('Калькуляция (5.9)'!$AJ$25:$BC$192,,MATCH(AD$8,'Калькуляция (5.9)'!$AJ$8:$BC$8,0)),'Калькуляция (5.9)'!$F$25:$F$192,$F51,'Калькуляция (5.9)'!$G$25:$G$192,$G51)))</f>
        <v>0</v>
      </c>
      <c r="AE51" s="66">
        <f>IF(method_reg="Метод экономически обоснованных расходов",_xlfn.SUMIFS('Калькуляция (4.6)'!AK$25:AK$229,'Калькуляция (4.6)'!$F$25:$F$229,$F51,'Калькуляция (4.6)'!$G$25:$G$229,$G51),IF(method_reg="Метод сравнения аналогов",_xlfn.SUMIFS(INDEX('Калькуляция (МСА)'!$AE$25:$BC$109,,MATCH(AE$8,'Калькуляция (МСА)'!$AE$8:$BC$8,0)),'Калькуляция (МСА)'!$F$25:$F$109,$F51,'Калькуляция (МСА)'!$G$25:$G$109,$G51),_xlfn.SUMIFS(INDEX('Калькуляция (5.9)'!$AJ$25:$BC$192,,MATCH(AE$8,'Калькуляция (5.9)'!$AJ$8:$BC$8,0)),'Калькуляция (5.9)'!$F$25:$F$192,$F51,'Калькуляция (5.9)'!$G$25:$G$192,$G51)))</f>
        <v>0</v>
      </c>
      <c r="AF51" s="365">
        <f>IF(AD51=0,0,(AE51-AD51)/AD51*100)</f>
        <v>0</v>
      </c>
      <c r="AG51" s="366">
        <f>IF(method_reg="Метод сравнения аналогов",_xlfn.SUMIFS(INDEX('Калькуляция (МСА)'!$AE$25:$BC$109,,MATCH(AG$8,'Калькуляция (МСА)'!$AE$8:$BC$8,0)),'Калькуляция (МСА)'!$F$25:$F$109,$F51,'Калькуляция (МСА)'!$G$25:$G$109,$G51),_xlfn.SUMIFS(INDEX('Калькуляция (5.9)'!$AJ$25:$BC$192,,MATCH(AG$8,'Калькуляция (5.9)'!$AJ$8:$BC$8,0)),'Калькуляция (5.9)'!$F$25:$F$192,$F51,'Калькуляция (5.9)'!$G$25:$G$192,$G51))</f>
        <v>0</v>
      </c>
      <c r="AH51" s="366">
        <f>IF(method_reg="Метод сравнения аналогов",_xlfn.SUMIFS(INDEX('Калькуляция (МСА)'!$AE$25:$BC$109,,MATCH(AH$8,'Калькуляция (МСА)'!$AE$8:$BC$8,0)),'Калькуляция (МСА)'!$F$25:$F$109,$F51,'Калькуляция (МСА)'!$G$25:$G$109,$G51),_xlfn.SUMIFS(INDEX('Калькуляция (5.9)'!$AJ$25:$BC$192,,MATCH(AH$8,'Калькуляция (5.9)'!$AJ$8:$BC$8,0)),'Калькуляция (5.9)'!$F$25:$F$192,$F51,'Калькуляция (5.9)'!$G$25:$G$192,$G51))</f>
        <v>0</v>
      </c>
      <c r="AI51" s="365">
        <f>IF(AG51=0,0,(AH51-AG51)/AG51*100)</f>
        <v>0</v>
      </c>
      <c r="AJ51" s="366">
        <f>IF(method_reg="Метод сравнения аналогов",_xlfn.SUMIFS(INDEX('Калькуляция (МСА)'!$AE$25:$BC$109,,MATCH(AJ$8,'Калькуляция (МСА)'!$AE$8:$BC$8,0)),'Калькуляция (МСА)'!$F$25:$F$109,$F51,'Калькуляция (МСА)'!$G$25:$G$109,$G51),_xlfn.SUMIFS(INDEX('Калькуляция (5.9)'!$AJ$25:$BC$192,,MATCH(AJ$8,'Калькуляция (5.9)'!$AJ$8:$BC$8,0)),'Калькуляция (5.9)'!$F$25:$F$192,$F51,'Калькуляция (5.9)'!$G$25:$G$192,$G51))</f>
        <v>0</v>
      </c>
      <c r="AK51" s="366">
        <f>IF(method_reg="Метод сравнения аналогов",_xlfn.SUMIFS(INDEX('Калькуляция (МСА)'!$AE$25:$BC$109,,MATCH(AK$8,'Калькуляция (МСА)'!$AE$8:$BC$8,0)),'Калькуляция (МСА)'!$F$25:$F$109,$F51,'Калькуляция (МСА)'!$G$25:$G$109,$G51),_xlfn.SUMIFS(INDEX('Калькуляция (5.9)'!$AJ$25:$BC$192,,MATCH(AK$8,'Калькуляция (5.9)'!$AJ$8:$BC$8,0)),'Калькуляция (5.9)'!$F$25:$F$192,$F51,'Калькуляция (5.9)'!$G$25:$G$192,$G51))</f>
        <v>0</v>
      </c>
      <c r="AL51" s="365">
        <f>IF(AJ51=0,0,(AK51-AJ51)/AJ51*100)</f>
        <v>0</v>
      </c>
      <c r="AM51" s="366">
        <f>IF(method_reg="Метод сравнения аналогов",_xlfn.SUMIFS(INDEX('Калькуляция (МСА)'!$AE$25:$BC$109,,MATCH(AM$8,'Калькуляция (МСА)'!$AE$8:$BC$8,0)),'Калькуляция (МСА)'!$F$25:$F$109,$F51,'Калькуляция (МСА)'!$G$25:$G$109,$G51),_xlfn.SUMIFS(INDEX('Калькуляция (5.9)'!$AJ$25:$BC$192,,MATCH(AM$8,'Калькуляция (5.9)'!$AJ$8:$BC$8,0)),'Калькуляция (5.9)'!$F$25:$F$192,$F51,'Калькуляция (5.9)'!$G$25:$G$192,$G51))</f>
        <v>0</v>
      </c>
      <c r="AN51" s="366">
        <f>IF(method_reg="Метод сравнения аналогов",_xlfn.SUMIFS(INDEX('Калькуляция (МСА)'!$AE$25:$BC$109,,MATCH(AN$8,'Калькуляция (МСА)'!$AE$8:$BC$8,0)),'Калькуляция (МСА)'!$F$25:$F$109,$F51,'Калькуляция (МСА)'!$G$25:$G$109,$G51),_xlfn.SUMIFS(INDEX('Калькуляция (5.9)'!$AJ$25:$BC$192,,MATCH(AN$8,'Калькуляция (5.9)'!$AJ$8:$BC$8,0)),'Калькуляция (5.9)'!$F$25:$F$192,$F51,'Калькуляция (5.9)'!$G$25:$G$192,$G51))</f>
        <v>0</v>
      </c>
      <c r="AO51" s="365">
        <f>IF(AM51=0,0,(AN51-AM51)/AM51*100)</f>
        <v>0</v>
      </c>
      <c r="AP51" s="366">
        <f>IF(method_reg="Метод сравнения аналогов",_xlfn.SUMIFS(INDEX('Калькуляция (МСА)'!$AE$25:$BC$109,,MATCH(AP$8,'Калькуляция (МСА)'!$AE$8:$BC$8,0)),'Калькуляция (МСА)'!$F$25:$F$109,$F51,'Калькуляция (МСА)'!$G$25:$G$109,$G51),_xlfn.SUMIFS(INDEX('Калькуляция (5.9)'!$AJ$25:$BC$192,,MATCH(AP$8,'Калькуляция (5.9)'!$AJ$8:$BC$8,0)),'Калькуляция (5.9)'!$F$25:$F$192,$F51,'Калькуляция (5.9)'!$G$25:$G$192,$G51))</f>
        <v>0</v>
      </c>
      <c r="AQ51" s="366">
        <f>IF(method_reg="Метод сравнения аналогов",_xlfn.SUMIFS(INDEX('Калькуляция (МСА)'!$AE$25:$BC$109,,MATCH(AQ$8,'Калькуляция (МСА)'!$AE$8:$BC$8,0)),'Калькуляция (МСА)'!$F$25:$F$109,$F51,'Калькуляция (МСА)'!$G$25:$G$109,$G51),_xlfn.SUMIFS(INDEX('Калькуляция (5.9)'!$AJ$25:$BC$192,,MATCH(AQ$8,'Калькуляция (5.9)'!$AJ$8:$BC$8,0)),'Калькуляция (5.9)'!$F$25:$F$192,$F51,'Калькуляция (5.9)'!$G$25:$G$192,$G51))</f>
        <v>0</v>
      </c>
      <c r="AR51" s="365">
        <f>IF(AP51=0,0,(AQ51-AP51)/AP51*100)</f>
        <v>0</v>
      </c>
      <c r="AS51" s="66">
        <f>IF(method_reg="Метод сравнения аналогов",_xlfn.SUMIFS(INDEX('Калькуляция (МСА)'!$AE$25:$BC$109,,MATCH(AS$8,'Калькуляция (МСА)'!$AE$8:$BC$8,0)),'Калькуляция (МСА)'!$F$25:$F$109,$F51,'Калькуляция (МСА)'!$G$25:$G$109,$G51),_xlfn.SUMIFS(INDEX('Калькуляция (5.9)'!$AJ$25:$BC$192,,MATCH(AS$8,'Калькуляция (5.9)'!$AJ$8:$BC$8,0)),'Калькуляция (5.9)'!$F$25:$F$192,$F51,'Калькуляция (5.9)'!$G$25:$G$192,$G51))</f>
        <v>0</v>
      </c>
      <c r="AT51" s="66">
        <f>IF(method_reg="Метод сравнения аналогов",_xlfn.SUMIFS(INDEX('Калькуляция (МСА)'!$AE$25:$BC$109,,MATCH(AT$8,'Калькуляция (МСА)'!$AE$8:$BC$8,0)),'Калькуляция (МСА)'!$F$25:$F$109,$F51,'Калькуляция (МСА)'!$G$25:$G$109,$G51),_xlfn.SUMIFS(INDEX('Калькуляция (5.9)'!$AJ$25:$BC$192,,MATCH(AT$8,'Калькуляция (5.9)'!$AJ$8:$BC$8,0)),'Калькуляция (5.9)'!$F$25:$F$192,$F51,'Калькуляция (5.9)'!$G$25:$G$192,$G51))</f>
        <v>0</v>
      </c>
      <c r="AU51" s="365">
        <f>IF(AS51=0,0,(AT51-AS51)/AS51*100)</f>
        <v>0</v>
      </c>
      <c r="AV51" s="66">
        <f>IF(method_reg="Метод сравнения аналогов",_xlfn.SUMIFS(INDEX('Калькуляция (МСА)'!$AE$25:$BC$109,,MATCH(AV$8,'Калькуляция (МСА)'!$AE$8:$BC$8,0)),'Калькуляция (МСА)'!$F$25:$F$109,$F51,'Калькуляция (МСА)'!$G$25:$G$109,$G51),_xlfn.SUMIFS(INDEX('Калькуляция (5.9)'!$AJ$25:$BC$192,,MATCH(AV$8,'Калькуляция (5.9)'!$AJ$8:$BC$8,0)),'Калькуляция (5.9)'!$F$25:$F$192,$F51,'Калькуляция (5.9)'!$G$25:$G$192,$G51))</f>
        <v>0</v>
      </c>
      <c r="AW51" s="66">
        <f>IF(method_reg="Метод сравнения аналогов",_xlfn.SUMIFS(INDEX('Калькуляция (МСА)'!$AE$25:$BC$109,,MATCH(AW$8,'Калькуляция (МСА)'!$AE$8:$BC$8,0)),'Калькуляция (МСА)'!$F$25:$F$109,$F51,'Калькуляция (МСА)'!$G$25:$G$109,$G51),_xlfn.SUMIFS(INDEX('Калькуляция (5.9)'!$AJ$25:$BC$192,,MATCH(AW$8,'Калькуляция (5.9)'!$AJ$8:$BC$8,0)),'Калькуляция (5.9)'!$F$25:$F$192,$F51,'Калькуляция (5.9)'!$G$25:$G$192,$G51))</f>
        <v>0</v>
      </c>
      <c r="AX51" s="365">
        <f>IF(AV51=0,0,(AW51-AV51)/AV51*100)</f>
        <v>0</v>
      </c>
      <c r="AY51" s="66">
        <f>IF(method_reg="Метод сравнения аналогов",_xlfn.SUMIFS(INDEX('Калькуляция (МСА)'!$AE$25:$BC$109,,MATCH(AY$8,'Калькуляция (МСА)'!$AE$8:$BC$8,0)),'Калькуляция (МСА)'!$F$25:$F$109,$F51,'Калькуляция (МСА)'!$G$25:$G$109,$G51),_xlfn.SUMIFS(INDEX('Калькуляция (5.9)'!$AJ$25:$BC$192,,MATCH(AY$8,'Калькуляция (5.9)'!$AJ$8:$BC$8,0)),'Калькуляция (5.9)'!$F$25:$F$192,$F51,'Калькуляция (5.9)'!$G$25:$G$192,$G51))</f>
        <v>0</v>
      </c>
      <c r="AZ51" s="66">
        <f>IF(method_reg="Метод сравнения аналогов",_xlfn.SUMIFS(INDEX('Калькуляция (МСА)'!$AE$25:$BC$109,,MATCH(AZ$8,'Калькуляция (МСА)'!$AE$8:$BC$8,0)),'Калькуляция (МСА)'!$F$25:$F$109,$F51,'Калькуляция (МСА)'!$G$25:$G$109,$G51),_xlfn.SUMIFS(INDEX('Калькуляция (5.9)'!$AJ$25:$BC$192,,MATCH(AZ$8,'Калькуляция (5.9)'!$AJ$8:$BC$8,0)),'Калькуляция (5.9)'!$F$25:$F$192,$F51,'Калькуляция (5.9)'!$G$25:$G$192,$G51))</f>
        <v>0</v>
      </c>
      <c r="BA51" s="365">
        <f>IF(AY51=0,0,(AZ51-AY51)/AY51*100)</f>
        <v>0</v>
      </c>
      <c r="BB51" s="66">
        <f>IF(method_reg="Метод сравнения аналогов",_xlfn.SUMIFS(INDEX('Калькуляция (МСА)'!$AE$25:$BC$109,,MATCH(BB$8,'Калькуляция (МСА)'!$AE$8:$BC$8,0)),'Калькуляция (МСА)'!$F$25:$F$109,$F51,'Калькуляция (МСА)'!$G$25:$G$109,$G51),_xlfn.SUMIFS(INDEX('Калькуляция (5.9)'!$AJ$25:$BC$192,,MATCH(BB$8,'Калькуляция (5.9)'!$AJ$8:$BC$8,0)),'Калькуляция (5.9)'!$F$25:$F$192,$F51,'Калькуляция (5.9)'!$G$25:$G$192,$G51))</f>
        <v>0</v>
      </c>
      <c r="BC51" s="66">
        <f>IF(method_reg="Метод сравнения аналогов",_xlfn.SUMIFS(INDEX('Калькуляция (МСА)'!$AE$25:$BC$109,,MATCH(BC$8,'Калькуляция (МСА)'!$AE$8:$BC$8,0)),'Калькуляция (МСА)'!$F$25:$F$109,$F51,'Калькуляция (МСА)'!$G$25:$G$109,$G51),_xlfn.SUMIFS(INDEX('Калькуляция (5.9)'!$AJ$25:$BC$192,,MATCH(BC$8,'Калькуляция (5.9)'!$AJ$8:$BC$8,0)),'Калькуляция (5.9)'!$F$25:$F$192,$F51,'Калькуляция (5.9)'!$G$25:$G$192,$G51))</f>
        <v>0</v>
      </c>
      <c r="BD51" s="365">
        <f>IF(BB51=0,0,(BC51-BB51)/BB51*100)</f>
        <v>0</v>
      </c>
      <c r="BE51" s="66">
        <f>IF(method_reg="Метод сравнения аналогов",_xlfn.SUMIFS(INDEX('Калькуляция (МСА)'!$AE$25:$BC$109,,MATCH(BE$8,'Калькуляция (МСА)'!$AE$8:$BC$8,0)),'Калькуляция (МСА)'!$F$25:$F$109,$F51,'Калькуляция (МСА)'!$G$25:$G$109,$G51),_xlfn.SUMIFS(INDEX('Калькуляция (5.9)'!$AJ$25:$BC$192,,MATCH(BE$8,'Калькуляция (5.9)'!$AJ$8:$BC$8,0)),'Калькуляция (5.9)'!$F$25:$F$192,$F51,'Калькуляция (5.9)'!$G$25:$G$192,$G51))</f>
        <v>0</v>
      </c>
      <c r="BF51" s="66">
        <f>IF(method_reg="Метод сравнения аналогов",_xlfn.SUMIFS(INDEX('Калькуляция (МСА)'!$AE$25:$BC$109,,MATCH(BF$8,'Калькуляция (МСА)'!$AE$8:$BC$8,0)),'Калькуляция (МСА)'!$F$25:$F$109,$F51,'Калькуляция (МСА)'!$G$25:$G$109,$G51),_xlfn.SUMIFS(INDEX('Калькуляция (5.9)'!$AJ$25:$BC$192,,MATCH(BF$8,'Калькуляция (5.9)'!$AJ$8:$BC$8,0)),'Калькуляция (5.9)'!$F$25:$F$192,$F51,'Калькуляция (5.9)'!$G$25:$G$192,$G51))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2144</v>
      </c>
      <c r="GA51" s="1181"/>
      <c r="GB51" s="1181"/>
      <c r="GC51" s="1181"/>
      <c r="GD51" s="1181"/>
    </row>
    <row customHeight="1" ht="15.405000000000001" hidden="1">
      <c r="B52" s="961" cm="1" t="str">
        <f t="array" ref="B52:B52">B51</f>
        <v>false</v>
      </c>
      <c r="C52" s="1322" t="s">
        <v>1721</v>
      </c>
      <c r="D52" s="1291" t="s">
        <v>1722</v>
      </c>
      <c r="E52" s="794">
        <v>15.8</v>
      </c>
      <c r="F52" s="919" cm="1" t="str">
        <f t="array" ref="F52:F52">OFFSET(G52,-1,-1)</f>
        <v>0</v>
      </c>
      <c r="G52" s="190" t="s">
        <v>1723</v>
      </c>
      <c r="H52" s="210" t="s">
        <v>2145</v>
      </c>
      <c r="I52" s="210" t="s">
        <v>2088</v>
      </c>
      <c r="J52" s="1312"/>
      <c r="K52" s="1312" cm="1" t="str">
        <f t="array" ref="K52:K52">OFFSET(J52,-1,1)</f>
        <v>0</v>
      </c>
      <c r="L52" s="1312"/>
      <c r="M52" s="1312" t="s">
        <v>1724</v>
      </c>
      <c r="N52" s="1312" t="s">
        <v>2091</v>
      </c>
      <c r="O52" s="1313" t="s">
        <v>2092</v>
      </c>
      <c r="P52" s="1312" t="s">
        <v>2146</v>
      </c>
      <c r="Q52" s="1312"/>
      <c r="T52" s="805" cm="1" t="str">
        <f t="array" ref="T52:T52">T51</f>
        <v>false</v>
      </c>
      <c r="AB52" s="273" t="s">
        <v>2147</v>
      </c>
      <c r="AC52" s="169" t="s">
        <v>591</v>
      </c>
      <c r="AD52" s="145">
        <f>IF(method_reg="Метод экономически обоснованных расходов",_xlfn.SUMIFS('Калькуляция (4.6)'!AJ$25:AJ$229,'Калькуляция (4.6)'!$F$25:$F$229,$F52,'Калькуляция (4.6)'!$G$25:$G$229,$G52),IF(method_reg="Метод сравнения аналогов",_xlfn.SUMIFS(INDEX('Калькуляция (МСА)'!$AE$25:$BC$109,,MATCH(AD$8,'Калькуляция (МСА)'!$AE$8:$BC$8,0)),'Калькуляция (МСА)'!$F$25:$F$109,$F52,'Калькуляция (МСА)'!$G$25:$G$109,$G52),_xlfn.SUMIFS(INDEX('Калькуляция (5.9)'!$AJ$25:$BC$192,,MATCH(AD$8,'Калькуляция (5.9)'!$AJ$8:$BC$8,0)),'Калькуляция (5.9)'!$F$25:$F$192,$F52,'Калькуляция (5.9)'!$G$25:$G$192,$G52)))</f>
        <v>0</v>
      </c>
      <c r="AE52" s="145">
        <f>IF(method_reg="Метод экономически обоснованных расходов",_xlfn.SUMIFS('Калькуляция (4.6)'!AK$25:AK$229,'Калькуляция (4.6)'!$F$25:$F$229,$F52,'Калькуляция (4.6)'!$G$25:$G$229,$G52),IF(method_reg="Метод сравнения аналогов",_xlfn.SUMIFS(INDEX('Калькуляция (МСА)'!$AE$25:$BC$109,,MATCH(AE$8,'Калькуляция (МСА)'!$AE$8:$BC$8,0)),'Калькуляция (МСА)'!$F$25:$F$109,$F52,'Калькуляция (МСА)'!$G$25:$G$109,$G52),_xlfn.SUMIFS(INDEX('Калькуляция (5.9)'!$AJ$25:$BC$192,,MATCH(AE$8,'Калькуляция (5.9)'!$AJ$8:$BC$8,0)),'Калькуляция (5.9)'!$F$25:$F$192,$F52,'Калькуляция (5.9)'!$G$25:$G$192,$G52)))</f>
        <v>0</v>
      </c>
      <c r="AF52" s="397">
        <f>IF(AD52=0,0,(AE52-AD52)/AD52*100)</f>
        <v>0</v>
      </c>
      <c r="AG52" s="413">
        <f>IF(method_reg="Метод сравнения аналогов",_xlfn.SUMIFS(INDEX('Калькуляция (МСА)'!$AE$25:$BC$109,,MATCH(AG$8,'Калькуляция (МСА)'!$AE$8:$BC$8,0)),'Калькуляция (МСА)'!$F$25:$F$109,$F52,'Калькуляция (МСА)'!$G$25:$G$109,$G52),_xlfn.SUMIFS(INDEX('Калькуляция (5.9)'!$AJ$25:$BC$192,,MATCH(AG$8,'Калькуляция (5.9)'!$AJ$8:$BC$8,0)),'Калькуляция (5.9)'!$F$25:$F$192,$F52,'Калькуляция (5.9)'!$G$25:$G$192,$G52))</f>
        <v>0</v>
      </c>
      <c r="AH52" s="413">
        <f>IF(method_reg="Метод сравнения аналогов",_xlfn.SUMIFS(INDEX('Калькуляция (МСА)'!$AE$25:$BC$109,,MATCH(AH$8,'Калькуляция (МСА)'!$AE$8:$BC$8,0)),'Калькуляция (МСА)'!$F$25:$F$109,$F52,'Калькуляция (МСА)'!$G$25:$G$109,$G52),_xlfn.SUMIFS(INDEX('Калькуляция (5.9)'!$AJ$25:$BC$192,,MATCH(AH$8,'Калькуляция (5.9)'!$AJ$8:$BC$8,0)),'Калькуляция (5.9)'!$F$25:$F$192,$F52,'Калькуляция (5.9)'!$G$25:$G$192,$G52))</f>
        <v>0</v>
      </c>
      <c r="AI52" s="397">
        <f>IF(AG52=0,0,(AH52-AG52)/AG52*100)</f>
        <v>0</v>
      </c>
      <c r="AJ52" s="413">
        <f>IF(method_reg="Метод сравнения аналогов",_xlfn.SUMIFS(INDEX('Калькуляция (МСА)'!$AE$25:$BC$109,,MATCH(AJ$8,'Калькуляция (МСА)'!$AE$8:$BC$8,0)),'Калькуляция (МСА)'!$F$25:$F$109,$F52,'Калькуляция (МСА)'!$G$25:$G$109,$G52),_xlfn.SUMIFS(INDEX('Калькуляция (5.9)'!$AJ$25:$BC$192,,MATCH(AJ$8,'Калькуляция (5.9)'!$AJ$8:$BC$8,0)),'Калькуляция (5.9)'!$F$25:$F$192,$F52,'Калькуляция (5.9)'!$G$25:$G$192,$G52))</f>
        <v>0</v>
      </c>
      <c r="AK52" s="413">
        <f>IF(method_reg="Метод сравнения аналогов",_xlfn.SUMIFS(INDEX('Калькуляция (МСА)'!$AE$25:$BC$109,,MATCH(AK$8,'Калькуляция (МСА)'!$AE$8:$BC$8,0)),'Калькуляция (МСА)'!$F$25:$F$109,$F52,'Калькуляция (МСА)'!$G$25:$G$109,$G52),_xlfn.SUMIFS(INDEX('Калькуляция (5.9)'!$AJ$25:$BC$192,,MATCH(AK$8,'Калькуляция (5.9)'!$AJ$8:$BC$8,0)),'Калькуляция (5.9)'!$F$25:$F$192,$F52,'Калькуляция (5.9)'!$G$25:$G$192,$G52))</f>
        <v>0</v>
      </c>
      <c r="AL52" s="397">
        <f>IF(AJ52=0,0,(AK52-AJ52)/AJ52*100)</f>
        <v>0</v>
      </c>
      <c r="AM52" s="413">
        <f>IF(method_reg="Метод сравнения аналогов",_xlfn.SUMIFS(INDEX('Калькуляция (МСА)'!$AE$25:$BC$109,,MATCH(AM$8,'Калькуляция (МСА)'!$AE$8:$BC$8,0)),'Калькуляция (МСА)'!$F$25:$F$109,$F52,'Калькуляция (МСА)'!$G$25:$G$109,$G52),_xlfn.SUMIFS(INDEX('Калькуляция (5.9)'!$AJ$25:$BC$192,,MATCH(AM$8,'Калькуляция (5.9)'!$AJ$8:$BC$8,0)),'Калькуляция (5.9)'!$F$25:$F$192,$F52,'Калькуляция (5.9)'!$G$25:$G$192,$G52))</f>
        <v>0</v>
      </c>
      <c r="AN52" s="413">
        <f>IF(method_reg="Метод сравнения аналогов",_xlfn.SUMIFS(INDEX('Калькуляция (МСА)'!$AE$25:$BC$109,,MATCH(AN$8,'Калькуляция (МСА)'!$AE$8:$BC$8,0)),'Калькуляция (МСА)'!$F$25:$F$109,$F52,'Калькуляция (МСА)'!$G$25:$G$109,$G52),_xlfn.SUMIFS(INDEX('Калькуляция (5.9)'!$AJ$25:$BC$192,,MATCH(AN$8,'Калькуляция (5.9)'!$AJ$8:$BC$8,0)),'Калькуляция (5.9)'!$F$25:$F$192,$F52,'Калькуляция (5.9)'!$G$25:$G$192,$G52))</f>
        <v>0</v>
      </c>
      <c r="AO52" s="397">
        <f>IF(AM52=0,0,(AN52-AM52)/AM52*100)</f>
        <v>0</v>
      </c>
      <c r="AP52" s="413">
        <f>IF(method_reg="Метод сравнения аналогов",_xlfn.SUMIFS(INDEX('Калькуляция (МСА)'!$AE$25:$BC$109,,MATCH(AP$8,'Калькуляция (МСА)'!$AE$8:$BC$8,0)),'Калькуляция (МСА)'!$F$25:$F$109,$F52,'Калькуляция (МСА)'!$G$25:$G$109,$G52),_xlfn.SUMIFS(INDEX('Калькуляция (5.9)'!$AJ$25:$BC$192,,MATCH(AP$8,'Калькуляция (5.9)'!$AJ$8:$BC$8,0)),'Калькуляция (5.9)'!$F$25:$F$192,$F52,'Калькуляция (5.9)'!$G$25:$G$192,$G52))</f>
        <v>0</v>
      </c>
      <c r="AQ52" s="413">
        <f>IF(method_reg="Метод сравнения аналогов",_xlfn.SUMIFS(INDEX('Калькуляция (МСА)'!$AE$25:$BC$109,,MATCH(AQ$8,'Калькуляция (МСА)'!$AE$8:$BC$8,0)),'Калькуляция (МСА)'!$F$25:$F$109,$F52,'Калькуляция (МСА)'!$G$25:$G$109,$G52),_xlfn.SUMIFS(INDEX('Калькуляция (5.9)'!$AJ$25:$BC$192,,MATCH(AQ$8,'Калькуляция (5.9)'!$AJ$8:$BC$8,0)),'Калькуляция (5.9)'!$F$25:$F$192,$F52,'Калькуляция (5.9)'!$G$25:$G$192,$G52))</f>
        <v>0</v>
      </c>
      <c r="AR52" s="397">
        <f>IF(AP52=0,0,(AQ52-AP52)/AP52*100)</f>
        <v>0</v>
      </c>
      <c r="AS52" s="145">
        <f>IF(method_reg="Метод сравнения аналогов",_xlfn.SUMIFS(INDEX('Калькуляция (МСА)'!$AE$25:$BC$109,,MATCH(AS$8,'Калькуляция (МСА)'!$AE$8:$BC$8,0)),'Калькуляция (МСА)'!$F$25:$F$109,$F52,'Калькуляция (МСА)'!$G$25:$G$109,$G52),_xlfn.SUMIFS(INDEX('Калькуляция (5.9)'!$AJ$25:$BC$192,,MATCH(AS$8,'Калькуляция (5.9)'!$AJ$8:$BC$8,0)),'Калькуляция (5.9)'!$F$25:$F$192,$F52,'Калькуляция (5.9)'!$G$25:$G$192,$G52))</f>
        <v>0</v>
      </c>
      <c r="AT52" s="145">
        <f>IF(method_reg="Метод сравнения аналогов",_xlfn.SUMIFS(INDEX('Калькуляция (МСА)'!$AE$25:$BC$109,,MATCH(AT$8,'Калькуляция (МСА)'!$AE$8:$BC$8,0)),'Калькуляция (МСА)'!$F$25:$F$109,$F52,'Калькуляция (МСА)'!$G$25:$G$109,$G52),_xlfn.SUMIFS(INDEX('Калькуляция (5.9)'!$AJ$25:$BC$192,,MATCH(AT$8,'Калькуляция (5.9)'!$AJ$8:$BC$8,0)),'Калькуляция (5.9)'!$F$25:$F$192,$F52,'Калькуляция (5.9)'!$G$25:$G$192,$G52))</f>
        <v>0</v>
      </c>
      <c r="AU52" s="397">
        <f>IF(AS52=0,0,(AT52-AS52)/AS52*100)</f>
        <v>0</v>
      </c>
      <c r="AV52" s="145">
        <f>IF(method_reg="Метод сравнения аналогов",_xlfn.SUMIFS(INDEX('Калькуляция (МСА)'!$AE$25:$BC$109,,MATCH(AV$8,'Калькуляция (МСА)'!$AE$8:$BC$8,0)),'Калькуляция (МСА)'!$F$25:$F$109,$F52,'Калькуляция (МСА)'!$G$25:$G$109,$G52),_xlfn.SUMIFS(INDEX('Калькуляция (5.9)'!$AJ$25:$BC$192,,MATCH(AV$8,'Калькуляция (5.9)'!$AJ$8:$BC$8,0)),'Калькуляция (5.9)'!$F$25:$F$192,$F52,'Калькуляция (5.9)'!$G$25:$G$192,$G52))</f>
        <v>0</v>
      </c>
      <c r="AW52" s="145">
        <f>IF(method_reg="Метод сравнения аналогов",_xlfn.SUMIFS(INDEX('Калькуляция (МСА)'!$AE$25:$BC$109,,MATCH(AW$8,'Калькуляция (МСА)'!$AE$8:$BC$8,0)),'Калькуляция (МСА)'!$F$25:$F$109,$F52,'Калькуляция (МСА)'!$G$25:$G$109,$G52),_xlfn.SUMIFS(INDEX('Калькуляция (5.9)'!$AJ$25:$BC$192,,MATCH(AW$8,'Калькуляция (5.9)'!$AJ$8:$BC$8,0)),'Калькуляция (5.9)'!$F$25:$F$192,$F52,'Калькуляция (5.9)'!$G$25:$G$192,$G52))</f>
        <v>0</v>
      </c>
      <c r="AX52" s="397">
        <f>IF(AV52=0,0,(AW52-AV52)/AV52*100)</f>
        <v>0</v>
      </c>
      <c r="AY52" s="145">
        <f>IF(method_reg="Метод сравнения аналогов",_xlfn.SUMIFS(INDEX('Калькуляция (МСА)'!$AE$25:$BC$109,,MATCH(AY$8,'Калькуляция (МСА)'!$AE$8:$BC$8,0)),'Калькуляция (МСА)'!$F$25:$F$109,$F52,'Калькуляция (МСА)'!$G$25:$G$109,$G52),_xlfn.SUMIFS(INDEX('Калькуляция (5.9)'!$AJ$25:$BC$192,,MATCH(AY$8,'Калькуляция (5.9)'!$AJ$8:$BC$8,0)),'Калькуляция (5.9)'!$F$25:$F$192,$F52,'Калькуляция (5.9)'!$G$25:$G$192,$G52))</f>
        <v>0</v>
      </c>
      <c r="AZ52" s="145">
        <f>IF(method_reg="Метод сравнения аналогов",_xlfn.SUMIFS(INDEX('Калькуляция (МСА)'!$AE$25:$BC$109,,MATCH(AZ$8,'Калькуляция (МСА)'!$AE$8:$BC$8,0)),'Калькуляция (МСА)'!$F$25:$F$109,$F52,'Калькуляция (МСА)'!$G$25:$G$109,$G52),_xlfn.SUMIFS(INDEX('Калькуляция (5.9)'!$AJ$25:$BC$192,,MATCH(AZ$8,'Калькуляция (5.9)'!$AJ$8:$BC$8,0)),'Калькуляция (5.9)'!$F$25:$F$192,$F52,'Калькуляция (5.9)'!$G$25:$G$192,$G52))</f>
        <v>0</v>
      </c>
      <c r="BA52" s="397">
        <f>IF(AY52=0,0,(AZ52-AY52)/AY52*100)</f>
        <v>0</v>
      </c>
      <c r="BB52" s="145">
        <f>IF(method_reg="Метод сравнения аналогов",_xlfn.SUMIFS(INDEX('Калькуляция (МСА)'!$AE$25:$BC$109,,MATCH(BB$8,'Калькуляция (МСА)'!$AE$8:$BC$8,0)),'Калькуляция (МСА)'!$F$25:$F$109,$F52,'Калькуляция (МСА)'!$G$25:$G$109,$G52),_xlfn.SUMIFS(INDEX('Калькуляция (5.9)'!$AJ$25:$BC$192,,MATCH(BB$8,'Калькуляция (5.9)'!$AJ$8:$BC$8,0)),'Калькуляция (5.9)'!$F$25:$F$192,$F52,'Калькуляция (5.9)'!$G$25:$G$192,$G52))</f>
        <v>0</v>
      </c>
      <c r="BC52" s="145">
        <f>IF(method_reg="Метод сравнения аналогов",_xlfn.SUMIFS(INDEX('Калькуляция (МСА)'!$AE$25:$BC$109,,MATCH(BC$8,'Калькуляция (МСА)'!$AE$8:$BC$8,0)),'Калькуляция (МСА)'!$F$25:$F$109,$F52,'Калькуляция (МСА)'!$G$25:$G$109,$G52),_xlfn.SUMIFS(INDEX('Калькуляция (5.9)'!$AJ$25:$BC$192,,MATCH(BC$8,'Калькуляция (5.9)'!$AJ$8:$BC$8,0)),'Калькуляция (5.9)'!$F$25:$F$192,$F52,'Калькуляция (5.9)'!$G$25:$G$192,$G52))</f>
        <v>0</v>
      </c>
      <c r="BD52" s="397">
        <f>IF(BB52=0,0,(BC52-BB52)/BB52*100)</f>
        <v>0</v>
      </c>
      <c r="BE52" s="145">
        <f>IF(method_reg="Метод сравнения аналогов",_xlfn.SUMIFS(INDEX('Калькуляция (МСА)'!$AE$25:$BC$109,,MATCH(BE$8,'Калькуляция (МСА)'!$AE$8:$BC$8,0)),'Калькуляция (МСА)'!$F$25:$F$109,$F52,'Калькуляция (МСА)'!$G$25:$G$109,$G52),_xlfn.SUMIFS(INDEX('Калькуляция (5.9)'!$AJ$25:$BC$192,,MATCH(BE$8,'Калькуляция (5.9)'!$AJ$8:$BC$8,0)),'Калькуляция (5.9)'!$F$25:$F$192,$F52,'Калькуляция (5.9)'!$G$25:$G$192,$G52))</f>
        <v>0</v>
      </c>
      <c r="BF52" s="145">
        <f>IF(method_reg="Метод сравнения аналогов",_xlfn.SUMIFS(INDEX('Калькуляция (МСА)'!$AE$25:$BC$109,,MATCH(BF$8,'Калькуляция (МСА)'!$AE$8:$BC$8,0)),'Калькуляция (МСА)'!$F$25:$F$109,$F52,'Калькуляция (МСА)'!$G$25:$G$109,$G52),_xlfn.SUMIFS(INDEX('Калькуляция (5.9)'!$AJ$25:$BC$192,,MATCH(BF$8,'Калькуляция (5.9)'!$AJ$8:$BC$8,0)),'Калькуляция (5.9)'!$F$25:$F$192,$F52,'Калькуляция (5.9)'!$G$25:$G$192,$G52))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2148</v>
      </c>
      <c r="GA52" s="1181"/>
      <c r="GB52" s="1181"/>
      <c r="GC52" s="1181"/>
      <c r="GD52" s="1181"/>
    </row>
    <row customHeight="1" ht="30.712500000000002" hidden="1">
      <c r="B53" s="961" cm="1" t="str">
        <f t="array" ref="B53:B53">B52</f>
        <v>false</v>
      </c>
      <c r="C53" s="1322" t="s">
        <v>1775</v>
      </c>
      <c r="D53" s="1291" t="s">
        <v>1776</v>
      </c>
      <c r="E53" s="794">
        <v>31.5</v>
      </c>
      <c r="F53" s="919" cm="1" t="str">
        <f t="array" ref="F53:F53">OFFSET(G53,-1,-1)</f>
        <v>0</v>
      </c>
      <c r="G53" s="736" t="s">
        <v>1777</v>
      </c>
      <c r="H53" s="210" t="s">
        <v>2149</v>
      </c>
      <c r="I53" s="210" t="s">
        <v>2088</v>
      </c>
      <c r="J53" s="1312"/>
      <c r="K53" s="1312" cm="1" t="str">
        <f t="array" ref="K53:K53">OFFSET(J53,-1,1)</f>
        <v>0</v>
      </c>
      <c r="L53" s="1312"/>
      <c r="M53" s="1312" t="s">
        <v>1724</v>
      </c>
      <c r="N53" s="1312" t="s">
        <v>2091</v>
      </c>
      <c r="O53" s="1313" t="s">
        <v>2092</v>
      </c>
      <c r="P53" s="1312" t="s">
        <v>2150</v>
      </c>
      <c r="Q53" s="1312"/>
      <c r="T53" s="805" cm="1" t="str">
        <f t="array" ref="T53:T53">T52</f>
        <v>false</v>
      </c>
      <c r="AB53" s="273" t="s">
        <v>2151</v>
      </c>
      <c r="AC53" s="517" t="s">
        <v>1779</v>
      </c>
      <c r="AD53" s="66">
        <f>IF(method_reg="Метод экономически обоснованных расходов",_xlfn.SUMIFS('Калькуляция (4.6)'!AJ$25:AJ$229,'Калькуляция (4.6)'!$F$25:$F$229,$F53,'Калькуляция (4.6)'!$G$25:$G$229,$G53),IF(method_reg="Метод сравнения аналогов",_xlfn.SUMIFS(INDEX('Калькуляция (МСА)'!$AE$25:$BC$109,,MATCH(AD$8,'Калькуляция (МСА)'!$AE$8:$BC$8,0)),'Калькуляция (МСА)'!$F$25:$F$109,$F53,'Калькуляция (МСА)'!$G$25:$G$109,$G53),_xlfn.SUMIFS(INDEX('Калькуляция (5.9)'!$AJ$25:$BC$192,,MATCH(AD$8,'Калькуляция (5.9)'!$AJ$8:$BC$8,0)),'Калькуляция (5.9)'!$F$25:$F$192,$F53,'Калькуляция (5.9)'!$G$25:$G$192,$G53)))</f>
        <v>0</v>
      </c>
      <c r="AE53" s="66">
        <f>IF(method_reg="Метод экономически обоснованных расходов",_xlfn.SUMIFS('Калькуляция (4.6)'!AK$25:AK$229,'Калькуляция (4.6)'!$F$25:$F$229,$F53,'Калькуляция (4.6)'!$G$25:$G$229,$G53),IF(method_reg="Метод сравнения аналогов",_xlfn.SUMIFS(INDEX('Калькуляция (МСА)'!$AE$25:$BC$109,,MATCH(AE$8,'Калькуляция (МСА)'!$AE$8:$BC$8,0)),'Калькуляция (МСА)'!$F$25:$F$109,$F53,'Калькуляция (МСА)'!$G$25:$G$109,$G53),_xlfn.SUMIFS(INDEX('Калькуляция (5.9)'!$AJ$25:$BC$192,,MATCH(AE$8,'Калькуляция (5.9)'!$AJ$8:$BC$8,0)),'Калькуляция (5.9)'!$F$25:$F$192,$F53,'Калькуляция (5.9)'!$G$25:$G$192,$G53)))</f>
        <v>0</v>
      </c>
      <c r="AF53" s="365">
        <f>IF(AD53=0,0,(AE53-AD53)/AD53*100)</f>
        <v>0</v>
      </c>
      <c r="AG53" s="366">
        <f>IF(method_reg="Метод сравнения аналогов",_xlfn.SUMIFS(INDEX('Калькуляция (МСА)'!$AE$25:$BC$109,,MATCH(AG$8,'Калькуляция (МСА)'!$AE$8:$BC$8,0)),'Калькуляция (МСА)'!$F$25:$F$109,$F53,'Калькуляция (МСА)'!$G$25:$G$109,$G53),_xlfn.SUMIFS(INDEX('Калькуляция (5.9)'!$AJ$25:$BC$192,,MATCH(AG$8,'Калькуляция (5.9)'!$AJ$8:$BC$8,0)),'Калькуляция (5.9)'!$F$25:$F$192,$F53,'Калькуляция (5.9)'!$G$25:$G$192,$G53))</f>
        <v>0</v>
      </c>
      <c r="AH53" s="366">
        <f>IF(method_reg="Метод сравнения аналогов",_xlfn.SUMIFS(INDEX('Калькуляция (МСА)'!$AE$25:$BC$109,,MATCH(AH$8,'Калькуляция (МСА)'!$AE$8:$BC$8,0)),'Калькуляция (МСА)'!$F$25:$F$109,$F53,'Калькуляция (МСА)'!$G$25:$G$109,$G53),_xlfn.SUMIFS(INDEX('Калькуляция (5.9)'!$AJ$25:$BC$192,,MATCH(AH$8,'Калькуляция (5.9)'!$AJ$8:$BC$8,0)),'Калькуляция (5.9)'!$F$25:$F$192,$F53,'Калькуляция (5.9)'!$G$25:$G$192,$G53))</f>
        <v>0</v>
      </c>
      <c r="AI53" s="365">
        <f>IF(AG53=0,0,(AH53-AG53)/AG53*100)</f>
        <v>0</v>
      </c>
      <c r="AJ53" s="366">
        <f>IF(method_reg="Метод сравнения аналогов",_xlfn.SUMIFS(INDEX('Калькуляция (МСА)'!$AE$25:$BC$109,,MATCH(AJ$8,'Калькуляция (МСА)'!$AE$8:$BC$8,0)),'Калькуляция (МСА)'!$F$25:$F$109,$F53,'Калькуляция (МСА)'!$G$25:$G$109,$G53),_xlfn.SUMIFS(INDEX('Калькуляция (5.9)'!$AJ$25:$BC$192,,MATCH(AJ$8,'Калькуляция (5.9)'!$AJ$8:$BC$8,0)),'Калькуляция (5.9)'!$F$25:$F$192,$F53,'Калькуляция (5.9)'!$G$25:$G$192,$G53))</f>
        <v>0</v>
      </c>
      <c r="AK53" s="366">
        <f>IF(method_reg="Метод сравнения аналогов",_xlfn.SUMIFS(INDEX('Калькуляция (МСА)'!$AE$25:$BC$109,,MATCH(AK$8,'Калькуляция (МСА)'!$AE$8:$BC$8,0)),'Калькуляция (МСА)'!$F$25:$F$109,$F53,'Калькуляция (МСА)'!$G$25:$G$109,$G53),_xlfn.SUMIFS(INDEX('Калькуляция (5.9)'!$AJ$25:$BC$192,,MATCH(AK$8,'Калькуляция (5.9)'!$AJ$8:$BC$8,0)),'Калькуляция (5.9)'!$F$25:$F$192,$F53,'Калькуляция (5.9)'!$G$25:$G$192,$G53))</f>
        <v>0</v>
      </c>
      <c r="AL53" s="365">
        <f>IF(AJ53=0,0,(AK53-AJ53)/AJ53*100)</f>
        <v>0</v>
      </c>
      <c r="AM53" s="366">
        <f>IF(method_reg="Метод сравнения аналогов",_xlfn.SUMIFS(INDEX('Калькуляция (МСА)'!$AE$25:$BC$109,,MATCH(AM$8,'Калькуляция (МСА)'!$AE$8:$BC$8,0)),'Калькуляция (МСА)'!$F$25:$F$109,$F53,'Калькуляция (МСА)'!$G$25:$G$109,$G53),_xlfn.SUMIFS(INDEX('Калькуляция (5.9)'!$AJ$25:$BC$192,,MATCH(AM$8,'Калькуляция (5.9)'!$AJ$8:$BC$8,0)),'Калькуляция (5.9)'!$F$25:$F$192,$F53,'Калькуляция (5.9)'!$G$25:$G$192,$G53))</f>
        <v>0</v>
      </c>
      <c r="AN53" s="366">
        <f>IF(method_reg="Метод сравнения аналогов",_xlfn.SUMIFS(INDEX('Калькуляция (МСА)'!$AE$25:$BC$109,,MATCH(AN$8,'Калькуляция (МСА)'!$AE$8:$BC$8,0)),'Калькуляция (МСА)'!$F$25:$F$109,$F53,'Калькуляция (МСА)'!$G$25:$G$109,$G53),_xlfn.SUMIFS(INDEX('Калькуляция (5.9)'!$AJ$25:$BC$192,,MATCH(AN$8,'Калькуляция (5.9)'!$AJ$8:$BC$8,0)),'Калькуляция (5.9)'!$F$25:$F$192,$F53,'Калькуляция (5.9)'!$G$25:$G$192,$G53))</f>
        <v>0</v>
      </c>
      <c r="AO53" s="365">
        <f>IF(AM53=0,0,(AN53-AM53)/AM53*100)</f>
        <v>0</v>
      </c>
      <c r="AP53" s="366">
        <f>IF(method_reg="Метод сравнения аналогов",_xlfn.SUMIFS(INDEX('Калькуляция (МСА)'!$AE$25:$BC$109,,MATCH(AP$8,'Калькуляция (МСА)'!$AE$8:$BC$8,0)),'Калькуляция (МСА)'!$F$25:$F$109,$F53,'Калькуляция (МСА)'!$G$25:$G$109,$G53),_xlfn.SUMIFS(INDEX('Калькуляция (5.9)'!$AJ$25:$BC$192,,MATCH(AP$8,'Калькуляция (5.9)'!$AJ$8:$BC$8,0)),'Калькуляция (5.9)'!$F$25:$F$192,$F53,'Калькуляция (5.9)'!$G$25:$G$192,$G53))</f>
        <v>0</v>
      </c>
      <c r="AQ53" s="366">
        <f>IF(method_reg="Метод сравнения аналогов",_xlfn.SUMIFS(INDEX('Калькуляция (МСА)'!$AE$25:$BC$109,,MATCH(AQ$8,'Калькуляция (МСА)'!$AE$8:$BC$8,0)),'Калькуляция (МСА)'!$F$25:$F$109,$F53,'Калькуляция (МСА)'!$G$25:$G$109,$G53),_xlfn.SUMIFS(INDEX('Калькуляция (5.9)'!$AJ$25:$BC$192,,MATCH(AQ$8,'Калькуляция (5.9)'!$AJ$8:$BC$8,0)),'Калькуляция (5.9)'!$F$25:$F$192,$F53,'Калькуляция (5.9)'!$G$25:$G$192,$G53))</f>
        <v>0</v>
      </c>
      <c r="AR53" s="365">
        <f>IF(AP53=0,0,(AQ53-AP53)/AP53*100)</f>
        <v>0</v>
      </c>
      <c r="AS53" s="66">
        <f>IF(method_reg="Метод сравнения аналогов",_xlfn.SUMIFS(INDEX('Калькуляция (МСА)'!$AE$25:$BC$109,,MATCH(AS$8,'Калькуляция (МСА)'!$AE$8:$BC$8,0)),'Калькуляция (МСА)'!$F$25:$F$109,$F53,'Калькуляция (МСА)'!$G$25:$G$109,$G53),_xlfn.SUMIFS(INDEX('Калькуляция (5.9)'!$AJ$25:$BC$192,,MATCH(AS$8,'Калькуляция (5.9)'!$AJ$8:$BC$8,0)),'Калькуляция (5.9)'!$F$25:$F$192,$F53,'Калькуляция (5.9)'!$G$25:$G$192,$G53))</f>
        <v>0</v>
      </c>
      <c r="AT53" s="66">
        <f>IF(method_reg="Метод сравнения аналогов",_xlfn.SUMIFS(INDEX('Калькуляция (МСА)'!$AE$25:$BC$109,,MATCH(AT$8,'Калькуляция (МСА)'!$AE$8:$BC$8,0)),'Калькуляция (МСА)'!$F$25:$F$109,$F53,'Калькуляция (МСА)'!$G$25:$G$109,$G53),_xlfn.SUMIFS(INDEX('Калькуляция (5.9)'!$AJ$25:$BC$192,,MATCH(AT$8,'Калькуляция (5.9)'!$AJ$8:$BC$8,0)),'Калькуляция (5.9)'!$F$25:$F$192,$F53,'Калькуляция (5.9)'!$G$25:$G$192,$G53))</f>
        <v>0</v>
      </c>
      <c r="AU53" s="365">
        <f>IF(AS53=0,0,(AT53-AS53)/AS53*100)</f>
        <v>0</v>
      </c>
      <c r="AV53" s="66">
        <f>IF(method_reg="Метод сравнения аналогов",_xlfn.SUMIFS(INDEX('Калькуляция (МСА)'!$AE$25:$BC$109,,MATCH(AV$8,'Калькуляция (МСА)'!$AE$8:$BC$8,0)),'Калькуляция (МСА)'!$F$25:$F$109,$F53,'Калькуляция (МСА)'!$G$25:$G$109,$G53),_xlfn.SUMIFS(INDEX('Калькуляция (5.9)'!$AJ$25:$BC$192,,MATCH(AV$8,'Калькуляция (5.9)'!$AJ$8:$BC$8,0)),'Калькуляция (5.9)'!$F$25:$F$192,$F53,'Калькуляция (5.9)'!$G$25:$G$192,$G53))</f>
        <v>0</v>
      </c>
      <c r="AW53" s="66">
        <f>IF(method_reg="Метод сравнения аналогов",_xlfn.SUMIFS(INDEX('Калькуляция (МСА)'!$AE$25:$BC$109,,MATCH(AW$8,'Калькуляция (МСА)'!$AE$8:$BC$8,0)),'Калькуляция (МСА)'!$F$25:$F$109,$F53,'Калькуляция (МСА)'!$G$25:$G$109,$G53),_xlfn.SUMIFS(INDEX('Калькуляция (5.9)'!$AJ$25:$BC$192,,MATCH(AW$8,'Калькуляция (5.9)'!$AJ$8:$BC$8,0)),'Калькуляция (5.9)'!$F$25:$F$192,$F53,'Калькуляция (5.9)'!$G$25:$G$192,$G53))</f>
        <v>0</v>
      </c>
      <c r="AX53" s="365">
        <f>IF(AV53=0,0,(AW53-AV53)/AV53*100)</f>
        <v>0</v>
      </c>
      <c r="AY53" s="66">
        <f>IF(method_reg="Метод сравнения аналогов",_xlfn.SUMIFS(INDEX('Калькуляция (МСА)'!$AE$25:$BC$109,,MATCH(AY$8,'Калькуляция (МСА)'!$AE$8:$BC$8,0)),'Калькуляция (МСА)'!$F$25:$F$109,$F53,'Калькуляция (МСА)'!$G$25:$G$109,$G53),_xlfn.SUMIFS(INDEX('Калькуляция (5.9)'!$AJ$25:$BC$192,,MATCH(AY$8,'Калькуляция (5.9)'!$AJ$8:$BC$8,0)),'Калькуляция (5.9)'!$F$25:$F$192,$F53,'Калькуляция (5.9)'!$G$25:$G$192,$G53))</f>
        <v>0</v>
      </c>
      <c r="AZ53" s="66">
        <f>IF(method_reg="Метод сравнения аналогов",_xlfn.SUMIFS(INDEX('Калькуляция (МСА)'!$AE$25:$BC$109,,MATCH(AZ$8,'Калькуляция (МСА)'!$AE$8:$BC$8,0)),'Калькуляция (МСА)'!$F$25:$F$109,$F53,'Калькуляция (МСА)'!$G$25:$G$109,$G53),_xlfn.SUMIFS(INDEX('Калькуляция (5.9)'!$AJ$25:$BC$192,,MATCH(AZ$8,'Калькуляция (5.9)'!$AJ$8:$BC$8,0)),'Калькуляция (5.9)'!$F$25:$F$192,$F53,'Калькуляция (5.9)'!$G$25:$G$192,$G53))</f>
        <v>0</v>
      </c>
      <c r="BA53" s="365">
        <f>IF(AY53=0,0,(AZ53-AY53)/AY53*100)</f>
        <v>0</v>
      </c>
      <c r="BB53" s="66">
        <f>IF(method_reg="Метод сравнения аналогов",_xlfn.SUMIFS(INDEX('Калькуляция (МСА)'!$AE$25:$BC$109,,MATCH(BB$8,'Калькуляция (МСА)'!$AE$8:$BC$8,0)),'Калькуляция (МСА)'!$F$25:$F$109,$F53,'Калькуляция (МСА)'!$G$25:$G$109,$G53),_xlfn.SUMIFS(INDEX('Калькуляция (5.9)'!$AJ$25:$BC$192,,MATCH(BB$8,'Калькуляция (5.9)'!$AJ$8:$BC$8,0)),'Калькуляция (5.9)'!$F$25:$F$192,$F53,'Калькуляция (5.9)'!$G$25:$G$192,$G53))</f>
        <v>0</v>
      </c>
      <c r="BC53" s="66">
        <f>IF(method_reg="Метод сравнения аналогов",_xlfn.SUMIFS(INDEX('Калькуляция (МСА)'!$AE$25:$BC$109,,MATCH(BC$8,'Калькуляция (МСА)'!$AE$8:$BC$8,0)),'Калькуляция (МСА)'!$F$25:$F$109,$F53,'Калькуляция (МСА)'!$G$25:$G$109,$G53),_xlfn.SUMIFS(INDEX('Калькуляция (5.9)'!$AJ$25:$BC$192,,MATCH(BC$8,'Калькуляция (5.9)'!$AJ$8:$BC$8,0)),'Калькуляция (5.9)'!$F$25:$F$192,$F53,'Калькуляция (5.9)'!$G$25:$G$192,$G53))</f>
        <v>0</v>
      </c>
      <c r="BD53" s="365">
        <f>IF(BB53=0,0,(BC53-BB53)/BB53*100)</f>
        <v>0</v>
      </c>
      <c r="BE53" s="66">
        <f>IF(method_reg="Метод сравнения аналогов",_xlfn.SUMIFS(INDEX('Калькуляция (МСА)'!$AE$25:$BC$109,,MATCH(BE$8,'Калькуляция (МСА)'!$AE$8:$BC$8,0)),'Калькуляция (МСА)'!$F$25:$F$109,$F53,'Калькуляция (МСА)'!$G$25:$G$109,$G53),_xlfn.SUMIFS(INDEX('Калькуляция (5.9)'!$AJ$25:$BC$192,,MATCH(BE$8,'Калькуляция (5.9)'!$AJ$8:$BC$8,0)),'Калькуляция (5.9)'!$F$25:$F$192,$F53,'Калькуляция (5.9)'!$G$25:$G$192,$G53))</f>
        <v>0</v>
      </c>
      <c r="BF53" s="66">
        <f>IF(method_reg="Метод сравнения аналогов",_xlfn.SUMIFS(INDEX('Калькуляция (МСА)'!$AE$25:$BC$109,,MATCH(BF$8,'Калькуляция (МСА)'!$AE$8:$BC$8,0)),'Калькуляция (МСА)'!$F$25:$F$109,$F53,'Калькуляция (МСА)'!$G$25:$G$109,$G53),_xlfn.SUMIFS(INDEX('Калькуляция (5.9)'!$AJ$25:$BC$192,,MATCH(BF$8,'Калькуляция (5.9)'!$AJ$8:$BC$8,0)),'Калькуляция (5.9)'!$F$25:$F$192,$F53,'Калькуляция (5.9)'!$G$25:$G$192,$G53))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2152</v>
      </c>
      <c r="GA53" s="1181"/>
      <c r="GB53" s="1181"/>
      <c r="GC53" s="1181"/>
      <c r="GD53" s="1181"/>
    </row>
    <row customHeight="1" ht="15.405000000000001" hidden="1">
      <c r="B54" s="961" cm="1" t="str">
        <f t="array" ref="B54:B54">B53</f>
        <v>false</v>
      </c>
      <c r="C54" s="1322" t="s">
        <v>1747</v>
      </c>
      <c r="D54" s="1291" t="s">
        <v>1748</v>
      </c>
      <c r="E54" s="794">
        <v>15.8</v>
      </c>
      <c r="F54" s="919" cm="1" t="str">
        <f t="array" ref="F54:F54">OFFSET(G54,-1,-1)</f>
        <v>0</v>
      </c>
      <c r="G54" s="736" t="s">
        <v>1751</v>
      </c>
      <c r="H54" s="210" t="s">
        <v>2153</v>
      </c>
      <c r="I54" s="210" t="s">
        <v>2088</v>
      </c>
      <c r="J54" s="1312"/>
      <c r="K54" s="1312" cm="1" t="str">
        <f t="array" ref="K54:K54">OFFSET(J54,-1,1)</f>
        <v>0</v>
      </c>
      <c r="L54" s="1312"/>
      <c r="M54" s="1312" t="s">
        <v>1724</v>
      </c>
      <c r="N54" s="1312" t="s">
        <v>2091</v>
      </c>
      <c r="O54" s="1313" t="s">
        <v>2092</v>
      </c>
      <c r="P54" s="1312" t="s">
        <v>2154</v>
      </c>
      <c r="Q54" s="1312"/>
      <c r="T54" s="805" cm="1" t="str">
        <f t="array" ref="T54:T54">T53</f>
        <v>false</v>
      </c>
      <c r="AB54" s="273" t="s">
        <v>2155</v>
      </c>
      <c r="AC54" s="664" t="s">
        <v>690</v>
      </c>
      <c r="AD54" s="66">
        <f>IF(method_reg="Метод экономически обоснованных расходов",_xlfn.SUMIFS('Калькуляция (4.6)'!AJ$25:AJ$229,'Калькуляция (4.6)'!$F$25:$F$229,$F54,'Калькуляция (4.6)'!$G$25:$G$229,$G54),IF(method_reg="Метод сравнения аналогов",_xlfn.SUMIFS(INDEX('Калькуляция (МСА)'!$AE$25:$BC$109,,MATCH(AD$8,'Калькуляция (МСА)'!$AE$8:$BC$8,0)),'Калькуляция (МСА)'!$F$25:$F$109,$F54,'Калькуляция (МСА)'!$G$25:$G$109,$G54),_xlfn.SUMIFS(INDEX('Калькуляция (5.9)'!$AJ$25:$BC$192,,MATCH(AD$8,'Калькуляция (5.9)'!$AJ$8:$BC$8,0)),'Калькуляция (5.9)'!$F$25:$F$192,$F54,'Калькуляция (5.9)'!$G$25:$G$192,$G54)))</f>
        <v>0</v>
      </c>
      <c r="AE54" s="66">
        <f>IF(method_reg="Метод экономически обоснованных расходов",_xlfn.SUMIFS('Калькуляция (4.6)'!AK$25:AK$229,'Калькуляция (4.6)'!$F$25:$F$229,$F54,'Калькуляция (4.6)'!$G$25:$G$229,$G54),IF(method_reg="Метод сравнения аналогов",_xlfn.SUMIFS(INDEX('Калькуляция (МСА)'!$AE$25:$BC$109,,MATCH(AE$8,'Калькуляция (МСА)'!$AE$8:$BC$8,0)),'Калькуляция (МСА)'!$F$25:$F$109,$F54,'Калькуляция (МСА)'!$G$25:$G$109,$G54),_xlfn.SUMIFS(INDEX('Калькуляция (5.9)'!$AJ$25:$BC$192,,MATCH(AE$8,'Калькуляция (5.9)'!$AJ$8:$BC$8,0)),'Калькуляция (5.9)'!$F$25:$F$192,$F54,'Калькуляция (5.9)'!$G$25:$G$192,$G54)))</f>
        <v>0</v>
      </c>
      <c r="AF54" s="365">
        <f>IF(AD54=0,0,(AE54-AD54)/AD54*100)</f>
        <v>0</v>
      </c>
      <c r="AG54" s="366">
        <f>IF(method_reg="Метод сравнения аналогов",_xlfn.SUMIFS(INDEX('Калькуляция (МСА)'!$AE$25:$BC$109,,MATCH(AG$8,'Калькуляция (МСА)'!$AE$8:$BC$8,0)),'Калькуляция (МСА)'!$F$25:$F$109,$F54,'Калькуляция (МСА)'!$G$25:$G$109,$G54),_xlfn.SUMIFS(INDEX('Калькуляция (5.9)'!$AJ$25:$BC$192,,MATCH(AG$8,'Калькуляция (5.9)'!$AJ$8:$BC$8,0)),'Калькуляция (5.9)'!$F$25:$F$192,$F54,'Калькуляция (5.9)'!$G$25:$G$192,$G54))</f>
        <v>0</v>
      </c>
      <c r="AH54" s="366">
        <f>IF(method_reg="Метод сравнения аналогов",_xlfn.SUMIFS(INDEX('Калькуляция (МСА)'!$AE$25:$BC$109,,MATCH(AH$8,'Калькуляция (МСА)'!$AE$8:$BC$8,0)),'Калькуляция (МСА)'!$F$25:$F$109,$F54,'Калькуляция (МСА)'!$G$25:$G$109,$G54),_xlfn.SUMIFS(INDEX('Калькуляция (5.9)'!$AJ$25:$BC$192,,MATCH(AH$8,'Калькуляция (5.9)'!$AJ$8:$BC$8,0)),'Калькуляция (5.9)'!$F$25:$F$192,$F54,'Калькуляция (5.9)'!$G$25:$G$192,$G54))</f>
        <v>0</v>
      </c>
      <c r="AI54" s="365">
        <f>IF(AG54=0,0,(AH54-AG54)/AG54*100)</f>
        <v>0</v>
      </c>
      <c r="AJ54" s="366">
        <f>IF(method_reg="Метод сравнения аналогов",_xlfn.SUMIFS(INDEX('Калькуляция (МСА)'!$AE$25:$BC$109,,MATCH(AJ$8,'Калькуляция (МСА)'!$AE$8:$BC$8,0)),'Калькуляция (МСА)'!$F$25:$F$109,$F54,'Калькуляция (МСА)'!$G$25:$G$109,$G54),_xlfn.SUMIFS(INDEX('Калькуляция (5.9)'!$AJ$25:$BC$192,,MATCH(AJ$8,'Калькуляция (5.9)'!$AJ$8:$BC$8,0)),'Калькуляция (5.9)'!$F$25:$F$192,$F54,'Калькуляция (5.9)'!$G$25:$G$192,$G54))</f>
        <v>0</v>
      </c>
      <c r="AK54" s="366">
        <f>IF(method_reg="Метод сравнения аналогов",_xlfn.SUMIFS(INDEX('Калькуляция (МСА)'!$AE$25:$BC$109,,MATCH(AK$8,'Калькуляция (МСА)'!$AE$8:$BC$8,0)),'Калькуляция (МСА)'!$F$25:$F$109,$F54,'Калькуляция (МСА)'!$G$25:$G$109,$G54),_xlfn.SUMIFS(INDEX('Калькуляция (5.9)'!$AJ$25:$BC$192,,MATCH(AK$8,'Калькуляция (5.9)'!$AJ$8:$BC$8,0)),'Калькуляция (5.9)'!$F$25:$F$192,$F54,'Калькуляция (5.9)'!$G$25:$G$192,$G54))</f>
        <v>0</v>
      </c>
      <c r="AL54" s="365">
        <f>IF(AJ54=0,0,(AK54-AJ54)/AJ54*100)</f>
        <v>0</v>
      </c>
      <c r="AM54" s="366">
        <f>IF(method_reg="Метод сравнения аналогов",_xlfn.SUMIFS(INDEX('Калькуляция (МСА)'!$AE$25:$BC$109,,MATCH(AM$8,'Калькуляция (МСА)'!$AE$8:$BC$8,0)),'Калькуляция (МСА)'!$F$25:$F$109,$F54,'Калькуляция (МСА)'!$G$25:$G$109,$G54),_xlfn.SUMIFS(INDEX('Калькуляция (5.9)'!$AJ$25:$BC$192,,MATCH(AM$8,'Калькуляция (5.9)'!$AJ$8:$BC$8,0)),'Калькуляция (5.9)'!$F$25:$F$192,$F54,'Калькуляция (5.9)'!$G$25:$G$192,$G54))</f>
        <v>0</v>
      </c>
      <c r="AN54" s="366">
        <f>IF(method_reg="Метод сравнения аналогов",_xlfn.SUMIFS(INDEX('Калькуляция (МСА)'!$AE$25:$BC$109,,MATCH(AN$8,'Калькуляция (МСА)'!$AE$8:$BC$8,0)),'Калькуляция (МСА)'!$F$25:$F$109,$F54,'Калькуляция (МСА)'!$G$25:$G$109,$G54),_xlfn.SUMIFS(INDEX('Калькуляция (5.9)'!$AJ$25:$BC$192,,MATCH(AN$8,'Калькуляция (5.9)'!$AJ$8:$BC$8,0)),'Калькуляция (5.9)'!$F$25:$F$192,$F54,'Калькуляция (5.9)'!$G$25:$G$192,$G54))</f>
        <v>0</v>
      </c>
      <c r="AO54" s="365">
        <f>IF(AM54=0,0,(AN54-AM54)/AM54*100)</f>
        <v>0</v>
      </c>
      <c r="AP54" s="366">
        <f>IF(method_reg="Метод сравнения аналогов",_xlfn.SUMIFS(INDEX('Калькуляция (МСА)'!$AE$25:$BC$109,,MATCH(AP$8,'Калькуляция (МСА)'!$AE$8:$BC$8,0)),'Калькуляция (МСА)'!$F$25:$F$109,$F54,'Калькуляция (МСА)'!$G$25:$G$109,$G54),_xlfn.SUMIFS(INDEX('Калькуляция (5.9)'!$AJ$25:$BC$192,,MATCH(AP$8,'Калькуляция (5.9)'!$AJ$8:$BC$8,0)),'Калькуляция (5.9)'!$F$25:$F$192,$F54,'Калькуляция (5.9)'!$G$25:$G$192,$G54))</f>
        <v>0</v>
      </c>
      <c r="AQ54" s="366">
        <f>IF(method_reg="Метод сравнения аналогов",_xlfn.SUMIFS(INDEX('Калькуляция (МСА)'!$AE$25:$BC$109,,MATCH(AQ$8,'Калькуляция (МСА)'!$AE$8:$BC$8,0)),'Калькуляция (МСА)'!$F$25:$F$109,$F54,'Калькуляция (МСА)'!$G$25:$G$109,$G54),_xlfn.SUMIFS(INDEX('Калькуляция (5.9)'!$AJ$25:$BC$192,,MATCH(AQ$8,'Калькуляция (5.9)'!$AJ$8:$BC$8,0)),'Калькуляция (5.9)'!$F$25:$F$192,$F54,'Калькуляция (5.9)'!$G$25:$G$192,$G54))</f>
        <v>0</v>
      </c>
      <c r="AR54" s="365">
        <f>IF(AP54=0,0,(AQ54-AP54)/AP54*100)</f>
        <v>0</v>
      </c>
      <c r="AS54" s="66">
        <f>IF(method_reg="Метод сравнения аналогов",_xlfn.SUMIFS(INDEX('Калькуляция (МСА)'!$AE$25:$BC$109,,MATCH(AS$8,'Калькуляция (МСА)'!$AE$8:$BC$8,0)),'Калькуляция (МСА)'!$F$25:$F$109,$F54,'Калькуляция (МСА)'!$G$25:$G$109,$G54),_xlfn.SUMIFS(INDEX('Калькуляция (5.9)'!$AJ$25:$BC$192,,MATCH(AS$8,'Калькуляция (5.9)'!$AJ$8:$BC$8,0)),'Калькуляция (5.9)'!$F$25:$F$192,$F54,'Калькуляция (5.9)'!$G$25:$G$192,$G54))</f>
        <v>0</v>
      </c>
      <c r="AT54" s="66">
        <f>IF(method_reg="Метод сравнения аналогов",_xlfn.SUMIFS(INDEX('Калькуляция (МСА)'!$AE$25:$BC$109,,MATCH(AT$8,'Калькуляция (МСА)'!$AE$8:$BC$8,0)),'Калькуляция (МСА)'!$F$25:$F$109,$F54,'Калькуляция (МСА)'!$G$25:$G$109,$G54),_xlfn.SUMIFS(INDEX('Калькуляция (5.9)'!$AJ$25:$BC$192,,MATCH(AT$8,'Калькуляция (5.9)'!$AJ$8:$BC$8,0)),'Калькуляция (5.9)'!$F$25:$F$192,$F54,'Калькуляция (5.9)'!$G$25:$G$192,$G54))</f>
        <v>0</v>
      </c>
      <c r="AU54" s="365">
        <f>IF(AS54=0,0,(AT54-AS54)/AS54*100)</f>
        <v>0</v>
      </c>
      <c r="AV54" s="66">
        <f>IF(method_reg="Метод сравнения аналогов",_xlfn.SUMIFS(INDEX('Калькуляция (МСА)'!$AE$25:$BC$109,,MATCH(AV$8,'Калькуляция (МСА)'!$AE$8:$BC$8,0)),'Калькуляция (МСА)'!$F$25:$F$109,$F54,'Калькуляция (МСА)'!$G$25:$G$109,$G54),_xlfn.SUMIFS(INDEX('Калькуляция (5.9)'!$AJ$25:$BC$192,,MATCH(AV$8,'Калькуляция (5.9)'!$AJ$8:$BC$8,0)),'Калькуляция (5.9)'!$F$25:$F$192,$F54,'Калькуляция (5.9)'!$G$25:$G$192,$G54))</f>
        <v>0</v>
      </c>
      <c r="AW54" s="66">
        <f>IF(method_reg="Метод сравнения аналогов",_xlfn.SUMIFS(INDEX('Калькуляция (МСА)'!$AE$25:$BC$109,,MATCH(AW$8,'Калькуляция (МСА)'!$AE$8:$BC$8,0)),'Калькуляция (МСА)'!$F$25:$F$109,$F54,'Калькуляция (МСА)'!$G$25:$G$109,$G54),_xlfn.SUMIFS(INDEX('Калькуляция (5.9)'!$AJ$25:$BC$192,,MATCH(AW$8,'Калькуляция (5.9)'!$AJ$8:$BC$8,0)),'Калькуляция (5.9)'!$F$25:$F$192,$F54,'Калькуляция (5.9)'!$G$25:$G$192,$G54))</f>
        <v>0</v>
      </c>
      <c r="AX54" s="365">
        <f>IF(AV54=0,0,(AW54-AV54)/AV54*100)</f>
        <v>0</v>
      </c>
      <c r="AY54" s="66">
        <f>IF(method_reg="Метод сравнения аналогов",_xlfn.SUMIFS(INDEX('Калькуляция (МСА)'!$AE$25:$BC$109,,MATCH(AY$8,'Калькуляция (МСА)'!$AE$8:$BC$8,0)),'Калькуляция (МСА)'!$F$25:$F$109,$F54,'Калькуляция (МСА)'!$G$25:$G$109,$G54),_xlfn.SUMIFS(INDEX('Калькуляция (5.9)'!$AJ$25:$BC$192,,MATCH(AY$8,'Калькуляция (5.9)'!$AJ$8:$BC$8,0)),'Калькуляция (5.9)'!$F$25:$F$192,$F54,'Калькуляция (5.9)'!$G$25:$G$192,$G54))</f>
        <v>0</v>
      </c>
      <c r="AZ54" s="66">
        <f>IF(method_reg="Метод сравнения аналогов",_xlfn.SUMIFS(INDEX('Калькуляция (МСА)'!$AE$25:$BC$109,,MATCH(AZ$8,'Калькуляция (МСА)'!$AE$8:$BC$8,0)),'Калькуляция (МСА)'!$F$25:$F$109,$F54,'Калькуляция (МСА)'!$G$25:$G$109,$G54),_xlfn.SUMIFS(INDEX('Калькуляция (5.9)'!$AJ$25:$BC$192,,MATCH(AZ$8,'Калькуляция (5.9)'!$AJ$8:$BC$8,0)),'Калькуляция (5.9)'!$F$25:$F$192,$F54,'Калькуляция (5.9)'!$G$25:$G$192,$G54))</f>
        <v>0</v>
      </c>
      <c r="BA54" s="365">
        <f>IF(AY54=0,0,(AZ54-AY54)/AY54*100)</f>
        <v>0</v>
      </c>
      <c r="BB54" s="66">
        <f>IF(method_reg="Метод сравнения аналогов",_xlfn.SUMIFS(INDEX('Калькуляция (МСА)'!$AE$25:$BC$109,,MATCH(BB$8,'Калькуляция (МСА)'!$AE$8:$BC$8,0)),'Калькуляция (МСА)'!$F$25:$F$109,$F54,'Калькуляция (МСА)'!$G$25:$G$109,$G54),_xlfn.SUMIFS(INDEX('Калькуляция (5.9)'!$AJ$25:$BC$192,,MATCH(BB$8,'Калькуляция (5.9)'!$AJ$8:$BC$8,0)),'Калькуляция (5.9)'!$F$25:$F$192,$F54,'Калькуляция (5.9)'!$G$25:$G$192,$G54))</f>
        <v>0</v>
      </c>
      <c r="BC54" s="66">
        <f>IF(method_reg="Метод сравнения аналогов",_xlfn.SUMIFS(INDEX('Калькуляция (МСА)'!$AE$25:$BC$109,,MATCH(BC$8,'Калькуляция (МСА)'!$AE$8:$BC$8,0)),'Калькуляция (МСА)'!$F$25:$F$109,$F54,'Калькуляция (МСА)'!$G$25:$G$109,$G54),_xlfn.SUMIFS(INDEX('Калькуляция (5.9)'!$AJ$25:$BC$192,,MATCH(BC$8,'Калькуляция (5.9)'!$AJ$8:$BC$8,0)),'Калькуляция (5.9)'!$F$25:$F$192,$F54,'Калькуляция (5.9)'!$G$25:$G$192,$G54))</f>
        <v>0</v>
      </c>
      <c r="BD54" s="365">
        <f>IF(BB54=0,0,(BC54-BB54)/BB54*100)</f>
        <v>0</v>
      </c>
      <c r="BE54" s="66">
        <f>IF(method_reg="Метод сравнения аналогов",_xlfn.SUMIFS(INDEX('Калькуляция (МСА)'!$AE$25:$BC$109,,MATCH(BE$8,'Калькуляция (МСА)'!$AE$8:$BC$8,0)),'Калькуляция (МСА)'!$F$25:$F$109,$F54,'Калькуляция (МСА)'!$G$25:$G$109,$G54),_xlfn.SUMIFS(INDEX('Калькуляция (5.9)'!$AJ$25:$BC$192,,MATCH(BE$8,'Калькуляция (5.9)'!$AJ$8:$BC$8,0)),'Калькуляция (5.9)'!$F$25:$F$192,$F54,'Калькуляция (5.9)'!$G$25:$G$192,$G54))</f>
        <v>0</v>
      </c>
      <c r="BF54" s="66">
        <f>IF(method_reg="Метод сравнения аналогов",_xlfn.SUMIFS(INDEX('Калькуляция (МСА)'!$AE$25:$BC$109,,MATCH(BF$8,'Калькуляция (МСА)'!$AE$8:$BC$8,0)),'Калькуляция (МСА)'!$F$25:$F$109,$F54,'Калькуляция (МСА)'!$G$25:$G$109,$G54),_xlfn.SUMIFS(INDEX('Калькуляция (5.9)'!$AJ$25:$BC$192,,MATCH(BF$8,'Калькуляция (5.9)'!$AJ$8:$BC$8,0)),'Калькуляция (5.9)'!$F$25:$F$192,$F54,'Калькуляция (5.9)'!$G$25:$G$192,$G54))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2156</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2157</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2133</v>
      </c>
      <c r="D56" s="1291" t="s">
        <v>2134</v>
      </c>
      <c r="E56" s="794">
        <v>15.8</v>
      </c>
      <c r="F56" s="919" cm="1" t="str">
        <f t="array" ref="F56:F56">OFFSET(G56,-1,-1)</f>
        <v>0</v>
      </c>
      <c r="G56" s="736" t="s">
        <v>1736</v>
      </c>
      <c r="H56" s="210" t="s">
        <v>2135</v>
      </c>
      <c r="I56" s="210" t="s">
        <v>2095</v>
      </c>
      <c r="J56" s="1312"/>
      <c r="K56" s="1312" cm="1" t="str">
        <f t="array" ref="K56:K56">OFFSET(J56,-1,1)</f>
        <v>0</v>
      </c>
      <c r="L56" s="1312"/>
      <c r="M56" s="1312" t="s">
        <v>1733</v>
      </c>
      <c r="N56" s="1312" t="s">
        <v>2091</v>
      </c>
      <c r="O56" s="1313" t="s">
        <v>2092</v>
      </c>
      <c r="P56" s="1312" t="s">
        <v>2136</v>
      </c>
      <c r="Q56" s="1312"/>
      <c r="T56" s="805" cm="1" t="str">
        <f t="array" ref="T56:T56">T55</f>
        <v>false</v>
      </c>
      <c r="AB56" s="273" t="s">
        <v>2137</v>
      </c>
      <c r="AC56" s="169" t="s">
        <v>895</v>
      </c>
      <c r="AD56" s="66">
        <f>IF(method_reg="Метод экономически обоснованных расходов",_xlfn.SUMIFS('Калькуляция (4.6)'!AJ$25:AJ$229,'Калькуляция (4.6)'!$F$25:$F$229,$F56,'Калькуляция (4.6)'!$G$25:$G$229,$G56),IF(method_reg="Метод сравнения аналогов",_xlfn.SUMIFS(INDEX('Калькуляция (МСА)'!$AE$25:$BC$109,,MATCH(AD$8,'Калькуляция (МСА)'!$AE$8:$BC$8,0)),'Калькуляция (МСА)'!$F$25:$F$109,$F56,'Калькуляция (МСА)'!$G$25:$G$109,$G56),_xlfn.SUMIFS(INDEX('Калькуляция (5.9)'!$AJ$25:$BC$192,,MATCH(AD$8,'Калькуляция (5.9)'!$AJ$8:$BC$8,0)),'Калькуляция (5.9)'!$F$25:$F$192,$F56,'Калькуляция (5.9)'!$G$25:$G$192,$G56)))</f>
        <v>0</v>
      </c>
      <c r="AE56" s="66">
        <f>IF(method_reg="Метод экономически обоснованных расходов",_xlfn.SUMIFS('Калькуляция (4.6)'!AK$25:AK$229,'Калькуляция (4.6)'!$F$25:$F$229,$F56,'Калькуляция (4.6)'!$G$25:$G$229,$G56),IF(method_reg="Метод сравнения аналогов",_xlfn.SUMIFS(INDEX('Калькуляция (МСА)'!$AE$25:$BC$109,,MATCH(AE$8,'Калькуляция (МСА)'!$AE$8:$BC$8,0)),'Калькуляция (МСА)'!$F$25:$F$109,$F56,'Калькуляция (МСА)'!$G$25:$G$109,$G56),_xlfn.SUMIFS(INDEX('Калькуляция (5.9)'!$AJ$25:$BC$192,,MATCH(AE$8,'Калькуляция (5.9)'!$AJ$8:$BC$8,0)),'Калькуляция (5.9)'!$F$25:$F$192,$F56,'Калькуляция (5.9)'!$G$25:$G$192,$G56)))</f>
        <v>0</v>
      </c>
      <c r="AF56" s="365">
        <f>IF(AD56=0,0,(AE56-AD56)/AD56*100)</f>
        <v>0</v>
      </c>
      <c r="AG56" s="366">
        <f>IF(method_reg="Метод сравнения аналогов",_xlfn.SUMIFS(INDEX('Калькуляция (МСА)'!$AE$25:$BC$109,,MATCH(AG$8,'Калькуляция (МСА)'!$AE$8:$BC$8,0)),'Калькуляция (МСА)'!$F$25:$F$109,$F56,'Калькуляция (МСА)'!$G$25:$G$109,$G56),_xlfn.SUMIFS(INDEX('Калькуляция (5.9)'!$AJ$25:$BC$192,,MATCH(AG$8,'Калькуляция (5.9)'!$AJ$8:$BC$8,0)),'Калькуляция (5.9)'!$F$25:$F$192,$F56,'Калькуляция (5.9)'!$G$25:$G$192,$G56))</f>
        <v>0</v>
      </c>
      <c r="AH56" s="366">
        <f>IF(method_reg="Метод сравнения аналогов",_xlfn.SUMIFS(INDEX('Калькуляция (МСА)'!$AE$25:$BC$109,,MATCH(AH$8,'Калькуляция (МСА)'!$AE$8:$BC$8,0)),'Калькуляция (МСА)'!$F$25:$F$109,$F56,'Калькуляция (МСА)'!$G$25:$G$109,$G56),_xlfn.SUMIFS(INDEX('Калькуляция (5.9)'!$AJ$25:$BC$192,,MATCH(AH$8,'Калькуляция (5.9)'!$AJ$8:$BC$8,0)),'Калькуляция (5.9)'!$F$25:$F$192,$F56,'Калькуляция (5.9)'!$G$25:$G$192,$G56))</f>
        <v>0</v>
      </c>
      <c r="AI56" s="365">
        <f>IF(AG56=0,0,(AH56-AG56)/AG56*100)</f>
        <v>0</v>
      </c>
      <c r="AJ56" s="366">
        <f>IF(method_reg="Метод сравнения аналогов",_xlfn.SUMIFS(INDEX('Калькуляция (МСА)'!$AE$25:$BC$109,,MATCH(AJ$8,'Калькуляция (МСА)'!$AE$8:$BC$8,0)),'Калькуляция (МСА)'!$F$25:$F$109,$F56,'Калькуляция (МСА)'!$G$25:$G$109,$G56),_xlfn.SUMIFS(INDEX('Калькуляция (5.9)'!$AJ$25:$BC$192,,MATCH(AJ$8,'Калькуляция (5.9)'!$AJ$8:$BC$8,0)),'Калькуляция (5.9)'!$F$25:$F$192,$F56,'Калькуляция (5.9)'!$G$25:$G$192,$G56))</f>
        <v>0</v>
      </c>
      <c r="AK56" s="366">
        <f>IF(method_reg="Метод сравнения аналогов",_xlfn.SUMIFS(INDEX('Калькуляция (МСА)'!$AE$25:$BC$109,,MATCH(AK$8,'Калькуляция (МСА)'!$AE$8:$BC$8,0)),'Калькуляция (МСА)'!$F$25:$F$109,$F56,'Калькуляция (МСА)'!$G$25:$G$109,$G56),_xlfn.SUMIFS(INDEX('Калькуляция (5.9)'!$AJ$25:$BC$192,,MATCH(AK$8,'Калькуляция (5.9)'!$AJ$8:$BC$8,0)),'Калькуляция (5.9)'!$F$25:$F$192,$F56,'Калькуляция (5.9)'!$G$25:$G$192,$G56))</f>
        <v>0</v>
      </c>
      <c r="AL56" s="365">
        <f>IF(AJ56=0,0,(AK56-AJ56)/AJ56*100)</f>
        <v>0</v>
      </c>
      <c r="AM56" s="366">
        <f>IF(method_reg="Метод сравнения аналогов",_xlfn.SUMIFS(INDEX('Калькуляция (МСА)'!$AE$25:$BC$109,,MATCH(AM$8,'Калькуляция (МСА)'!$AE$8:$BC$8,0)),'Калькуляция (МСА)'!$F$25:$F$109,$F56,'Калькуляция (МСА)'!$G$25:$G$109,$G56),_xlfn.SUMIFS(INDEX('Калькуляция (5.9)'!$AJ$25:$BC$192,,MATCH(AM$8,'Калькуляция (5.9)'!$AJ$8:$BC$8,0)),'Калькуляция (5.9)'!$F$25:$F$192,$F56,'Калькуляция (5.9)'!$G$25:$G$192,$G56))</f>
        <v>0</v>
      </c>
      <c r="AN56" s="366">
        <f>IF(method_reg="Метод сравнения аналогов",_xlfn.SUMIFS(INDEX('Калькуляция (МСА)'!$AE$25:$BC$109,,MATCH(AN$8,'Калькуляция (МСА)'!$AE$8:$BC$8,0)),'Калькуляция (МСА)'!$F$25:$F$109,$F56,'Калькуляция (МСА)'!$G$25:$G$109,$G56),_xlfn.SUMIFS(INDEX('Калькуляция (5.9)'!$AJ$25:$BC$192,,MATCH(AN$8,'Калькуляция (5.9)'!$AJ$8:$BC$8,0)),'Калькуляция (5.9)'!$F$25:$F$192,$F56,'Калькуляция (5.9)'!$G$25:$G$192,$G56))</f>
        <v>0</v>
      </c>
      <c r="AO56" s="365">
        <f>IF(AM56=0,0,(AN56-AM56)/AM56*100)</f>
        <v>0</v>
      </c>
      <c r="AP56" s="366">
        <f>IF(method_reg="Метод сравнения аналогов",_xlfn.SUMIFS(INDEX('Калькуляция (МСА)'!$AE$25:$BC$109,,MATCH(AP$8,'Калькуляция (МСА)'!$AE$8:$BC$8,0)),'Калькуляция (МСА)'!$F$25:$F$109,$F56,'Калькуляция (МСА)'!$G$25:$G$109,$G56),_xlfn.SUMIFS(INDEX('Калькуляция (5.9)'!$AJ$25:$BC$192,,MATCH(AP$8,'Калькуляция (5.9)'!$AJ$8:$BC$8,0)),'Калькуляция (5.9)'!$F$25:$F$192,$F56,'Калькуляция (5.9)'!$G$25:$G$192,$G56))</f>
        <v>0</v>
      </c>
      <c r="AQ56" s="366">
        <f>IF(method_reg="Метод сравнения аналогов",_xlfn.SUMIFS(INDEX('Калькуляция (МСА)'!$AE$25:$BC$109,,MATCH(AQ$8,'Калькуляция (МСА)'!$AE$8:$BC$8,0)),'Калькуляция (МСА)'!$F$25:$F$109,$F56,'Калькуляция (МСА)'!$G$25:$G$109,$G56),_xlfn.SUMIFS(INDEX('Калькуляция (5.9)'!$AJ$25:$BC$192,,MATCH(AQ$8,'Калькуляция (5.9)'!$AJ$8:$BC$8,0)),'Калькуляция (5.9)'!$F$25:$F$192,$F56,'Калькуляция (5.9)'!$G$25:$G$192,$G56))</f>
        <v>0</v>
      </c>
      <c r="AR56" s="365">
        <f>IF(AP56=0,0,(AQ56-AP56)/AP56*100)</f>
        <v>0</v>
      </c>
      <c r="AS56" s="66">
        <f>IF(method_reg="Метод сравнения аналогов",_xlfn.SUMIFS(INDEX('Калькуляция (МСА)'!$AE$25:$BC$109,,MATCH(AS$8,'Калькуляция (МСА)'!$AE$8:$BC$8,0)),'Калькуляция (МСА)'!$F$25:$F$109,$F56,'Калькуляция (МСА)'!$G$25:$G$109,$G56),_xlfn.SUMIFS(INDEX('Калькуляция (5.9)'!$AJ$25:$BC$192,,MATCH(AS$8,'Калькуляция (5.9)'!$AJ$8:$BC$8,0)),'Калькуляция (5.9)'!$F$25:$F$192,$F56,'Калькуляция (5.9)'!$G$25:$G$192,$G56))</f>
        <v>0</v>
      </c>
      <c r="AT56" s="66">
        <f>IF(method_reg="Метод сравнения аналогов",_xlfn.SUMIFS(INDEX('Калькуляция (МСА)'!$AE$25:$BC$109,,MATCH(AT$8,'Калькуляция (МСА)'!$AE$8:$BC$8,0)),'Калькуляция (МСА)'!$F$25:$F$109,$F56,'Калькуляция (МСА)'!$G$25:$G$109,$G56),_xlfn.SUMIFS(INDEX('Калькуляция (5.9)'!$AJ$25:$BC$192,,MATCH(AT$8,'Калькуляция (5.9)'!$AJ$8:$BC$8,0)),'Калькуляция (5.9)'!$F$25:$F$192,$F56,'Калькуляция (5.9)'!$G$25:$G$192,$G56))</f>
        <v>0</v>
      </c>
      <c r="AU56" s="365">
        <f>IF(AS56=0,0,(AT56-AS56)/AS56*100)</f>
        <v>0</v>
      </c>
      <c r="AV56" s="66">
        <f>IF(method_reg="Метод сравнения аналогов",_xlfn.SUMIFS(INDEX('Калькуляция (МСА)'!$AE$25:$BC$109,,MATCH(AV$8,'Калькуляция (МСА)'!$AE$8:$BC$8,0)),'Калькуляция (МСА)'!$F$25:$F$109,$F56,'Калькуляция (МСА)'!$G$25:$G$109,$G56),_xlfn.SUMIFS(INDEX('Калькуляция (5.9)'!$AJ$25:$BC$192,,MATCH(AV$8,'Калькуляция (5.9)'!$AJ$8:$BC$8,0)),'Калькуляция (5.9)'!$F$25:$F$192,$F56,'Калькуляция (5.9)'!$G$25:$G$192,$G56))</f>
        <v>0</v>
      </c>
      <c r="AW56" s="66">
        <f>IF(method_reg="Метод сравнения аналогов",_xlfn.SUMIFS(INDEX('Калькуляция (МСА)'!$AE$25:$BC$109,,MATCH(AW$8,'Калькуляция (МСА)'!$AE$8:$BC$8,0)),'Калькуляция (МСА)'!$F$25:$F$109,$F56,'Калькуляция (МСА)'!$G$25:$G$109,$G56),_xlfn.SUMIFS(INDEX('Калькуляция (5.9)'!$AJ$25:$BC$192,,MATCH(AW$8,'Калькуляция (5.9)'!$AJ$8:$BC$8,0)),'Калькуляция (5.9)'!$F$25:$F$192,$F56,'Калькуляция (5.9)'!$G$25:$G$192,$G56))</f>
        <v>0</v>
      </c>
      <c r="AX56" s="365">
        <f>IF(AV56=0,0,(AW56-AV56)/AV56*100)</f>
        <v>0</v>
      </c>
      <c r="AY56" s="66">
        <f>IF(method_reg="Метод сравнения аналогов",_xlfn.SUMIFS(INDEX('Калькуляция (МСА)'!$AE$25:$BC$109,,MATCH(AY$8,'Калькуляция (МСА)'!$AE$8:$BC$8,0)),'Калькуляция (МСА)'!$F$25:$F$109,$F56,'Калькуляция (МСА)'!$G$25:$G$109,$G56),_xlfn.SUMIFS(INDEX('Калькуляция (5.9)'!$AJ$25:$BC$192,,MATCH(AY$8,'Калькуляция (5.9)'!$AJ$8:$BC$8,0)),'Калькуляция (5.9)'!$F$25:$F$192,$F56,'Калькуляция (5.9)'!$G$25:$G$192,$G56))</f>
        <v>0</v>
      </c>
      <c r="AZ56" s="66">
        <f>IF(method_reg="Метод сравнения аналогов",_xlfn.SUMIFS(INDEX('Калькуляция (МСА)'!$AE$25:$BC$109,,MATCH(AZ$8,'Калькуляция (МСА)'!$AE$8:$BC$8,0)),'Калькуляция (МСА)'!$F$25:$F$109,$F56,'Калькуляция (МСА)'!$G$25:$G$109,$G56),_xlfn.SUMIFS(INDEX('Калькуляция (5.9)'!$AJ$25:$BC$192,,MATCH(AZ$8,'Калькуляция (5.9)'!$AJ$8:$BC$8,0)),'Калькуляция (5.9)'!$F$25:$F$192,$F56,'Калькуляция (5.9)'!$G$25:$G$192,$G56))</f>
        <v>0</v>
      </c>
      <c r="BA56" s="365">
        <f>IF(AY56=0,0,(AZ56-AY56)/AY56*100)</f>
        <v>0</v>
      </c>
      <c r="BB56" s="66">
        <f>IF(method_reg="Метод сравнения аналогов",_xlfn.SUMIFS(INDEX('Калькуляция (МСА)'!$AE$25:$BC$109,,MATCH(BB$8,'Калькуляция (МСА)'!$AE$8:$BC$8,0)),'Калькуляция (МСА)'!$F$25:$F$109,$F56,'Калькуляция (МСА)'!$G$25:$G$109,$G56),_xlfn.SUMIFS(INDEX('Калькуляция (5.9)'!$AJ$25:$BC$192,,MATCH(BB$8,'Калькуляция (5.9)'!$AJ$8:$BC$8,0)),'Калькуляция (5.9)'!$F$25:$F$192,$F56,'Калькуляция (5.9)'!$G$25:$G$192,$G56))</f>
        <v>0</v>
      </c>
      <c r="BC56" s="66">
        <f>IF(method_reg="Метод сравнения аналогов",_xlfn.SUMIFS(INDEX('Калькуляция (МСА)'!$AE$25:$BC$109,,MATCH(BC$8,'Калькуляция (МСА)'!$AE$8:$BC$8,0)),'Калькуляция (МСА)'!$F$25:$F$109,$F56,'Калькуляция (МСА)'!$G$25:$G$109,$G56),_xlfn.SUMIFS(INDEX('Калькуляция (5.9)'!$AJ$25:$BC$192,,MATCH(BC$8,'Калькуляция (5.9)'!$AJ$8:$BC$8,0)),'Калькуляция (5.9)'!$F$25:$F$192,$F56,'Калькуляция (5.9)'!$G$25:$G$192,$G56))</f>
        <v>0</v>
      </c>
      <c r="BD56" s="365">
        <f>IF(BB56=0,0,(BC56-BB56)/BB56*100)</f>
        <v>0</v>
      </c>
      <c r="BE56" s="66">
        <f>IF(method_reg="Метод сравнения аналогов",_xlfn.SUMIFS(INDEX('Калькуляция (МСА)'!$AE$25:$BC$109,,MATCH(BE$8,'Калькуляция (МСА)'!$AE$8:$BC$8,0)),'Калькуляция (МСА)'!$F$25:$F$109,$F56,'Калькуляция (МСА)'!$G$25:$G$109,$G56),_xlfn.SUMIFS(INDEX('Калькуляция (5.9)'!$AJ$25:$BC$192,,MATCH(BE$8,'Калькуляция (5.9)'!$AJ$8:$BC$8,0)),'Калькуляция (5.9)'!$F$25:$F$192,$F56,'Калькуляция (5.9)'!$G$25:$G$192,$G56))</f>
        <v>0</v>
      </c>
      <c r="BF56" s="66">
        <f>IF(method_reg="Метод сравнения аналогов",_xlfn.SUMIFS(INDEX('Калькуляция (МСА)'!$AE$25:$BC$109,,MATCH(BF$8,'Калькуляция (МСА)'!$AE$8:$BC$8,0)),'Калькуляция (МСА)'!$F$25:$F$109,$F56,'Калькуляция (МСА)'!$G$25:$G$109,$G56),_xlfn.SUMIFS(INDEX('Калькуляция (5.9)'!$AJ$25:$BC$192,,MATCH(BF$8,'Калькуляция (5.9)'!$AJ$8:$BC$8,0)),'Калькуляция (5.9)'!$F$25:$F$192,$F56,'Калькуляция (5.9)'!$G$25:$G$192,$G56))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2158</v>
      </c>
      <c r="GA56" s="1181"/>
      <c r="GB56" s="1181"/>
      <c r="GC56" s="1181"/>
      <c r="GD56" s="1181"/>
    </row>
    <row customHeight="1" ht="15.405000000000001" hidden="1">
      <c r="B57" s="961" cm="1" t="str">
        <f t="array" ref="B57:B57">B56</f>
        <v>false</v>
      </c>
      <c r="C57" s="1322" t="s">
        <v>2139</v>
      </c>
      <c r="D57" s="1291" t="s">
        <v>2140</v>
      </c>
      <c r="E57" s="794">
        <v>15.8</v>
      </c>
      <c r="F57" s="919" cm="1" t="str">
        <f t="array" ref="F57:F57">OFFSET(G57,-1,-1)</f>
        <v>0</v>
      </c>
      <c r="G57" s="736" t="s">
        <v>1765</v>
      </c>
      <c r="H57" s="210" t="s">
        <v>2141</v>
      </c>
      <c r="I57" s="210" t="s">
        <v>2095</v>
      </c>
      <c r="J57" s="1312"/>
      <c r="K57" s="1312" cm="1" t="str">
        <f t="array" ref="K57:K57">OFFSET(J57,-1,1)</f>
        <v>0</v>
      </c>
      <c r="L57" s="1312"/>
      <c r="M57" s="1312" t="s">
        <v>1733</v>
      </c>
      <c r="N57" s="1312" t="s">
        <v>2091</v>
      </c>
      <c r="O57" s="1313" t="s">
        <v>2092</v>
      </c>
      <c r="P57" s="1312" t="s">
        <v>2142</v>
      </c>
      <c r="Q57" s="1312"/>
      <c r="T57" s="805" cm="1" t="str">
        <f t="array" ref="T57:T57">T56</f>
        <v>false</v>
      </c>
      <c r="AB57" s="273" t="s">
        <v>2143</v>
      </c>
      <c r="AC57" s="169" t="s">
        <v>895</v>
      </c>
      <c r="AD57" s="66">
        <f>IF(method_reg="Метод экономически обоснованных расходов",_xlfn.SUMIFS('Калькуляция (4.6)'!AJ$25:AJ$229,'Калькуляция (4.6)'!$F$25:$F$229,$F57,'Калькуляция (4.6)'!$G$25:$G$229,$G57),IF(method_reg="Метод сравнения аналогов",_xlfn.SUMIFS(INDEX('Калькуляция (МСА)'!$AE$25:$BC$109,,MATCH(AD$8,'Калькуляция (МСА)'!$AE$8:$BC$8,0)),'Калькуляция (МСА)'!$F$25:$F$109,$F57,'Калькуляция (МСА)'!$G$25:$G$109,$G57),_xlfn.SUMIFS(INDEX('Калькуляция (5.9)'!$AJ$25:$BC$192,,MATCH(AD$8,'Калькуляция (5.9)'!$AJ$8:$BC$8,0)),'Калькуляция (5.9)'!$F$25:$F$192,$F57,'Калькуляция (5.9)'!$G$25:$G$192,$G57)))</f>
        <v>0</v>
      </c>
      <c r="AE57" s="66">
        <f>IF(method_reg="Метод экономически обоснованных расходов",_xlfn.SUMIFS('Калькуляция (4.6)'!AK$25:AK$229,'Калькуляция (4.6)'!$F$25:$F$229,$F57,'Калькуляция (4.6)'!$G$25:$G$229,$G57),IF(method_reg="Метод сравнения аналогов",_xlfn.SUMIFS(INDEX('Калькуляция (МСА)'!$AE$25:$BC$109,,MATCH(AE$8,'Калькуляция (МСА)'!$AE$8:$BC$8,0)),'Калькуляция (МСА)'!$F$25:$F$109,$F57,'Калькуляция (МСА)'!$G$25:$G$109,$G57),_xlfn.SUMIFS(INDEX('Калькуляция (5.9)'!$AJ$25:$BC$192,,MATCH(AE$8,'Калькуляция (5.9)'!$AJ$8:$BC$8,0)),'Калькуляция (5.9)'!$F$25:$F$192,$F57,'Калькуляция (5.9)'!$G$25:$G$192,$G57)))</f>
        <v>0</v>
      </c>
      <c r="AF57" s="365">
        <f>IF(AD57=0,0,(AE57-AD57)/AD57*100)</f>
        <v>0</v>
      </c>
      <c r="AG57" s="366">
        <f>IF(method_reg="Метод сравнения аналогов",_xlfn.SUMIFS(INDEX('Калькуляция (МСА)'!$AE$25:$BC$109,,MATCH(AG$8,'Калькуляция (МСА)'!$AE$8:$BC$8,0)),'Калькуляция (МСА)'!$F$25:$F$109,$F57,'Калькуляция (МСА)'!$G$25:$G$109,$G57),_xlfn.SUMIFS(INDEX('Калькуляция (5.9)'!$AJ$25:$BC$192,,MATCH(AG$8,'Калькуляция (5.9)'!$AJ$8:$BC$8,0)),'Калькуляция (5.9)'!$F$25:$F$192,$F57,'Калькуляция (5.9)'!$G$25:$G$192,$G57))</f>
        <v>0</v>
      </c>
      <c r="AH57" s="366">
        <f>IF(method_reg="Метод сравнения аналогов",_xlfn.SUMIFS(INDEX('Калькуляция (МСА)'!$AE$25:$BC$109,,MATCH(AH$8,'Калькуляция (МСА)'!$AE$8:$BC$8,0)),'Калькуляция (МСА)'!$F$25:$F$109,$F57,'Калькуляция (МСА)'!$G$25:$G$109,$G57),_xlfn.SUMIFS(INDEX('Калькуляция (5.9)'!$AJ$25:$BC$192,,MATCH(AH$8,'Калькуляция (5.9)'!$AJ$8:$BC$8,0)),'Калькуляция (5.9)'!$F$25:$F$192,$F57,'Калькуляция (5.9)'!$G$25:$G$192,$G57))</f>
        <v>0</v>
      </c>
      <c r="AI57" s="365">
        <f>IF(AG57=0,0,(AH57-AG57)/AG57*100)</f>
        <v>0</v>
      </c>
      <c r="AJ57" s="366">
        <f>IF(method_reg="Метод сравнения аналогов",_xlfn.SUMIFS(INDEX('Калькуляция (МСА)'!$AE$25:$BC$109,,MATCH(AJ$8,'Калькуляция (МСА)'!$AE$8:$BC$8,0)),'Калькуляция (МСА)'!$F$25:$F$109,$F57,'Калькуляция (МСА)'!$G$25:$G$109,$G57),_xlfn.SUMIFS(INDEX('Калькуляция (5.9)'!$AJ$25:$BC$192,,MATCH(AJ$8,'Калькуляция (5.9)'!$AJ$8:$BC$8,0)),'Калькуляция (5.9)'!$F$25:$F$192,$F57,'Калькуляция (5.9)'!$G$25:$G$192,$G57))</f>
        <v>0</v>
      </c>
      <c r="AK57" s="366">
        <f>IF(method_reg="Метод сравнения аналогов",_xlfn.SUMIFS(INDEX('Калькуляция (МСА)'!$AE$25:$BC$109,,MATCH(AK$8,'Калькуляция (МСА)'!$AE$8:$BC$8,0)),'Калькуляция (МСА)'!$F$25:$F$109,$F57,'Калькуляция (МСА)'!$G$25:$G$109,$G57),_xlfn.SUMIFS(INDEX('Калькуляция (5.9)'!$AJ$25:$BC$192,,MATCH(AK$8,'Калькуляция (5.9)'!$AJ$8:$BC$8,0)),'Калькуляция (5.9)'!$F$25:$F$192,$F57,'Калькуляция (5.9)'!$G$25:$G$192,$G57))</f>
        <v>0</v>
      </c>
      <c r="AL57" s="365">
        <f>IF(AJ57=0,0,(AK57-AJ57)/AJ57*100)</f>
        <v>0</v>
      </c>
      <c r="AM57" s="366">
        <f>IF(method_reg="Метод сравнения аналогов",_xlfn.SUMIFS(INDEX('Калькуляция (МСА)'!$AE$25:$BC$109,,MATCH(AM$8,'Калькуляция (МСА)'!$AE$8:$BC$8,0)),'Калькуляция (МСА)'!$F$25:$F$109,$F57,'Калькуляция (МСА)'!$G$25:$G$109,$G57),_xlfn.SUMIFS(INDEX('Калькуляция (5.9)'!$AJ$25:$BC$192,,MATCH(AM$8,'Калькуляция (5.9)'!$AJ$8:$BC$8,0)),'Калькуляция (5.9)'!$F$25:$F$192,$F57,'Калькуляция (5.9)'!$G$25:$G$192,$G57))</f>
        <v>0</v>
      </c>
      <c r="AN57" s="366">
        <f>IF(method_reg="Метод сравнения аналогов",_xlfn.SUMIFS(INDEX('Калькуляция (МСА)'!$AE$25:$BC$109,,MATCH(AN$8,'Калькуляция (МСА)'!$AE$8:$BC$8,0)),'Калькуляция (МСА)'!$F$25:$F$109,$F57,'Калькуляция (МСА)'!$G$25:$G$109,$G57),_xlfn.SUMIFS(INDEX('Калькуляция (5.9)'!$AJ$25:$BC$192,,MATCH(AN$8,'Калькуляция (5.9)'!$AJ$8:$BC$8,0)),'Калькуляция (5.9)'!$F$25:$F$192,$F57,'Калькуляция (5.9)'!$G$25:$G$192,$G57))</f>
        <v>0</v>
      </c>
      <c r="AO57" s="365">
        <f>IF(AM57=0,0,(AN57-AM57)/AM57*100)</f>
        <v>0</v>
      </c>
      <c r="AP57" s="366">
        <f>IF(method_reg="Метод сравнения аналогов",_xlfn.SUMIFS(INDEX('Калькуляция (МСА)'!$AE$25:$BC$109,,MATCH(AP$8,'Калькуляция (МСА)'!$AE$8:$BC$8,0)),'Калькуляция (МСА)'!$F$25:$F$109,$F57,'Калькуляция (МСА)'!$G$25:$G$109,$G57),_xlfn.SUMIFS(INDEX('Калькуляция (5.9)'!$AJ$25:$BC$192,,MATCH(AP$8,'Калькуляция (5.9)'!$AJ$8:$BC$8,0)),'Калькуляция (5.9)'!$F$25:$F$192,$F57,'Калькуляция (5.9)'!$G$25:$G$192,$G57))</f>
        <v>0</v>
      </c>
      <c r="AQ57" s="366">
        <f>IF(method_reg="Метод сравнения аналогов",_xlfn.SUMIFS(INDEX('Калькуляция (МСА)'!$AE$25:$BC$109,,MATCH(AQ$8,'Калькуляция (МСА)'!$AE$8:$BC$8,0)),'Калькуляция (МСА)'!$F$25:$F$109,$F57,'Калькуляция (МСА)'!$G$25:$G$109,$G57),_xlfn.SUMIFS(INDEX('Калькуляция (5.9)'!$AJ$25:$BC$192,,MATCH(AQ$8,'Калькуляция (5.9)'!$AJ$8:$BC$8,0)),'Калькуляция (5.9)'!$F$25:$F$192,$F57,'Калькуляция (5.9)'!$G$25:$G$192,$G57))</f>
        <v>0</v>
      </c>
      <c r="AR57" s="365">
        <f>IF(AP57=0,0,(AQ57-AP57)/AP57*100)</f>
        <v>0</v>
      </c>
      <c r="AS57" s="66">
        <f>IF(method_reg="Метод сравнения аналогов",_xlfn.SUMIFS(INDEX('Калькуляция (МСА)'!$AE$25:$BC$109,,MATCH(AS$8,'Калькуляция (МСА)'!$AE$8:$BC$8,0)),'Калькуляция (МСА)'!$F$25:$F$109,$F57,'Калькуляция (МСА)'!$G$25:$G$109,$G57),_xlfn.SUMIFS(INDEX('Калькуляция (5.9)'!$AJ$25:$BC$192,,MATCH(AS$8,'Калькуляция (5.9)'!$AJ$8:$BC$8,0)),'Калькуляция (5.9)'!$F$25:$F$192,$F57,'Калькуляция (5.9)'!$G$25:$G$192,$G57))</f>
        <v>0</v>
      </c>
      <c r="AT57" s="66">
        <f>IF(method_reg="Метод сравнения аналогов",_xlfn.SUMIFS(INDEX('Калькуляция (МСА)'!$AE$25:$BC$109,,MATCH(AT$8,'Калькуляция (МСА)'!$AE$8:$BC$8,0)),'Калькуляция (МСА)'!$F$25:$F$109,$F57,'Калькуляция (МСА)'!$G$25:$G$109,$G57),_xlfn.SUMIFS(INDEX('Калькуляция (5.9)'!$AJ$25:$BC$192,,MATCH(AT$8,'Калькуляция (5.9)'!$AJ$8:$BC$8,0)),'Калькуляция (5.9)'!$F$25:$F$192,$F57,'Калькуляция (5.9)'!$G$25:$G$192,$G57))</f>
        <v>0</v>
      </c>
      <c r="AU57" s="365">
        <f>IF(AS57=0,0,(AT57-AS57)/AS57*100)</f>
        <v>0</v>
      </c>
      <c r="AV57" s="66">
        <f>IF(method_reg="Метод сравнения аналогов",_xlfn.SUMIFS(INDEX('Калькуляция (МСА)'!$AE$25:$BC$109,,MATCH(AV$8,'Калькуляция (МСА)'!$AE$8:$BC$8,0)),'Калькуляция (МСА)'!$F$25:$F$109,$F57,'Калькуляция (МСА)'!$G$25:$G$109,$G57),_xlfn.SUMIFS(INDEX('Калькуляция (5.9)'!$AJ$25:$BC$192,,MATCH(AV$8,'Калькуляция (5.9)'!$AJ$8:$BC$8,0)),'Калькуляция (5.9)'!$F$25:$F$192,$F57,'Калькуляция (5.9)'!$G$25:$G$192,$G57))</f>
        <v>0</v>
      </c>
      <c r="AW57" s="66">
        <f>IF(method_reg="Метод сравнения аналогов",_xlfn.SUMIFS(INDEX('Калькуляция (МСА)'!$AE$25:$BC$109,,MATCH(AW$8,'Калькуляция (МСА)'!$AE$8:$BC$8,0)),'Калькуляция (МСА)'!$F$25:$F$109,$F57,'Калькуляция (МСА)'!$G$25:$G$109,$G57),_xlfn.SUMIFS(INDEX('Калькуляция (5.9)'!$AJ$25:$BC$192,,MATCH(AW$8,'Калькуляция (5.9)'!$AJ$8:$BC$8,0)),'Калькуляция (5.9)'!$F$25:$F$192,$F57,'Калькуляция (5.9)'!$G$25:$G$192,$G57))</f>
        <v>0</v>
      </c>
      <c r="AX57" s="365">
        <f>IF(AV57=0,0,(AW57-AV57)/AV57*100)</f>
        <v>0</v>
      </c>
      <c r="AY57" s="66">
        <f>IF(method_reg="Метод сравнения аналогов",_xlfn.SUMIFS(INDEX('Калькуляция (МСА)'!$AE$25:$BC$109,,MATCH(AY$8,'Калькуляция (МСА)'!$AE$8:$BC$8,0)),'Калькуляция (МСА)'!$F$25:$F$109,$F57,'Калькуляция (МСА)'!$G$25:$G$109,$G57),_xlfn.SUMIFS(INDEX('Калькуляция (5.9)'!$AJ$25:$BC$192,,MATCH(AY$8,'Калькуляция (5.9)'!$AJ$8:$BC$8,0)),'Калькуляция (5.9)'!$F$25:$F$192,$F57,'Калькуляция (5.9)'!$G$25:$G$192,$G57))</f>
        <v>0</v>
      </c>
      <c r="AZ57" s="66">
        <f>IF(method_reg="Метод сравнения аналогов",_xlfn.SUMIFS(INDEX('Калькуляция (МСА)'!$AE$25:$BC$109,,MATCH(AZ$8,'Калькуляция (МСА)'!$AE$8:$BC$8,0)),'Калькуляция (МСА)'!$F$25:$F$109,$F57,'Калькуляция (МСА)'!$G$25:$G$109,$G57),_xlfn.SUMIFS(INDEX('Калькуляция (5.9)'!$AJ$25:$BC$192,,MATCH(AZ$8,'Калькуляция (5.9)'!$AJ$8:$BC$8,0)),'Калькуляция (5.9)'!$F$25:$F$192,$F57,'Калькуляция (5.9)'!$G$25:$G$192,$G57))</f>
        <v>0</v>
      </c>
      <c r="BA57" s="365">
        <f>IF(AY57=0,0,(AZ57-AY57)/AY57*100)</f>
        <v>0</v>
      </c>
      <c r="BB57" s="66">
        <f>IF(method_reg="Метод сравнения аналогов",_xlfn.SUMIFS(INDEX('Калькуляция (МСА)'!$AE$25:$BC$109,,MATCH(BB$8,'Калькуляция (МСА)'!$AE$8:$BC$8,0)),'Калькуляция (МСА)'!$F$25:$F$109,$F57,'Калькуляция (МСА)'!$G$25:$G$109,$G57),_xlfn.SUMIFS(INDEX('Калькуляция (5.9)'!$AJ$25:$BC$192,,MATCH(BB$8,'Калькуляция (5.9)'!$AJ$8:$BC$8,0)),'Калькуляция (5.9)'!$F$25:$F$192,$F57,'Калькуляция (5.9)'!$G$25:$G$192,$G57))</f>
        <v>0</v>
      </c>
      <c r="BC57" s="66">
        <f>IF(method_reg="Метод сравнения аналогов",_xlfn.SUMIFS(INDEX('Калькуляция (МСА)'!$AE$25:$BC$109,,MATCH(BC$8,'Калькуляция (МСА)'!$AE$8:$BC$8,0)),'Калькуляция (МСА)'!$F$25:$F$109,$F57,'Калькуляция (МСА)'!$G$25:$G$109,$G57),_xlfn.SUMIFS(INDEX('Калькуляция (5.9)'!$AJ$25:$BC$192,,MATCH(BC$8,'Калькуляция (5.9)'!$AJ$8:$BC$8,0)),'Калькуляция (5.9)'!$F$25:$F$192,$F57,'Калькуляция (5.9)'!$G$25:$G$192,$G57))</f>
        <v>0</v>
      </c>
      <c r="BD57" s="365">
        <f>IF(BB57=0,0,(BC57-BB57)/BB57*100)</f>
        <v>0</v>
      </c>
      <c r="BE57" s="66">
        <f>IF(method_reg="Метод сравнения аналогов",_xlfn.SUMIFS(INDEX('Калькуляция (МСА)'!$AE$25:$BC$109,,MATCH(BE$8,'Калькуляция (МСА)'!$AE$8:$BC$8,0)),'Калькуляция (МСА)'!$F$25:$F$109,$F57,'Калькуляция (МСА)'!$G$25:$G$109,$G57),_xlfn.SUMIFS(INDEX('Калькуляция (5.9)'!$AJ$25:$BC$192,,MATCH(BE$8,'Калькуляция (5.9)'!$AJ$8:$BC$8,0)),'Калькуляция (5.9)'!$F$25:$F$192,$F57,'Калькуляция (5.9)'!$G$25:$G$192,$G57))</f>
        <v>0</v>
      </c>
      <c r="BF57" s="66">
        <f>IF(method_reg="Метод сравнения аналогов",_xlfn.SUMIFS(INDEX('Калькуляция (МСА)'!$AE$25:$BC$109,,MATCH(BF$8,'Калькуляция (МСА)'!$AE$8:$BC$8,0)),'Калькуляция (МСА)'!$F$25:$F$109,$F57,'Калькуляция (МСА)'!$G$25:$G$109,$G57),_xlfn.SUMIFS(INDEX('Калькуляция (5.9)'!$AJ$25:$BC$192,,MATCH(BF$8,'Калькуляция (5.9)'!$AJ$8:$BC$8,0)),'Калькуляция (5.9)'!$F$25:$F$192,$F57,'Калькуляция (5.9)'!$G$25:$G$192,$G57))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2159</v>
      </c>
      <c r="GA57" s="1181"/>
      <c r="GB57" s="1181"/>
      <c r="GC57" s="1181"/>
      <c r="GD57" s="1181"/>
    </row>
    <row customHeight="1" ht="15.405000000000001" hidden="1">
      <c r="B58" s="961" cm="1" t="str">
        <f t="array" ref="B58:B58">B57</f>
        <v>false</v>
      </c>
      <c r="C58" s="1322" t="s">
        <v>1721</v>
      </c>
      <c r="D58" s="1291" t="s">
        <v>1722</v>
      </c>
      <c r="E58" s="794">
        <v>15.8</v>
      </c>
      <c r="F58" s="919" cm="1" t="str">
        <f t="array" ref="F58:F58">OFFSET(G58,-1,-1)</f>
        <v>0</v>
      </c>
      <c r="G58" s="190" t="s">
        <v>1732</v>
      </c>
      <c r="H58" s="210" t="s">
        <v>2145</v>
      </c>
      <c r="I58" s="210" t="s">
        <v>2095</v>
      </c>
      <c r="J58" s="1312"/>
      <c r="K58" s="1312" cm="1" t="str">
        <f t="array" ref="K58:K58">OFFSET(J58,-1,1)</f>
        <v>0</v>
      </c>
      <c r="L58" s="1312"/>
      <c r="M58" s="1312" t="s">
        <v>1733</v>
      </c>
      <c r="N58" s="1312" t="s">
        <v>2091</v>
      </c>
      <c r="O58" s="1313" t="s">
        <v>2092</v>
      </c>
      <c r="P58" s="1312" t="s">
        <v>2146</v>
      </c>
      <c r="Q58" s="1312"/>
      <c r="T58" s="805" cm="1" t="str">
        <f t="array" ref="T58:T58">T57</f>
        <v>false</v>
      </c>
      <c r="AB58" s="273" t="s">
        <v>2147</v>
      </c>
      <c r="AC58" s="169" t="s">
        <v>591</v>
      </c>
      <c r="AD58" s="145">
        <f>IF(method_reg="Метод экономически обоснованных расходов",_xlfn.SUMIFS('Калькуляция (4.6)'!AJ$25:AJ$229,'Калькуляция (4.6)'!$F$25:$F$229,$F58,'Калькуляция (4.6)'!$G$25:$G$229,$G58),IF(method_reg="Метод сравнения аналогов",_xlfn.SUMIFS(INDEX('Калькуляция (МСА)'!$AE$25:$BC$109,,MATCH(AD$8,'Калькуляция (МСА)'!$AE$8:$BC$8,0)),'Калькуляция (МСА)'!$F$25:$F$109,$F58,'Калькуляция (МСА)'!$G$25:$G$109,$G58),_xlfn.SUMIFS(INDEX('Калькуляция (5.9)'!$AJ$25:$BC$192,,MATCH(AD$8,'Калькуляция (5.9)'!$AJ$8:$BC$8,0)),'Калькуляция (5.9)'!$F$25:$F$192,$F58,'Калькуляция (5.9)'!$G$25:$G$192,$G58)))</f>
        <v>0</v>
      </c>
      <c r="AE58" s="145">
        <f>IF(method_reg="Метод экономически обоснованных расходов",_xlfn.SUMIFS('Калькуляция (4.6)'!AK$25:AK$229,'Калькуляция (4.6)'!$F$25:$F$229,$F58,'Калькуляция (4.6)'!$G$25:$G$229,$G58),IF(method_reg="Метод сравнения аналогов",_xlfn.SUMIFS(INDEX('Калькуляция (МСА)'!$AE$25:$BC$109,,MATCH(AE$8,'Калькуляция (МСА)'!$AE$8:$BC$8,0)),'Калькуляция (МСА)'!$F$25:$F$109,$F58,'Калькуляция (МСА)'!$G$25:$G$109,$G58),_xlfn.SUMIFS(INDEX('Калькуляция (5.9)'!$AJ$25:$BC$192,,MATCH(AE$8,'Калькуляция (5.9)'!$AJ$8:$BC$8,0)),'Калькуляция (5.9)'!$F$25:$F$192,$F58,'Калькуляция (5.9)'!$G$25:$G$192,$G58)))</f>
        <v>0</v>
      </c>
      <c r="AF58" s="397">
        <f>IF(AD58=0,0,(AE58-AD58)/AD58*100)</f>
        <v>0</v>
      </c>
      <c r="AG58" s="413">
        <f>IF(method_reg="Метод сравнения аналогов",_xlfn.SUMIFS(INDEX('Калькуляция (МСА)'!$AE$25:$BC$109,,MATCH(AG$8,'Калькуляция (МСА)'!$AE$8:$BC$8,0)),'Калькуляция (МСА)'!$F$25:$F$109,$F58,'Калькуляция (МСА)'!$G$25:$G$109,$G58),_xlfn.SUMIFS(INDEX('Калькуляция (5.9)'!$AJ$25:$BC$192,,MATCH(AG$8,'Калькуляция (5.9)'!$AJ$8:$BC$8,0)),'Калькуляция (5.9)'!$F$25:$F$192,$F58,'Калькуляция (5.9)'!$G$25:$G$192,$G58))</f>
        <v>0</v>
      </c>
      <c r="AH58" s="413">
        <f>IF(method_reg="Метод сравнения аналогов",_xlfn.SUMIFS(INDEX('Калькуляция (МСА)'!$AE$25:$BC$109,,MATCH(AH$8,'Калькуляция (МСА)'!$AE$8:$BC$8,0)),'Калькуляция (МСА)'!$F$25:$F$109,$F58,'Калькуляция (МСА)'!$G$25:$G$109,$G58),_xlfn.SUMIFS(INDEX('Калькуляция (5.9)'!$AJ$25:$BC$192,,MATCH(AH$8,'Калькуляция (5.9)'!$AJ$8:$BC$8,0)),'Калькуляция (5.9)'!$F$25:$F$192,$F58,'Калькуляция (5.9)'!$G$25:$G$192,$G58))</f>
        <v>0</v>
      </c>
      <c r="AI58" s="397">
        <f>IF(AG58=0,0,(AH58-AG58)/AG58*100)</f>
        <v>0</v>
      </c>
      <c r="AJ58" s="413">
        <f>IF(method_reg="Метод сравнения аналогов",_xlfn.SUMIFS(INDEX('Калькуляция (МСА)'!$AE$25:$BC$109,,MATCH(AJ$8,'Калькуляция (МСА)'!$AE$8:$BC$8,0)),'Калькуляция (МСА)'!$F$25:$F$109,$F58,'Калькуляция (МСА)'!$G$25:$G$109,$G58),_xlfn.SUMIFS(INDEX('Калькуляция (5.9)'!$AJ$25:$BC$192,,MATCH(AJ$8,'Калькуляция (5.9)'!$AJ$8:$BC$8,0)),'Калькуляция (5.9)'!$F$25:$F$192,$F58,'Калькуляция (5.9)'!$G$25:$G$192,$G58))</f>
        <v>0</v>
      </c>
      <c r="AK58" s="413">
        <f>IF(method_reg="Метод сравнения аналогов",_xlfn.SUMIFS(INDEX('Калькуляция (МСА)'!$AE$25:$BC$109,,MATCH(AK$8,'Калькуляция (МСА)'!$AE$8:$BC$8,0)),'Калькуляция (МСА)'!$F$25:$F$109,$F58,'Калькуляция (МСА)'!$G$25:$G$109,$G58),_xlfn.SUMIFS(INDEX('Калькуляция (5.9)'!$AJ$25:$BC$192,,MATCH(AK$8,'Калькуляция (5.9)'!$AJ$8:$BC$8,0)),'Калькуляция (5.9)'!$F$25:$F$192,$F58,'Калькуляция (5.9)'!$G$25:$G$192,$G58))</f>
        <v>0</v>
      </c>
      <c r="AL58" s="397">
        <f>IF(AJ58=0,0,(AK58-AJ58)/AJ58*100)</f>
        <v>0</v>
      </c>
      <c r="AM58" s="413">
        <f>IF(method_reg="Метод сравнения аналогов",_xlfn.SUMIFS(INDEX('Калькуляция (МСА)'!$AE$25:$BC$109,,MATCH(AM$8,'Калькуляция (МСА)'!$AE$8:$BC$8,0)),'Калькуляция (МСА)'!$F$25:$F$109,$F58,'Калькуляция (МСА)'!$G$25:$G$109,$G58),_xlfn.SUMIFS(INDEX('Калькуляция (5.9)'!$AJ$25:$BC$192,,MATCH(AM$8,'Калькуляция (5.9)'!$AJ$8:$BC$8,0)),'Калькуляция (5.9)'!$F$25:$F$192,$F58,'Калькуляция (5.9)'!$G$25:$G$192,$G58))</f>
        <v>0</v>
      </c>
      <c r="AN58" s="413">
        <f>IF(method_reg="Метод сравнения аналогов",_xlfn.SUMIFS(INDEX('Калькуляция (МСА)'!$AE$25:$BC$109,,MATCH(AN$8,'Калькуляция (МСА)'!$AE$8:$BC$8,0)),'Калькуляция (МСА)'!$F$25:$F$109,$F58,'Калькуляция (МСА)'!$G$25:$G$109,$G58),_xlfn.SUMIFS(INDEX('Калькуляция (5.9)'!$AJ$25:$BC$192,,MATCH(AN$8,'Калькуляция (5.9)'!$AJ$8:$BC$8,0)),'Калькуляция (5.9)'!$F$25:$F$192,$F58,'Калькуляция (5.9)'!$G$25:$G$192,$G58))</f>
        <v>0</v>
      </c>
      <c r="AO58" s="397">
        <f>IF(AM58=0,0,(AN58-AM58)/AM58*100)</f>
        <v>0</v>
      </c>
      <c r="AP58" s="413">
        <f>IF(method_reg="Метод сравнения аналогов",_xlfn.SUMIFS(INDEX('Калькуляция (МСА)'!$AE$25:$BC$109,,MATCH(AP$8,'Калькуляция (МСА)'!$AE$8:$BC$8,0)),'Калькуляция (МСА)'!$F$25:$F$109,$F58,'Калькуляция (МСА)'!$G$25:$G$109,$G58),_xlfn.SUMIFS(INDEX('Калькуляция (5.9)'!$AJ$25:$BC$192,,MATCH(AP$8,'Калькуляция (5.9)'!$AJ$8:$BC$8,0)),'Калькуляция (5.9)'!$F$25:$F$192,$F58,'Калькуляция (5.9)'!$G$25:$G$192,$G58))</f>
        <v>0</v>
      </c>
      <c r="AQ58" s="413">
        <f>IF(method_reg="Метод сравнения аналогов",_xlfn.SUMIFS(INDEX('Калькуляция (МСА)'!$AE$25:$BC$109,,MATCH(AQ$8,'Калькуляция (МСА)'!$AE$8:$BC$8,0)),'Калькуляция (МСА)'!$F$25:$F$109,$F58,'Калькуляция (МСА)'!$G$25:$G$109,$G58),_xlfn.SUMIFS(INDEX('Калькуляция (5.9)'!$AJ$25:$BC$192,,MATCH(AQ$8,'Калькуляция (5.9)'!$AJ$8:$BC$8,0)),'Калькуляция (5.9)'!$F$25:$F$192,$F58,'Калькуляция (5.9)'!$G$25:$G$192,$G58))</f>
        <v>0</v>
      </c>
      <c r="AR58" s="397">
        <f>IF(AP58=0,0,(AQ58-AP58)/AP58*100)</f>
        <v>0</v>
      </c>
      <c r="AS58" s="145">
        <f>IF(method_reg="Метод сравнения аналогов",_xlfn.SUMIFS(INDEX('Калькуляция (МСА)'!$AE$25:$BC$109,,MATCH(AS$8,'Калькуляция (МСА)'!$AE$8:$BC$8,0)),'Калькуляция (МСА)'!$F$25:$F$109,$F58,'Калькуляция (МСА)'!$G$25:$G$109,$G58),_xlfn.SUMIFS(INDEX('Калькуляция (5.9)'!$AJ$25:$BC$192,,MATCH(AS$8,'Калькуляция (5.9)'!$AJ$8:$BC$8,0)),'Калькуляция (5.9)'!$F$25:$F$192,$F58,'Калькуляция (5.9)'!$G$25:$G$192,$G58))</f>
        <v>0</v>
      </c>
      <c r="AT58" s="145">
        <f>IF(method_reg="Метод сравнения аналогов",_xlfn.SUMIFS(INDEX('Калькуляция (МСА)'!$AE$25:$BC$109,,MATCH(AT$8,'Калькуляция (МСА)'!$AE$8:$BC$8,0)),'Калькуляция (МСА)'!$F$25:$F$109,$F58,'Калькуляция (МСА)'!$G$25:$G$109,$G58),_xlfn.SUMIFS(INDEX('Калькуляция (5.9)'!$AJ$25:$BC$192,,MATCH(AT$8,'Калькуляция (5.9)'!$AJ$8:$BC$8,0)),'Калькуляция (5.9)'!$F$25:$F$192,$F58,'Калькуляция (5.9)'!$G$25:$G$192,$G58))</f>
        <v>0</v>
      </c>
      <c r="AU58" s="397">
        <f>IF(AS58=0,0,(AT58-AS58)/AS58*100)</f>
        <v>0</v>
      </c>
      <c r="AV58" s="145">
        <f>IF(method_reg="Метод сравнения аналогов",_xlfn.SUMIFS(INDEX('Калькуляция (МСА)'!$AE$25:$BC$109,,MATCH(AV$8,'Калькуляция (МСА)'!$AE$8:$BC$8,0)),'Калькуляция (МСА)'!$F$25:$F$109,$F58,'Калькуляция (МСА)'!$G$25:$G$109,$G58),_xlfn.SUMIFS(INDEX('Калькуляция (5.9)'!$AJ$25:$BC$192,,MATCH(AV$8,'Калькуляция (5.9)'!$AJ$8:$BC$8,0)),'Калькуляция (5.9)'!$F$25:$F$192,$F58,'Калькуляция (5.9)'!$G$25:$G$192,$G58))</f>
        <v>0</v>
      </c>
      <c r="AW58" s="145">
        <f>IF(method_reg="Метод сравнения аналогов",_xlfn.SUMIFS(INDEX('Калькуляция (МСА)'!$AE$25:$BC$109,,MATCH(AW$8,'Калькуляция (МСА)'!$AE$8:$BC$8,0)),'Калькуляция (МСА)'!$F$25:$F$109,$F58,'Калькуляция (МСА)'!$G$25:$G$109,$G58),_xlfn.SUMIFS(INDEX('Калькуляция (5.9)'!$AJ$25:$BC$192,,MATCH(AW$8,'Калькуляция (5.9)'!$AJ$8:$BC$8,0)),'Калькуляция (5.9)'!$F$25:$F$192,$F58,'Калькуляция (5.9)'!$G$25:$G$192,$G58))</f>
        <v>0</v>
      </c>
      <c r="AX58" s="397">
        <f>IF(AV58=0,0,(AW58-AV58)/AV58*100)</f>
        <v>0</v>
      </c>
      <c r="AY58" s="145">
        <f>IF(method_reg="Метод сравнения аналогов",_xlfn.SUMIFS(INDEX('Калькуляция (МСА)'!$AE$25:$BC$109,,MATCH(AY$8,'Калькуляция (МСА)'!$AE$8:$BC$8,0)),'Калькуляция (МСА)'!$F$25:$F$109,$F58,'Калькуляция (МСА)'!$G$25:$G$109,$G58),_xlfn.SUMIFS(INDEX('Калькуляция (5.9)'!$AJ$25:$BC$192,,MATCH(AY$8,'Калькуляция (5.9)'!$AJ$8:$BC$8,0)),'Калькуляция (5.9)'!$F$25:$F$192,$F58,'Калькуляция (5.9)'!$G$25:$G$192,$G58))</f>
        <v>0</v>
      </c>
      <c r="AZ58" s="145">
        <f>IF(method_reg="Метод сравнения аналогов",_xlfn.SUMIFS(INDEX('Калькуляция (МСА)'!$AE$25:$BC$109,,MATCH(AZ$8,'Калькуляция (МСА)'!$AE$8:$BC$8,0)),'Калькуляция (МСА)'!$F$25:$F$109,$F58,'Калькуляция (МСА)'!$G$25:$G$109,$G58),_xlfn.SUMIFS(INDEX('Калькуляция (5.9)'!$AJ$25:$BC$192,,MATCH(AZ$8,'Калькуляция (5.9)'!$AJ$8:$BC$8,0)),'Калькуляция (5.9)'!$F$25:$F$192,$F58,'Калькуляция (5.9)'!$G$25:$G$192,$G58))</f>
        <v>0</v>
      </c>
      <c r="BA58" s="397">
        <f>IF(AY58=0,0,(AZ58-AY58)/AY58*100)</f>
        <v>0</v>
      </c>
      <c r="BB58" s="145">
        <f>IF(method_reg="Метод сравнения аналогов",_xlfn.SUMIFS(INDEX('Калькуляция (МСА)'!$AE$25:$BC$109,,MATCH(BB$8,'Калькуляция (МСА)'!$AE$8:$BC$8,0)),'Калькуляция (МСА)'!$F$25:$F$109,$F58,'Калькуляция (МСА)'!$G$25:$G$109,$G58),_xlfn.SUMIFS(INDEX('Калькуляция (5.9)'!$AJ$25:$BC$192,,MATCH(BB$8,'Калькуляция (5.9)'!$AJ$8:$BC$8,0)),'Калькуляция (5.9)'!$F$25:$F$192,$F58,'Калькуляция (5.9)'!$G$25:$G$192,$G58))</f>
        <v>0</v>
      </c>
      <c r="BC58" s="145">
        <f>IF(method_reg="Метод сравнения аналогов",_xlfn.SUMIFS(INDEX('Калькуляция (МСА)'!$AE$25:$BC$109,,MATCH(BC$8,'Калькуляция (МСА)'!$AE$8:$BC$8,0)),'Калькуляция (МСА)'!$F$25:$F$109,$F58,'Калькуляция (МСА)'!$G$25:$G$109,$G58),_xlfn.SUMIFS(INDEX('Калькуляция (5.9)'!$AJ$25:$BC$192,,MATCH(BC$8,'Калькуляция (5.9)'!$AJ$8:$BC$8,0)),'Калькуляция (5.9)'!$F$25:$F$192,$F58,'Калькуляция (5.9)'!$G$25:$G$192,$G58))</f>
        <v>0</v>
      </c>
      <c r="BD58" s="397">
        <f>IF(BB58=0,0,(BC58-BB58)/BB58*100)</f>
        <v>0</v>
      </c>
      <c r="BE58" s="145">
        <f>IF(method_reg="Метод сравнения аналогов",_xlfn.SUMIFS(INDEX('Калькуляция (МСА)'!$AE$25:$BC$109,,MATCH(BE$8,'Калькуляция (МСА)'!$AE$8:$BC$8,0)),'Калькуляция (МСА)'!$F$25:$F$109,$F58,'Калькуляция (МСА)'!$G$25:$G$109,$G58),_xlfn.SUMIFS(INDEX('Калькуляция (5.9)'!$AJ$25:$BC$192,,MATCH(BE$8,'Калькуляция (5.9)'!$AJ$8:$BC$8,0)),'Калькуляция (5.9)'!$F$25:$F$192,$F58,'Калькуляция (5.9)'!$G$25:$G$192,$G58))</f>
        <v>0</v>
      </c>
      <c r="BF58" s="145">
        <f>IF(method_reg="Метод сравнения аналогов",_xlfn.SUMIFS(INDEX('Калькуляция (МСА)'!$AE$25:$BC$109,,MATCH(BF$8,'Калькуляция (МСА)'!$AE$8:$BC$8,0)),'Калькуляция (МСА)'!$F$25:$F$109,$F58,'Калькуляция (МСА)'!$G$25:$G$109,$G58),_xlfn.SUMIFS(INDEX('Калькуляция (5.9)'!$AJ$25:$BC$192,,MATCH(BF$8,'Калькуляция (5.9)'!$AJ$8:$BC$8,0)),'Калькуляция (5.9)'!$F$25:$F$192,$F58,'Калькуляция (5.9)'!$G$25:$G$192,$G58))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2160</v>
      </c>
      <c r="GA58" s="1181"/>
      <c r="GB58" s="1181"/>
      <c r="GC58" s="1181"/>
      <c r="GD58" s="1181"/>
    </row>
    <row customHeight="1" ht="30.712500000000002" hidden="1">
      <c r="B59" s="961" cm="1" t="str">
        <f t="array" ref="B59:B59">B58</f>
        <v>false</v>
      </c>
      <c r="C59" s="1322" t="s">
        <v>1775</v>
      </c>
      <c r="D59" s="1291" t="s">
        <v>1776</v>
      </c>
      <c r="E59" s="794">
        <v>31.5</v>
      </c>
      <c r="F59" s="919" cm="1" t="str">
        <f t="array" ref="F59:F59">OFFSET(G59,-1,-1)</f>
        <v>0</v>
      </c>
      <c r="G59" s="736" t="s">
        <v>1781</v>
      </c>
      <c r="H59" s="210" t="s">
        <v>2149</v>
      </c>
      <c r="I59" s="210" t="s">
        <v>2095</v>
      </c>
      <c r="J59" s="1312"/>
      <c r="K59" s="1312" cm="1" t="str">
        <f t="array" ref="K59:K59">OFFSET(J59,-1,1)</f>
        <v>0</v>
      </c>
      <c r="L59" s="1312"/>
      <c r="M59" s="1312" t="s">
        <v>1733</v>
      </c>
      <c r="N59" s="1312" t="s">
        <v>2091</v>
      </c>
      <c r="O59" s="1313" t="s">
        <v>2092</v>
      </c>
      <c r="P59" s="1312" t="s">
        <v>2150</v>
      </c>
      <c r="Q59" s="1312"/>
      <c r="T59" s="805" cm="1" t="str">
        <f t="array" ref="T59:T59">T58</f>
        <v>false</v>
      </c>
      <c r="AB59" s="273" t="s">
        <v>2151</v>
      </c>
      <c r="AC59" s="517" t="s">
        <v>1779</v>
      </c>
      <c r="AD59" s="66">
        <f>IF(method_reg="Метод экономически обоснованных расходов",_xlfn.SUMIFS('Калькуляция (4.6)'!AJ$25:AJ$229,'Калькуляция (4.6)'!$F$25:$F$229,$F59,'Калькуляция (4.6)'!$G$25:$G$229,$G59),IF(method_reg="Метод сравнения аналогов",_xlfn.SUMIFS(INDEX('Калькуляция (МСА)'!$AE$25:$BC$109,,MATCH(AD$8,'Калькуляция (МСА)'!$AE$8:$BC$8,0)),'Калькуляция (МСА)'!$F$25:$F$109,$F59,'Калькуляция (МСА)'!$G$25:$G$109,$G59),_xlfn.SUMIFS(INDEX('Калькуляция (5.9)'!$AJ$25:$BC$192,,MATCH(AD$8,'Калькуляция (5.9)'!$AJ$8:$BC$8,0)),'Калькуляция (5.9)'!$F$25:$F$192,$F59,'Калькуляция (5.9)'!$G$25:$G$192,$G59)))</f>
        <v>0</v>
      </c>
      <c r="AE59" s="66">
        <f>IF(method_reg="Метод экономически обоснованных расходов",_xlfn.SUMIFS('Калькуляция (4.6)'!AK$25:AK$229,'Калькуляция (4.6)'!$F$25:$F$229,$F59,'Калькуляция (4.6)'!$G$25:$G$229,$G59),IF(method_reg="Метод сравнения аналогов",_xlfn.SUMIFS(INDEX('Калькуляция (МСА)'!$AE$25:$BC$109,,MATCH(AE$8,'Калькуляция (МСА)'!$AE$8:$BC$8,0)),'Калькуляция (МСА)'!$F$25:$F$109,$F59,'Калькуляция (МСА)'!$G$25:$G$109,$G59),_xlfn.SUMIFS(INDEX('Калькуляция (5.9)'!$AJ$25:$BC$192,,MATCH(AE$8,'Калькуляция (5.9)'!$AJ$8:$BC$8,0)),'Калькуляция (5.9)'!$F$25:$F$192,$F59,'Калькуляция (5.9)'!$G$25:$G$192,$G59)))</f>
        <v>0</v>
      </c>
      <c r="AF59" s="365">
        <f>IF(AD59=0,0,(AE59-AD59)/AD59*100)</f>
        <v>0</v>
      </c>
      <c r="AG59" s="366">
        <f>IF(method_reg="Метод сравнения аналогов",_xlfn.SUMIFS(INDEX('Калькуляция (МСА)'!$AE$25:$BC$109,,MATCH(AG$8,'Калькуляция (МСА)'!$AE$8:$BC$8,0)),'Калькуляция (МСА)'!$F$25:$F$109,$F59,'Калькуляция (МСА)'!$G$25:$G$109,$G59),_xlfn.SUMIFS(INDEX('Калькуляция (5.9)'!$AJ$25:$BC$192,,MATCH(AG$8,'Калькуляция (5.9)'!$AJ$8:$BC$8,0)),'Калькуляция (5.9)'!$F$25:$F$192,$F59,'Калькуляция (5.9)'!$G$25:$G$192,$G59))</f>
        <v>0</v>
      </c>
      <c r="AH59" s="366">
        <f>IF(method_reg="Метод сравнения аналогов",_xlfn.SUMIFS(INDEX('Калькуляция (МСА)'!$AE$25:$BC$109,,MATCH(AH$8,'Калькуляция (МСА)'!$AE$8:$BC$8,0)),'Калькуляция (МСА)'!$F$25:$F$109,$F59,'Калькуляция (МСА)'!$G$25:$G$109,$G59),_xlfn.SUMIFS(INDEX('Калькуляция (5.9)'!$AJ$25:$BC$192,,MATCH(AH$8,'Калькуляция (5.9)'!$AJ$8:$BC$8,0)),'Калькуляция (5.9)'!$F$25:$F$192,$F59,'Калькуляция (5.9)'!$G$25:$G$192,$G59))</f>
        <v>0</v>
      </c>
      <c r="AI59" s="365">
        <f>IF(AG59=0,0,(AH59-AG59)/AG59*100)</f>
        <v>0</v>
      </c>
      <c r="AJ59" s="366">
        <f>IF(method_reg="Метод сравнения аналогов",_xlfn.SUMIFS(INDEX('Калькуляция (МСА)'!$AE$25:$BC$109,,MATCH(AJ$8,'Калькуляция (МСА)'!$AE$8:$BC$8,0)),'Калькуляция (МСА)'!$F$25:$F$109,$F59,'Калькуляция (МСА)'!$G$25:$G$109,$G59),_xlfn.SUMIFS(INDEX('Калькуляция (5.9)'!$AJ$25:$BC$192,,MATCH(AJ$8,'Калькуляция (5.9)'!$AJ$8:$BC$8,0)),'Калькуляция (5.9)'!$F$25:$F$192,$F59,'Калькуляция (5.9)'!$G$25:$G$192,$G59))</f>
        <v>0</v>
      </c>
      <c r="AK59" s="366">
        <f>IF(method_reg="Метод сравнения аналогов",_xlfn.SUMIFS(INDEX('Калькуляция (МСА)'!$AE$25:$BC$109,,MATCH(AK$8,'Калькуляция (МСА)'!$AE$8:$BC$8,0)),'Калькуляция (МСА)'!$F$25:$F$109,$F59,'Калькуляция (МСА)'!$G$25:$G$109,$G59),_xlfn.SUMIFS(INDEX('Калькуляция (5.9)'!$AJ$25:$BC$192,,MATCH(AK$8,'Калькуляция (5.9)'!$AJ$8:$BC$8,0)),'Калькуляция (5.9)'!$F$25:$F$192,$F59,'Калькуляция (5.9)'!$G$25:$G$192,$G59))</f>
        <v>0</v>
      </c>
      <c r="AL59" s="365">
        <f>IF(AJ59=0,0,(AK59-AJ59)/AJ59*100)</f>
        <v>0</v>
      </c>
      <c r="AM59" s="366">
        <f>IF(method_reg="Метод сравнения аналогов",_xlfn.SUMIFS(INDEX('Калькуляция (МСА)'!$AE$25:$BC$109,,MATCH(AM$8,'Калькуляция (МСА)'!$AE$8:$BC$8,0)),'Калькуляция (МСА)'!$F$25:$F$109,$F59,'Калькуляция (МСА)'!$G$25:$G$109,$G59),_xlfn.SUMIFS(INDEX('Калькуляция (5.9)'!$AJ$25:$BC$192,,MATCH(AM$8,'Калькуляция (5.9)'!$AJ$8:$BC$8,0)),'Калькуляция (5.9)'!$F$25:$F$192,$F59,'Калькуляция (5.9)'!$G$25:$G$192,$G59))</f>
        <v>0</v>
      </c>
      <c r="AN59" s="366">
        <f>IF(method_reg="Метод сравнения аналогов",_xlfn.SUMIFS(INDEX('Калькуляция (МСА)'!$AE$25:$BC$109,,MATCH(AN$8,'Калькуляция (МСА)'!$AE$8:$BC$8,0)),'Калькуляция (МСА)'!$F$25:$F$109,$F59,'Калькуляция (МСА)'!$G$25:$G$109,$G59),_xlfn.SUMIFS(INDEX('Калькуляция (5.9)'!$AJ$25:$BC$192,,MATCH(AN$8,'Калькуляция (5.9)'!$AJ$8:$BC$8,0)),'Калькуляция (5.9)'!$F$25:$F$192,$F59,'Калькуляция (5.9)'!$G$25:$G$192,$G59))</f>
        <v>0</v>
      </c>
      <c r="AO59" s="365">
        <f>IF(AM59=0,0,(AN59-AM59)/AM59*100)</f>
        <v>0</v>
      </c>
      <c r="AP59" s="366">
        <f>IF(method_reg="Метод сравнения аналогов",_xlfn.SUMIFS(INDEX('Калькуляция (МСА)'!$AE$25:$BC$109,,MATCH(AP$8,'Калькуляция (МСА)'!$AE$8:$BC$8,0)),'Калькуляция (МСА)'!$F$25:$F$109,$F59,'Калькуляция (МСА)'!$G$25:$G$109,$G59),_xlfn.SUMIFS(INDEX('Калькуляция (5.9)'!$AJ$25:$BC$192,,MATCH(AP$8,'Калькуляция (5.9)'!$AJ$8:$BC$8,0)),'Калькуляция (5.9)'!$F$25:$F$192,$F59,'Калькуляция (5.9)'!$G$25:$G$192,$G59))</f>
        <v>0</v>
      </c>
      <c r="AQ59" s="366">
        <f>IF(method_reg="Метод сравнения аналогов",_xlfn.SUMIFS(INDEX('Калькуляция (МСА)'!$AE$25:$BC$109,,MATCH(AQ$8,'Калькуляция (МСА)'!$AE$8:$BC$8,0)),'Калькуляция (МСА)'!$F$25:$F$109,$F59,'Калькуляция (МСА)'!$G$25:$G$109,$G59),_xlfn.SUMIFS(INDEX('Калькуляция (5.9)'!$AJ$25:$BC$192,,MATCH(AQ$8,'Калькуляция (5.9)'!$AJ$8:$BC$8,0)),'Калькуляция (5.9)'!$F$25:$F$192,$F59,'Калькуляция (5.9)'!$G$25:$G$192,$G59))</f>
        <v>0</v>
      </c>
      <c r="AR59" s="365">
        <f>IF(AP59=0,0,(AQ59-AP59)/AP59*100)</f>
        <v>0</v>
      </c>
      <c r="AS59" s="66">
        <f>IF(method_reg="Метод сравнения аналогов",_xlfn.SUMIFS(INDEX('Калькуляция (МСА)'!$AE$25:$BC$109,,MATCH(AS$8,'Калькуляция (МСА)'!$AE$8:$BC$8,0)),'Калькуляция (МСА)'!$F$25:$F$109,$F59,'Калькуляция (МСА)'!$G$25:$G$109,$G59),_xlfn.SUMIFS(INDEX('Калькуляция (5.9)'!$AJ$25:$BC$192,,MATCH(AS$8,'Калькуляция (5.9)'!$AJ$8:$BC$8,0)),'Калькуляция (5.9)'!$F$25:$F$192,$F59,'Калькуляция (5.9)'!$G$25:$G$192,$G59))</f>
        <v>0</v>
      </c>
      <c r="AT59" s="66">
        <f>IF(method_reg="Метод сравнения аналогов",_xlfn.SUMIFS(INDEX('Калькуляция (МСА)'!$AE$25:$BC$109,,MATCH(AT$8,'Калькуляция (МСА)'!$AE$8:$BC$8,0)),'Калькуляция (МСА)'!$F$25:$F$109,$F59,'Калькуляция (МСА)'!$G$25:$G$109,$G59),_xlfn.SUMIFS(INDEX('Калькуляция (5.9)'!$AJ$25:$BC$192,,MATCH(AT$8,'Калькуляция (5.9)'!$AJ$8:$BC$8,0)),'Калькуляция (5.9)'!$F$25:$F$192,$F59,'Калькуляция (5.9)'!$G$25:$G$192,$G59))</f>
        <v>0</v>
      </c>
      <c r="AU59" s="365">
        <f>IF(AS59=0,0,(AT59-AS59)/AS59*100)</f>
        <v>0</v>
      </c>
      <c r="AV59" s="66">
        <f>IF(method_reg="Метод сравнения аналогов",_xlfn.SUMIFS(INDEX('Калькуляция (МСА)'!$AE$25:$BC$109,,MATCH(AV$8,'Калькуляция (МСА)'!$AE$8:$BC$8,0)),'Калькуляция (МСА)'!$F$25:$F$109,$F59,'Калькуляция (МСА)'!$G$25:$G$109,$G59),_xlfn.SUMIFS(INDEX('Калькуляция (5.9)'!$AJ$25:$BC$192,,MATCH(AV$8,'Калькуляция (5.9)'!$AJ$8:$BC$8,0)),'Калькуляция (5.9)'!$F$25:$F$192,$F59,'Калькуляция (5.9)'!$G$25:$G$192,$G59))</f>
        <v>0</v>
      </c>
      <c r="AW59" s="66">
        <f>IF(method_reg="Метод сравнения аналогов",_xlfn.SUMIFS(INDEX('Калькуляция (МСА)'!$AE$25:$BC$109,,MATCH(AW$8,'Калькуляция (МСА)'!$AE$8:$BC$8,0)),'Калькуляция (МСА)'!$F$25:$F$109,$F59,'Калькуляция (МСА)'!$G$25:$G$109,$G59),_xlfn.SUMIFS(INDEX('Калькуляция (5.9)'!$AJ$25:$BC$192,,MATCH(AW$8,'Калькуляция (5.9)'!$AJ$8:$BC$8,0)),'Калькуляция (5.9)'!$F$25:$F$192,$F59,'Калькуляция (5.9)'!$G$25:$G$192,$G59))</f>
        <v>0</v>
      </c>
      <c r="AX59" s="365">
        <f>IF(AV59=0,0,(AW59-AV59)/AV59*100)</f>
        <v>0</v>
      </c>
      <c r="AY59" s="66">
        <f>IF(method_reg="Метод сравнения аналогов",_xlfn.SUMIFS(INDEX('Калькуляция (МСА)'!$AE$25:$BC$109,,MATCH(AY$8,'Калькуляция (МСА)'!$AE$8:$BC$8,0)),'Калькуляция (МСА)'!$F$25:$F$109,$F59,'Калькуляция (МСА)'!$G$25:$G$109,$G59),_xlfn.SUMIFS(INDEX('Калькуляция (5.9)'!$AJ$25:$BC$192,,MATCH(AY$8,'Калькуляция (5.9)'!$AJ$8:$BC$8,0)),'Калькуляция (5.9)'!$F$25:$F$192,$F59,'Калькуляция (5.9)'!$G$25:$G$192,$G59))</f>
        <v>0</v>
      </c>
      <c r="AZ59" s="66">
        <f>IF(method_reg="Метод сравнения аналогов",_xlfn.SUMIFS(INDEX('Калькуляция (МСА)'!$AE$25:$BC$109,,MATCH(AZ$8,'Калькуляция (МСА)'!$AE$8:$BC$8,0)),'Калькуляция (МСА)'!$F$25:$F$109,$F59,'Калькуляция (МСА)'!$G$25:$G$109,$G59),_xlfn.SUMIFS(INDEX('Калькуляция (5.9)'!$AJ$25:$BC$192,,MATCH(AZ$8,'Калькуляция (5.9)'!$AJ$8:$BC$8,0)),'Калькуляция (5.9)'!$F$25:$F$192,$F59,'Калькуляция (5.9)'!$G$25:$G$192,$G59))</f>
        <v>0</v>
      </c>
      <c r="BA59" s="365">
        <f>IF(AY59=0,0,(AZ59-AY59)/AY59*100)</f>
        <v>0</v>
      </c>
      <c r="BB59" s="66">
        <f>IF(method_reg="Метод сравнения аналогов",_xlfn.SUMIFS(INDEX('Калькуляция (МСА)'!$AE$25:$BC$109,,MATCH(BB$8,'Калькуляция (МСА)'!$AE$8:$BC$8,0)),'Калькуляция (МСА)'!$F$25:$F$109,$F59,'Калькуляция (МСА)'!$G$25:$G$109,$G59),_xlfn.SUMIFS(INDEX('Калькуляция (5.9)'!$AJ$25:$BC$192,,MATCH(BB$8,'Калькуляция (5.9)'!$AJ$8:$BC$8,0)),'Калькуляция (5.9)'!$F$25:$F$192,$F59,'Калькуляция (5.9)'!$G$25:$G$192,$G59))</f>
        <v>0</v>
      </c>
      <c r="BC59" s="66">
        <f>IF(method_reg="Метод сравнения аналогов",_xlfn.SUMIFS(INDEX('Калькуляция (МСА)'!$AE$25:$BC$109,,MATCH(BC$8,'Калькуляция (МСА)'!$AE$8:$BC$8,0)),'Калькуляция (МСА)'!$F$25:$F$109,$F59,'Калькуляция (МСА)'!$G$25:$G$109,$G59),_xlfn.SUMIFS(INDEX('Калькуляция (5.9)'!$AJ$25:$BC$192,,MATCH(BC$8,'Калькуляция (5.9)'!$AJ$8:$BC$8,0)),'Калькуляция (5.9)'!$F$25:$F$192,$F59,'Калькуляция (5.9)'!$G$25:$G$192,$G59))</f>
        <v>0</v>
      </c>
      <c r="BD59" s="365">
        <f>IF(BB59=0,0,(BC59-BB59)/BB59*100)</f>
        <v>0</v>
      </c>
      <c r="BE59" s="66">
        <f>IF(method_reg="Метод сравнения аналогов",_xlfn.SUMIFS(INDEX('Калькуляция (МСА)'!$AE$25:$BC$109,,MATCH(BE$8,'Калькуляция (МСА)'!$AE$8:$BC$8,0)),'Калькуляция (МСА)'!$F$25:$F$109,$F59,'Калькуляция (МСА)'!$G$25:$G$109,$G59),_xlfn.SUMIFS(INDEX('Калькуляция (5.9)'!$AJ$25:$BC$192,,MATCH(BE$8,'Калькуляция (5.9)'!$AJ$8:$BC$8,0)),'Калькуляция (5.9)'!$F$25:$F$192,$F59,'Калькуляция (5.9)'!$G$25:$G$192,$G59))</f>
        <v>0</v>
      </c>
      <c r="BF59" s="66">
        <f>IF(method_reg="Метод сравнения аналогов",_xlfn.SUMIFS(INDEX('Калькуляция (МСА)'!$AE$25:$BC$109,,MATCH(BF$8,'Калькуляция (МСА)'!$AE$8:$BC$8,0)),'Калькуляция (МСА)'!$F$25:$F$109,$F59,'Калькуляция (МСА)'!$G$25:$G$109,$G59),_xlfn.SUMIFS(INDEX('Калькуляция (5.9)'!$AJ$25:$BC$192,,MATCH(BF$8,'Калькуляция (5.9)'!$AJ$8:$BC$8,0)),'Калькуляция (5.9)'!$F$25:$F$192,$F59,'Калькуляция (5.9)'!$G$25:$G$192,$G59))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2161</v>
      </c>
      <c r="GA59" s="1181"/>
      <c r="GB59" s="1181"/>
      <c r="GC59" s="1181"/>
      <c r="GD59" s="1181"/>
    </row>
    <row customHeight="1" ht="15.405000000000001" hidden="1">
      <c r="B60" s="961" cm="1" t="str">
        <f t="array" ref="B60:B60">B59</f>
        <v>false</v>
      </c>
      <c r="C60" s="1322" t="s">
        <v>1747</v>
      </c>
      <c r="D60" s="1291" t="s">
        <v>1748</v>
      </c>
      <c r="E60" s="794">
        <v>15.8</v>
      </c>
      <c r="F60" s="919" cm="1" t="str">
        <f t="array" ref="F60:F60">OFFSET(G60,-1,-1)</f>
        <v>0</v>
      </c>
      <c r="G60" s="736" t="s">
        <v>1754</v>
      </c>
      <c r="H60" s="210" t="s">
        <v>2153</v>
      </c>
      <c r="I60" s="210" t="s">
        <v>2095</v>
      </c>
      <c r="J60" s="1312"/>
      <c r="K60" s="1312" cm="1" t="str">
        <f t="array" ref="K60:K60">OFFSET(J60,-1,1)</f>
        <v>0</v>
      </c>
      <c r="L60" s="1312"/>
      <c r="M60" s="1312" t="s">
        <v>1733</v>
      </c>
      <c r="N60" s="1312" t="s">
        <v>2091</v>
      </c>
      <c r="O60" s="1313" t="s">
        <v>2092</v>
      </c>
      <c r="P60" s="1312" t="s">
        <v>2154</v>
      </c>
      <c r="Q60" s="1312"/>
      <c r="T60" s="805" cm="1" t="str">
        <f t="array" ref="T60:T60">T59</f>
        <v>false</v>
      </c>
      <c r="AB60" s="273" t="s">
        <v>2155</v>
      </c>
      <c r="AC60" s="664" t="s">
        <v>690</v>
      </c>
      <c r="AD60" s="66">
        <f>IF(method_reg="Метод экономически обоснованных расходов",_xlfn.SUMIFS('Калькуляция (4.6)'!AJ$25:AJ$229,'Калькуляция (4.6)'!$F$25:$F$229,$F60,'Калькуляция (4.6)'!$G$25:$G$229,$G60),IF(method_reg="Метод сравнения аналогов",_xlfn.SUMIFS(INDEX('Калькуляция (МСА)'!$AE$25:$BC$109,,MATCH(AD$8,'Калькуляция (МСА)'!$AE$8:$BC$8,0)),'Калькуляция (МСА)'!$F$25:$F$109,$F60,'Калькуляция (МСА)'!$G$25:$G$109,$G60),_xlfn.SUMIFS(INDEX('Калькуляция (5.9)'!$AJ$25:$BC$192,,MATCH(AD$8,'Калькуляция (5.9)'!$AJ$8:$BC$8,0)),'Калькуляция (5.9)'!$F$25:$F$192,$F60,'Калькуляция (5.9)'!$G$25:$G$192,$G60)))</f>
        <v>0</v>
      </c>
      <c r="AE60" s="66">
        <f>IF(method_reg="Метод экономически обоснованных расходов",_xlfn.SUMIFS('Калькуляция (4.6)'!AK$25:AK$229,'Калькуляция (4.6)'!$F$25:$F$229,$F60,'Калькуляция (4.6)'!$G$25:$G$229,$G60),IF(method_reg="Метод сравнения аналогов",_xlfn.SUMIFS(INDEX('Калькуляция (МСА)'!$AE$25:$BC$109,,MATCH(AE$8,'Калькуляция (МСА)'!$AE$8:$BC$8,0)),'Калькуляция (МСА)'!$F$25:$F$109,$F60,'Калькуляция (МСА)'!$G$25:$G$109,$G60),_xlfn.SUMIFS(INDEX('Калькуляция (5.9)'!$AJ$25:$BC$192,,MATCH(AE$8,'Калькуляция (5.9)'!$AJ$8:$BC$8,0)),'Калькуляция (5.9)'!$F$25:$F$192,$F60,'Калькуляция (5.9)'!$G$25:$G$192,$G60)))</f>
        <v>0</v>
      </c>
      <c r="AF60" s="365">
        <f>IF(AD60=0,0,(AE60-AD60)/AD60*100)</f>
        <v>0</v>
      </c>
      <c r="AG60" s="366">
        <f>IF(method_reg="Метод сравнения аналогов",_xlfn.SUMIFS(INDEX('Калькуляция (МСА)'!$AE$25:$BC$109,,MATCH(AG$8,'Калькуляция (МСА)'!$AE$8:$BC$8,0)),'Калькуляция (МСА)'!$F$25:$F$109,$F60,'Калькуляция (МСА)'!$G$25:$G$109,$G60),_xlfn.SUMIFS(INDEX('Калькуляция (5.9)'!$AJ$25:$BC$192,,MATCH(AG$8,'Калькуляция (5.9)'!$AJ$8:$BC$8,0)),'Калькуляция (5.9)'!$F$25:$F$192,$F60,'Калькуляция (5.9)'!$G$25:$G$192,$G60))</f>
        <v>0</v>
      </c>
      <c r="AH60" s="366">
        <f>IF(method_reg="Метод сравнения аналогов",_xlfn.SUMIFS(INDEX('Калькуляция (МСА)'!$AE$25:$BC$109,,MATCH(AH$8,'Калькуляция (МСА)'!$AE$8:$BC$8,0)),'Калькуляция (МСА)'!$F$25:$F$109,$F60,'Калькуляция (МСА)'!$G$25:$G$109,$G60),_xlfn.SUMIFS(INDEX('Калькуляция (5.9)'!$AJ$25:$BC$192,,MATCH(AH$8,'Калькуляция (5.9)'!$AJ$8:$BC$8,0)),'Калькуляция (5.9)'!$F$25:$F$192,$F60,'Калькуляция (5.9)'!$G$25:$G$192,$G60))</f>
        <v>0</v>
      </c>
      <c r="AI60" s="365">
        <f>IF(AG60=0,0,(AH60-AG60)/AG60*100)</f>
        <v>0</v>
      </c>
      <c r="AJ60" s="366">
        <f>IF(method_reg="Метод сравнения аналогов",_xlfn.SUMIFS(INDEX('Калькуляция (МСА)'!$AE$25:$BC$109,,MATCH(AJ$8,'Калькуляция (МСА)'!$AE$8:$BC$8,0)),'Калькуляция (МСА)'!$F$25:$F$109,$F60,'Калькуляция (МСА)'!$G$25:$G$109,$G60),_xlfn.SUMIFS(INDEX('Калькуляция (5.9)'!$AJ$25:$BC$192,,MATCH(AJ$8,'Калькуляция (5.9)'!$AJ$8:$BC$8,0)),'Калькуляция (5.9)'!$F$25:$F$192,$F60,'Калькуляция (5.9)'!$G$25:$G$192,$G60))</f>
        <v>0</v>
      </c>
      <c r="AK60" s="366">
        <f>IF(method_reg="Метод сравнения аналогов",_xlfn.SUMIFS(INDEX('Калькуляция (МСА)'!$AE$25:$BC$109,,MATCH(AK$8,'Калькуляция (МСА)'!$AE$8:$BC$8,0)),'Калькуляция (МСА)'!$F$25:$F$109,$F60,'Калькуляция (МСА)'!$G$25:$G$109,$G60),_xlfn.SUMIFS(INDEX('Калькуляция (5.9)'!$AJ$25:$BC$192,,MATCH(AK$8,'Калькуляция (5.9)'!$AJ$8:$BC$8,0)),'Калькуляция (5.9)'!$F$25:$F$192,$F60,'Калькуляция (5.9)'!$G$25:$G$192,$G60))</f>
        <v>0</v>
      </c>
      <c r="AL60" s="365">
        <f>IF(AJ60=0,0,(AK60-AJ60)/AJ60*100)</f>
        <v>0</v>
      </c>
      <c r="AM60" s="366">
        <f>IF(method_reg="Метод сравнения аналогов",_xlfn.SUMIFS(INDEX('Калькуляция (МСА)'!$AE$25:$BC$109,,MATCH(AM$8,'Калькуляция (МСА)'!$AE$8:$BC$8,0)),'Калькуляция (МСА)'!$F$25:$F$109,$F60,'Калькуляция (МСА)'!$G$25:$G$109,$G60),_xlfn.SUMIFS(INDEX('Калькуляция (5.9)'!$AJ$25:$BC$192,,MATCH(AM$8,'Калькуляция (5.9)'!$AJ$8:$BC$8,0)),'Калькуляция (5.9)'!$F$25:$F$192,$F60,'Калькуляция (5.9)'!$G$25:$G$192,$G60))</f>
        <v>0</v>
      </c>
      <c r="AN60" s="366">
        <f>IF(method_reg="Метод сравнения аналогов",_xlfn.SUMIFS(INDEX('Калькуляция (МСА)'!$AE$25:$BC$109,,MATCH(AN$8,'Калькуляция (МСА)'!$AE$8:$BC$8,0)),'Калькуляция (МСА)'!$F$25:$F$109,$F60,'Калькуляция (МСА)'!$G$25:$G$109,$G60),_xlfn.SUMIFS(INDEX('Калькуляция (5.9)'!$AJ$25:$BC$192,,MATCH(AN$8,'Калькуляция (5.9)'!$AJ$8:$BC$8,0)),'Калькуляция (5.9)'!$F$25:$F$192,$F60,'Калькуляция (5.9)'!$G$25:$G$192,$G60))</f>
        <v>0</v>
      </c>
      <c r="AO60" s="365">
        <f>IF(AM60=0,0,(AN60-AM60)/AM60*100)</f>
        <v>0</v>
      </c>
      <c r="AP60" s="366">
        <f>IF(method_reg="Метод сравнения аналогов",_xlfn.SUMIFS(INDEX('Калькуляция (МСА)'!$AE$25:$BC$109,,MATCH(AP$8,'Калькуляция (МСА)'!$AE$8:$BC$8,0)),'Калькуляция (МСА)'!$F$25:$F$109,$F60,'Калькуляция (МСА)'!$G$25:$G$109,$G60),_xlfn.SUMIFS(INDEX('Калькуляция (5.9)'!$AJ$25:$BC$192,,MATCH(AP$8,'Калькуляция (5.9)'!$AJ$8:$BC$8,0)),'Калькуляция (5.9)'!$F$25:$F$192,$F60,'Калькуляция (5.9)'!$G$25:$G$192,$G60))</f>
        <v>0</v>
      </c>
      <c r="AQ60" s="366">
        <f>IF(method_reg="Метод сравнения аналогов",_xlfn.SUMIFS(INDEX('Калькуляция (МСА)'!$AE$25:$BC$109,,MATCH(AQ$8,'Калькуляция (МСА)'!$AE$8:$BC$8,0)),'Калькуляция (МСА)'!$F$25:$F$109,$F60,'Калькуляция (МСА)'!$G$25:$G$109,$G60),_xlfn.SUMIFS(INDEX('Калькуляция (5.9)'!$AJ$25:$BC$192,,MATCH(AQ$8,'Калькуляция (5.9)'!$AJ$8:$BC$8,0)),'Калькуляция (5.9)'!$F$25:$F$192,$F60,'Калькуляция (5.9)'!$G$25:$G$192,$G60))</f>
        <v>0</v>
      </c>
      <c r="AR60" s="365">
        <f>IF(AP60=0,0,(AQ60-AP60)/AP60*100)</f>
        <v>0</v>
      </c>
      <c r="AS60" s="66">
        <f>IF(method_reg="Метод сравнения аналогов",_xlfn.SUMIFS(INDEX('Калькуляция (МСА)'!$AE$25:$BC$109,,MATCH(AS$8,'Калькуляция (МСА)'!$AE$8:$BC$8,0)),'Калькуляция (МСА)'!$F$25:$F$109,$F60,'Калькуляция (МСА)'!$G$25:$G$109,$G60),_xlfn.SUMIFS(INDEX('Калькуляция (5.9)'!$AJ$25:$BC$192,,MATCH(AS$8,'Калькуляция (5.9)'!$AJ$8:$BC$8,0)),'Калькуляция (5.9)'!$F$25:$F$192,$F60,'Калькуляция (5.9)'!$G$25:$G$192,$G60))</f>
        <v>0</v>
      </c>
      <c r="AT60" s="66">
        <f>IF(method_reg="Метод сравнения аналогов",_xlfn.SUMIFS(INDEX('Калькуляция (МСА)'!$AE$25:$BC$109,,MATCH(AT$8,'Калькуляция (МСА)'!$AE$8:$BC$8,0)),'Калькуляция (МСА)'!$F$25:$F$109,$F60,'Калькуляция (МСА)'!$G$25:$G$109,$G60),_xlfn.SUMIFS(INDEX('Калькуляция (5.9)'!$AJ$25:$BC$192,,MATCH(AT$8,'Калькуляция (5.9)'!$AJ$8:$BC$8,0)),'Калькуляция (5.9)'!$F$25:$F$192,$F60,'Калькуляция (5.9)'!$G$25:$G$192,$G60))</f>
        <v>0</v>
      </c>
      <c r="AU60" s="365">
        <f>IF(AS60=0,0,(AT60-AS60)/AS60*100)</f>
        <v>0</v>
      </c>
      <c r="AV60" s="66">
        <f>IF(method_reg="Метод сравнения аналогов",_xlfn.SUMIFS(INDEX('Калькуляция (МСА)'!$AE$25:$BC$109,,MATCH(AV$8,'Калькуляция (МСА)'!$AE$8:$BC$8,0)),'Калькуляция (МСА)'!$F$25:$F$109,$F60,'Калькуляция (МСА)'!$G$25:$G$109,$G60),_xlfn.SUMIFS(INDEX('Калькуляция (5.9)'!$AJ$25:$BC$192,,MATCH(AV$8,'Калькуляция (5.9)'!$AJ$8:$BC$8,0)),'Калькуляция (5.9)'!$F$25:$F$192,$F60,'Калькуляция (5.9)'!$G$25:$G$192,$G60))</f>
        <v>0</v>
      </c>
      <c r="AW60" s="66">
        <f>IF(method_reg="Метод сравнения аналогов",_xlfn.SUMIFS(INDEX('Калькуляция (МСА)'!$AE$25:$BC$109,,MATCH(AW$8,'Калькуляция (МСА)'!$AE$8:$BC$8,0)),'Калькуляция (МСА)'!$F$25:$F$109,$F60,'Калькуляция (МСА)'!$G$25:$G$109,$G60),_xlfn.SUMIFS(INDEX('Калькуляция (5.9)'!$AJ$25:$BC$192,,MATCH(AW$8,'Калькуляция (5.9)'!$AJ$8:$BC$8,0)),'Калькуляция (5.9)'!$F$25:$F$192,$F60,'Калькуляция (5.9)'!$G$25:$G$192,$G60))</f>
        <v>0</v>
      </c>
      <c r="AX60" s="365">
        <f>IF(AV60=0,0,(AW60-AV60)/AV60*100)</f>
        <v>0</v>
      </c>
      <c r="AY60" s="66">
        <f>IF(method_reg="Метод сравнения аналогов",_xlfn.SUMIFS(INDEX('Калькуляция (МСА)'!$AE$25:$BC$109,,MATCH(AY$8,'Калькуляция (МСА)'!$AE$8:$BC$8,0)),'Калькуляция (МСА)'!$F$25:$F$109,$F60,'Калькуляция (МСА)'!$G$25:$G$109,$G60),_xlfn.SUMIFS(INDEX('Калькуляция (5.9)'!$AJ$25:$BC$192,,MATCH(AY$8,'Калькуляция (5.9)'!$AJ$8:$BC$8,0)),'Калькуляция (5.9)'!$F$25:$F$192,$F60,'Калькуляция (5.9)'!$G$25:$G$192,$G60))</f>
        <v>0</v>
      </c>
      <c r="AZ60" s="66">
        <f>IF(method_reg="Метод сравнения аналогов",_xlfn.SUMIFS(INDEX('Калькуляция (МСА)'!$AE$25:$BC$109,,MATCH(AZ$8,'Калькуляция (МСА)'!$AE$8:$BC$8,0)),'Калькуляция (МСА)'!$F$25:$F$109,$F60,'Калькуляция (МСА)'!$G$25:$G$109,$G60),_xlfn.SUMIFS(INDEX('Калькуляция (5.9)'!$AJ$25:$BC$192,,MATCH(AZ$8,'Калькуляция (5.9)'!$AJ$8:$BC$8,0)),'Калькуляция (5.9)'!$F$25:$F$192,$F60,'Калькуляция (5.9)'!$G$25:$G$192,$G60))</f>
        <v>0</v>
      </c>
      <c r="BA60" s="365">
        <f>IF(AY60=0,0,(AZ60-AY60)/AY60*100)</f>
        <v>0</v>
      </c>
      <c r="BB60" s="66">
        <f>IF(method_reg="Метод сравнения аналогов",_xlfn.SUMIFS(INDEX('Калькуляция (МСА)'!$AE$25:$BC$109,,MATCH(BB$8,'Калькуляция (МСА)'!$AE$8:$BC$8,0)),'Калькуляция (МСА)'!$F$25:$F$109,$F60,'Калькуляция (МСА)'!$G$25:$G$109,$G60),_xlfn.SUMIFS(INDEX('Калькуляция (5.9)'!$AJ$25:$BC$192,,MATCH(BB$8,'Калькуляция (5.9)'!$AJ$8:$BC$8,0)),'Калькуляция (5.9)'!$F$25:$F$192,$F60,'Калькуляция (5.9)'!$G$25:$G$192,$G60))</f>
        <v>0</v>
      </c>
      <c r="BC60" s="66">
        <f>IF(method_reg="Метод сравнения аналогов",_xlfn.SUMIFS(INDEX('Калькуляция (МСА)'!$AE$25:$BC$109,,MATCH(BC$8,'Калькуляция (МСА)'!$AE$8:$BC$8,0)),'Калькуляция (МСА)'!$F$25:$F$109,$F60,'Калькуляция (МСА)'!$G$25:$G$109,$G60),_xlfn.SUMIFS(INDEX('Калькуляция (5.9)'!$AJ$25:$BC$192,,MATCH(BC$8,'Калькуляция (5.9)'!$AJ$8:$BC$8,0)),'Калькуляция (5.9)'!$F$25:$F$192,$F60,'Калькуляция (5.9)'!$G$25:$G$192,$G60))</f>
        <v>0</v>
      </c>
      <c r="BD60" s="365">
        <f>IF(BB60=0,0,(BC60-BB60)/BB60*100)</f>
        <v>0</v>
      </c>
      <c r="BE60" s="66">
        <f>IF(method_reg="Метод сравнения аналогов",_xlfn.SUMIFS(INDEX('Калькуляция (МСА)'!$AE$25:$BC$109,,MATCH(BE$8,'Калькуляция (МСА)'!$AE$8:$BC$8,0)),'Калькуляция (МСА)'!$F$25:$F$109,$F60,'Калькуляция (МСА)'!$G$25:$G$109,$G60),_xlfn.SUMIFS(INDEX('Калькуляция (5.9)'!$AJ$25:$BC$192,,MATCH(BE$8,'Калькуляция (5.9)'!$AJ$8:$BC$8,0)),'Калькуляция (5.9)'!$F$25:$F$192,$F60,'Калькуляция (5.9)'!$G$25:$G$192,$G60))</f>
        <v>0</v>
      </c>
      <c r="BF60" s="66">
        <f>IF(method_reg="Метод сравнения аналогов",_xlfn.SUMIFS(INDEX('Калькуляция (МСА)'!$AE$25:$BC$109,,MATCH(BF$8,'Калькуляция (МСА)'!$AE$8:$BC$8,0)),'Калькуляция (МСА)'!$F$25:$F$109,$F60,'Калькуляция (МСА)'!$G$25:$G$109,$G60),_xlfn.SUMIFS(INDEX('Калькуляция (5.9)'!$AJ$25:$BC$192,,MATCH(BF$8,'Калькуляция (5.9)'!$AJ$8:$BC$8,0)),'Калькуляция (5.9)'!$F$25:$F$192,$F60,'Калькуляция (5.9)'!$G$25:$G$192,$G60))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2162</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2113</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2163</v>
      </c>
      <c r="D62" s="1291" t="s">
        <v>2164</v>
      </c>
      <c r="E62" s="794">
        <v>15.8</v>
      </c>
      <c r="F62" s="919" cm="1" t="str">
        <f t="array" ref="F62:F62">OFFSET(G62,-1,-1)</f>
        <v>0</v>
      </c>
      <c r="H62" s="210" t="s">
        <v>2135</v>
      </c>
      <c r="I62" s="210" t="s">
        <v>2110</v>
      </c>
      <c r="J62" s="1312"/>
      <c r="K62" s="1312" cm="1" t="str">
        <f t="array" ref="K62:K62">OFFSET(J62,-1,1)</f>
        <v>0</v>
      </c>
      <c r="L62" s="1312"/>
      <c r="M62" s="1312" t="s">
        <v>1724</v>
      </c>
      <c r="N62" s="1312" t="s">
        <v>2111</v>
      </c>
      <c r="O62" s="1313" t="s">
        <v>2112</v>
      </c>
      <c r="P62" s="1312" t="s">
        <v>2136</v>
      </c>
      <c r="Q62" s="1312"/>
      <c r="T62" s="805" cm="1" t="str">
        <f t="array" ref="T62:T62">T61</f>
        <v>false</v>
      </c>
      <c r="AB62" s="273" t="s">
        <v>2137</v>
      </c>
      <c r="AC62" s="169" t="s">
        <v>895</v>
      </c>
      <c r="AD62" s="66">
        <f>IF(AD64=0,0,(AD63*AD64+AD65*AD66*IF(god=2026,9,6))/AD64)</f>
        <v>0</v>
      </c>
      <c r="AE62" s="66">
        <f>IF(AE64=0,0,(AE63*AE64+AE65*AE66*IF(god=2026,9,6))/AE64)</f>
        <v>0</v>
      </c>
      <c r="AF62" s="365">
        <f>IF(AD62=0,0,(AE62-AD62)/AD62*100)</f>
        <v>0</v>
      </c>
      <c r="AG62" s="366">
        <f>IF(AG64=0,0,(AG63*AG64+AG65*AG66*IF(god=2025,9,6))/AG64)</f>
        <v>0</v>
      </c>
      <c r="AH62" s="366">
        <f>IF(AH64=0,0,(AH63*AH64+AH65*AH66*IF(god=2025,9,6))/AH64)</f>
        <v>0</v>
      </c>
      <c r="AI62" s="365">
        <f>IF(AG62=0,0,(AH62-AG62)/AG62*100)</f>
        <v>0</v>
      </c>
      <c r="AJ62" s="366">
        <f>IF(AJ64=0,0,(AJ63*AJ64+AJ65*AJ66*6)/AJ64)</f>
        <v>0</v>
      </c>
      <c r="AK62" s="366">
        <f>IF(AK64=0,0,(AK63*AK64+AK65*AK66*6)/AK64)</f>
        <v>0</v>
      </c>
      <c r="AL62" s="365">
        <f>IF(AJ62=0,0,(AK62-AJ62)/AJ62*100)</f>
        <v>0</v>
      </c>
      <c r="AM62" s="366">
        <f>IF(AM64=0,0,(AM63*AM64+AM65*AM66*6)/AM64)</f>
        <v>0</v>
      </c>
      <c r="AN62" s="366">
        <f>IF(AN64=0,0,(AN63*AN64+AN65*AN66*6)/AN64)</f>
        <v>0</v>
      </c>
      <c r="AO62" s="365">
        <f>IF(AM62=0,0,(AN62-AM62)/AM62*100)</f>
        <v>0</v>
      </c>
      <c r="AP62" s="366">
        <f>IF(AP64=0,0,(AP63*AP64+AP65*AP66*6)/AP64)</f>
        <v>0</v>
      </c>
      <c r="AQ62" s="3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2165</v>
      </c>
      <c r="GA62" s="1181"/>
      <c r="GB62" s="1181"/>
      <c r="GC62" s="1181"/>
      <c r="GD62" s="1181"/>
    </row>
    <row customHeight="1" ht="15.405000000000001" hidden="1">
      <c r="B63" s="961" cm="1" t="str">
        <f t="array" ref="B63:B63">B62</f>
        <v>false</v>
      </c>
      <c r="C63" s="1322" t="s">
        <v>2166</v>
      </c>
      <c r="D63" s="1291" t="s">
        <v>2167</v>
      </c>
      <c r="E63" s="794">
        <v>15.8</v>
      </c>
      <c r="F63" s="919" cm="1" t="str">
        <f t="array" ref="F63:F63">OFFSET(G63,-1,-1)</f>
        <v>0</v>
      </c>
      <c r="H63" s="210" t="s">
        <v>2141</v>
      </c>
      <c r="I63" s="210" t="s">
        <v>2110</v>
      </c>
      <c r="J63" s="1312"/>
      <c r="K63" s="1312" cm="1" t="str">
        <f t="array" ref="K63:K63">OFFSET(J63,-1,1)</f>
        <v>0</v>
      </c>
      <c r="L63" s="1312"/>
      <c r="M63" s="1312" t="s">
        <v>1724</v>
      </c>
      <c r="N63" s="1312" t="s">
        <v>2111</v>
      </c>
      <c r="O63" s="1313" t="s">
        <v>2112</v>
      </c>
      <c r="P63" s="1312" t="s">
        <v>2142</v>
      </c>
      <c r="Q63" s="1312"/>
      <c r="T63" s="805" cm="1" t="str">
        <f t="array" ref="T63:T63">T62</f>
        <v>false</v>
      </c>
      <c r="AB63" s="273" t="s">
        <v>2143</v>
      </c>
      <c r="AC63" s="169" t="s">
        <v>895</v>
      </c>
      <c r="AD63" s="66"/>
      <c r="AE63" s="66"/>
      <c r="AF63" s="365">
        <f>IF(AD63=0,0,(AE63-AD63)/AD63*100)</f>
        <v>0</v>
      </c>
      <c r="AG63" s="366"/>
      <c r="AH63" s="366"/>
      <c r="AI63" s="365">
        <f>IF(AG63=0,0,(AH63-AG63)/AG63*100)</f>
        <v>0</v>
      </c>
      <c r="AJ63" s="366"/>
      <c r="AK63" s="366"/>
      <c r="AL63" s="365">
        <f>IF(AJ63=0,0,(AK63-AJ63)/AJ63*100)</f>
        <v>0</v>
      </c>
      <c r="AM63" s="366"/>
      <c r="AN63" s="366"/>
      <c r="AO63" s="365">
        <f>IF(AM63=0,0,(AN63-AM63)/AM63*100)</f>
        <v>0</v>
      </c>
      <c r="AP63" s="366"/>
      <c r="AQ63" s="3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2168</v>
      </c>
      <c r="GA63" s="1181"/>
      <c r="GB63" s="1181"/>
      <c r="GC63" s="1181"/>
      <c r="GD63" s="1181"/>
    </row>
    <row customHeight="1" ht="15.405000000000001" hidden="1">
      <c r="B64" s="961" cm="1" t="str">
        <f t="array" ref="B64:B64">B63</f>
        <v>false</v>
      </c>
      <c r="C64" s="1322" t="s">
        <v>1721</v>
      </c>
      <c r="D64" s="1291" t="s">
        <v>1722</v>
      </c>
      <c r="E64" s="794">
        <v>15.8</v>
      </c>
      <c r="F64" s="919" cm="1" t="str">
        <f t="array" ref="F64:F64">OFFSET(G64,-1,-1)</f>
        <v>0</v>
      </c>
      <c r="H64" s="210" t="s">
        <v>2145</v>
      </c>
      <c r="I64" s="210" t="s">
        <v>2110</v>
      </c>
      <c r="J64" s="1312"/>
      <c r="K64" s="1312" cm="1" t="str">
        <f t="array" ref="K64:K64">OFFSET(J64,-1,1)</f>
        <v>0</v>
      </c>
      <c r="L64" s="1312"/>
      <c r="M64" s="1312" t="s">
        <v>1724</v>
      </c>
      <c r="N64" s="1312" t="s">
        <v>2111</v>
      </c>
      <c r="O64" s="1313" t="s">
        <v>2112</v>
      </c>
      <c r="P64" s="1312" t="s">
        <v>2146</v>
      </c>
      <c r="Q64" s="1312"/>
      <c r="T64" s="805" cm="1" t="str">
        <f t="array" ref="T64:T64">T63</f>
        <v>false</v>
      </c>
      <c r="AB64" s="273" t="s">
        <v>2147</v>
      </c>
      <c r="AC64" s="169" t="s">
        <v>591</v>
      </c>
      <c r="AD64" s="145"/>
      <c r="AE64" s="145"/>
      <c r="AF64" s="397">
        <f>IF(AD64=0,0,(AE64-AD64)/AD64*100)</f>
        <v>0</v>
      </c>
      <c r="AG64" s="413"/>
      <c r="AH64" s="413"/>
      <c r="AI64" s="397">
        <f>IF(AG64=0,0,(AH64-AG64)/AG64*100)</f>
        <v>0</v>
      </c>
      <c r="AJ64" s="413"/>
      <c r="AK64" s="413"/>
      <c r="AL64" s="397">
        <f>IF(AJ64=0,0,(AK64-AJ64)/AJ64*100)</f>
        <v>0</v>
      </c>
      <c r="AM64" s="413"/>
      <c r="AN64" s="413"/>
      <c r="AO64" s="397">
        <f>IF(AM64=0,0,(AN64-AM64)/AM64*100)</f>
        <v>0</v>
      </c>
      <c r="AP64" s="413"/>
      <c r="AQ64" s="413"/>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2169</v>
      </c>
      <c r="GA64" s="1181"/>
      <c r="GB64" s="1181"/>
      <c r="GC64" s="1181"/>
      <c r="GD64" s="1181"/>
    </row>
    <row customHeight="1" ht="30.712500000000002" hidden="1">
      <c r="B65" s="961" cm="1" t="str">
        <f t="array" ref="B65:B65">B64</f>
        <v>false</v>
      </c>
      <c r="C65" s="1322" t="s">
        <v>1775</v>
      </c>
      <c r="D65" s="1291" t="s">
        <v>1776</v>
      </c>
      <c r="E65" s="794">
        <v>31.5</v>
      </c>
      <c r="F65" s="919" cm="1" t="str">
        <f t="array" ref="F65:F65">OFFSET(G65,-1,-1)</f>
        <v>0</v>
      </c>
      <c r="H65" s="210" t="s">
        <v>2149</v>
      </c>
      <c r="I65" s="210" t="s">
        <v>2110</v>
      </c>
      <c r="J65" s="1312"/>
      <c r="K65" s="1312" cm="1" t="str">
        <f t="array" ref="K65:K65">OFFSET(J65,-1,1)</f>
        <v>0</v>
      </c>
      <c r="L65" s="1312"/>
      <c r="M65" s="1312" t="s">
        <v>1724</v>
      </c>
      <c r="N65" s="1312" t="s">
        <v>2111</v>
      </c>
      <c r="O65" s="1313" t="s">
        <v>2112</v>
      </c>
      <c r="P65" s="1312" t="s">
        <v>2150</v>
      </c>
      <c r="Q65" s="1312"/>
      <c r="T65" s="805" cm="1" t="str">
        <f t="array" ref="T65:T65">T64</f>
        <v>false</v>
      </c>
      <c r="AB65" s="273" t="s">
        <v>2151</v>
      </c>
      <c r="AC65" s="517" t="s">
        <v>1779</v>
      </c>
      <c r="AD65" s="66"/>
      <c r="AE65" s="66"/>
      <c r="AF65" s="365">
        <f>IF(AD65=0,0,(AE65-AD65)/AD65*100)</f>
        <v>0</v>
      </c>
      <c r="AG65" s="366"/>
      <c r="AH65" s="366"/>
      <c r="AI65" s="365">
        <f>IF(AG65=0,0,(AH65-AG65)/AG65*100)</f>
        <v>0</v>
      </c>
      <c r="AJ65" s="366"/>
      <c r="AK65" s="366"/>
      <c r="AL65" s="365">
        <f>IF(AJ65=0,0,(AK65-AJ65)/AJ65*100)</f>
        <v>0</v>
      </c>
      <c r="AM65" s="366"/>
      <c r="AN65" s="366"/>
      <c r="AO65" s="365">
        <f>IF(AM65=0,0,(AN65-AM65)/AM65*100)</f>
        <v>0</v>
      </c>
      <c r="AP65" s="366"/>
      <c r="AQ65" s="3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2170</v>
      </c>
      <c r="GA65" s="1181"/>
      <c r="GB65" s="1181"/>
      <c r="GC65" s="1181"/>
      <c r="GD65" s="1181"/>
    </row>
    <row customHeight="1" ht="15.405000000000001" hidden="1">
      <c r="B66" s="961" cm="1" t="str">
        <f t="array" ref="B66:B66">B65</f>
        <v>false</v>
      </c>
      <c r="C66" s="1322" t="s">
        <v>1747</v>
      </c>
      <c r="D66" s="1291" t="s">
        <v>1748</v>
      </c>
      <c r="E66" s="794">
        <v>15.8</v>
      </c>
      <c r="F66" s="919" cm="1" t="str">
        <f t="array" ref="F66:F66">OFFSET(G66,-1,-1)</f>
        <v>0</v>
      </c>
      <c r="H66" s="210" t="s">
        <v>2153</v>
      </c>
      <c r="I66" s="210" t="s">
        <v>2110</v>
      </c>
      <c r="J66" s="1312"/>
      <c r="K66" s="1312" cm="1" t="str">
        <f t="array" ref="K66:K66">OFFSET(J66,-1,1)</f>
        <v>0</v>
      </c>
      <c r="L66" s="1312"/>
      <c r="M66" s="1312" t="s">
        <v>1724</v>
      </c>
      <c r="N66" s="1312" t="s">
        <v>2111</v>
      </c>
      <c r="O66" s="1313" t="s">
        <v>2112</v>
      </c>
      <c r="P66" s="1312" t="s">
        <v>2154</v>
      </c>
      <c r="Q66" s="1312"/>
      <c r="T66" s="805" cm="1" t="str">
        <f t="array" ref="T66:T66">T65</f>
        <v>false</v>
      </c>
      <c r="AB66" s="273" t="s">
        <v>2155</v>
      </c>
      <c r="AC66" s="664" t="s">
        <v>690</v>
      </c>
      <c r="AD66" s="66"/>
      <c r="AE66" s="66"/>
      <c r="AF66" s="365">
        <f>IF(AD66=0,0,(AE66-AD66)/AD66*100)</f>
        <v>0</v>
      </c>
      <c r="AG66" s="366"/>
      <c r="AH66" s="366"/>
      <c r="AI66" s="365">
        <f>IF(AG66=0,0,(AH66-AG66)/AG66*100)</f>
        <v>0</v>
      </c>
      <c r="AJ66" s="366"/>
      <c r="AK66" s="366"/>
      <c r="AL66" s="365">
        <f>IF(AJ66=0,0,(AK66-AJ66)/AJ66*100)</f>
        <v>0</v>
      </c>
      <c r="AM66" s="366"/>
      <c r="AN66" s="366"/>
      <c r="AO66" s="365">
        <f>IF(AM66=0,0,(AN66-AM66)/AM66*100)</f>
        <v>0</v>
      </c>
      <c r="AP66" s="366"/>
      <c r="AQ66" s="3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2171</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2116</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2163</v>
      </c>
      <c r="D68" s="1291" t="s">
        <v>2164</v>
      </c>
      <c r="E68" s="794">
        <v>15.8</v>
      </c>
      <c r="F68" s="919" cm="1" t="str">
        <f t="array" ref="F68:F68">OFFSET(G68,-1,-1)</f>
        <v>0</v>
      </c>
      <c r="H68" s="210" t="s">
        <v>2135</v>
      </c>
      <c r="I68" s="210" t="s">
        <v>2115</v>
      </c>
      <c r="J68" s="1312"/>
      <c r="K68" s="1312" cm="1" t="str">
        <f t="array" ref="K68:K68">OFFSET(J68,-1,1)</f>
        <v>0</v>
      </c>
      <c r="L68" s="1312"/>
      <c r="M68" s="1312" t="s">
        <v>1733</v>
      </c>
      <c r="N68" s="1312" t="s">
        <v>2111</v>
      </c>
      <c r="O68" s="1313" t="s">
        <v>2112</v>
      </c>
      <c r="P68" s="1312" t="s">
        <v>2136</v>
      </c>
      <c r="Q68" s="1312"/>
      <c r="T68" s="805" cm="1" t="str">
        <f t="array" ref="T68:T68">T67</f>
        <v>false</v>
      </c>
      <c r="AB68" s="273" t="s">
        <v>2137</v>
      </c>
      <c r="AC68" s="169" t="s">
        <v>895</v>
      </c>
      <c r="AD68" s="66">
        <f>IF(AD70=0,0,(AD69*AD70+AD71*AD72*IF(god=2026,3,6))/AD70)</f>
        <v>0</v>
      </c>
      <c r="AE68" s="66">
        <f>IF(AE70=0,0,(AE69*AE70+AE71*AE72*IF(god=2026,3,6))/AE70)</f>
        <v>0</v>
      </c>
      <c r="AF68" s="365">
        <f>IF(AD68=0,0,(AE68-AD68)/AD68*100)</f>
        <v>0</v>
      </c>
      <c r="AG68" s="366">
        <f>IF(AG70=0,0,(AG69*AG70+AG71*AG72*IF(god=2025,3,6))/AG70)</f>
        <v>0</v>
      </c>
      <c r="AH68" s="366">
        <f>IF(AH70=0,0,(AH69*AH70+AH71*AH72*IF(god=2025,3,6))/AH70)</f>
        <v>0</v>
      </c>
      <c r="AI68" s="365">
        <f>IF(AG68=0,0,(AH68-AG68)/AG68*100)</f>
        <v>0</v>
      </c>
      <c r="AJ68" s="366">
        <f>IF(AJ70=0,0,(AJ69*AJ70+AJ71*AJ72*6)/AJ70)</f>
        <v>0</v>
      </c>
      <c r="AK68" s="366">
        <f>IF(AK70=0,0,(AK69*AK70+AK71*AK72*6)/AK70)</f>
        <v>0</v>
      </c>
      <c r="AL68" s="365">
        <f>IF(AJ68=0,0,(AK68-AJ68)/AJ68*100)</f>
        <v>0</v>
      </c>
      <c r="AM68" s="366">
        <f>IF(AM70=0,0,(AM69*AM70+AM71*AM72*6)/AM70)</f>
        <v>0</v>
      </c>
      <c r="AN68" s="366">
        <f>IF(AN70=0,0,(AN69*AN70+AN71*AN72*6)/AN70)</f>
        <v>0</v>
      </c>
      <c r="AO68" s="365">
        <f>IF(AM68=0,0,(AN68-AM68)/AM68*100)</f>
        <v>0</v>
      </c>
      <c r="AP68" s="366">
        <f>IF(AP70=0,0,(AP69*AP70+AP71*AP72*6)/AP70)</f>
        <v>0</v>
      </c>
      <c r="AQ68" s="3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2172</v>
      </c>
      <c r="GA68" s="1181"/>
      <c r="GB68" s="1181"/>
      <c r="GC68" s="1181"/>
      <c r="GD68" s="1181"/>
    </row>
    <row customHeight="1" ht="15.405000000000001" hidden="1">
      <c r="B69" s="961" cm="1" t="str">
        <f t="array" ref="B69:B69">B68</f>
        <v>false</v>
      </c>
      <c r="C69" s="1322" t="s">
        <v>2166</v>
      </c>
      <c r="D69" s="1291" t="s">
        <v>2167</v>
      </c>
      <c r="E69" s="794">
        <v>15.8</v>
      </c>
      <c r="F69" s="919" cm="1" t="str">
        <f t="array" ref="F69:F69">OFFSET(G69,-1,-1)</f>
        <v>0</v>
      </c>
      <c r="H69" s="210" t="s">
        <v>2141</v>
      </c>
      <c r="I69" s="210" t="s">
        <v>2115</v>
      </c>
      <c r="J69" s="1312"/>
      <c r="K69" s="1312" cm="1" t="str">
        <f t="array" ref="K69:K69">OFFSET(J69,-1,1)</f>
        <v>0</v>
      </c>
      <c r="L69" s="1312"/>
      <c r="M69" s="1312" t="s">
        <v>1733</v>
      </c>
      <c r="N69" s="1312" t="s">
        <v>2111</v>
      </c>
      <c r="O69" s="1313" t="s">
        <v>2112</v>
      </c>
      <c r="P69" s="1312" t="s">
        <v>2142</v>
      </c>
      <c r="Q69" s="1312"/>
      <c r="T69" s="805" cm="1" t="str">
        <f t="array" ref="T69:T69">T68</f>
        <v>false</v>
      </c>
      <c r="AB69" s="273" t="s">
        <v>2143</v>
      </c>
      <c r="AC69" s="169" t="s">
        <v>895</v>
      </c>
      <c r="AD69" s="66"/>
      <c r="AE69" s="66"/>
      <c r="AF69" s="365">
        <f>IF(AD69=0,0,(AE69-AD69)/AD69*100)</f>
        <v>0</v>
      </c>
      <c r="AG69" s="366"/>
      <c r="AH69" s="366"/>
      <c r="AI69" s="365">
        <f>IF(AG69=0,0,(AH69-AG69)/AG69*100)</f>
        <v>0</v>
      </c>
      <c r="AJ69" s="366"/>
      <c r="AK69" s="366"/>
      <c r="AL69" s="365">
        <f>IF(AJ69=0,0,(AK69-AJ69)/AJ69*100)</f>
        <v>0</v>
      </c>
      <c r="AM69" s="366"/>
      <c r="AN69" s="366"/>
      <c r="AO69" s="365">
        <f>IF(AM69=0,0,(AN69-AM69)/AM69*100)</f>
        <v>0</v>
      </c>
      <c r="AP69" s="366"/>
      <c r="AQ69" s="3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2173</v>
      </c>
      <c r="GA69" s="1181"/>
      <c r="GB69" s="1181"/>
      <c r="GC69" s="1181"/>
      <c r="GD69" s="1181"/>
    </row>
    <row customHeight="1" ht="15.405000000000001" hidden="1">
      <c r="B70" s="961" cm="1" t="str">
        <f t="array" ref="B70:B70">B69</f>
        <v>false</v>
      </c>
      <c r="C70" s="1322" t="s">
        <v>1721</v>
      </c>
      <c r="D70" s="1291" t="s">
        <v>1722</v>
      </c>
      <c r="E70" s="794">
        <v>15.8</v>
      </c>
      <c r="F70" s="919" cm="1" t="str">
        <f t="array" ref="F70:F70">OFFSET(G70,-1,-1)</f>
        <v>0</v>
      </c>
      <c r="H70" s="210" t="s">
        <v>2145</v>
      </c>
      <c r="I70" s="210" t="s">
        <v>2115</v>
      </c>
      <c r="J70" s="1312"/>
      <c r="K70" s="1312" cm="1" t="str">
        <f t="array" ref="K70:K70">OFFSET(J70,-1,1)</f>
        <v>0</v>
      </c>
      <c r="L70" s="1312"/>
      <c r="M70" s="1312" t="s">
        <v>1733</v>
      </c>
      <c r="N70" s="1312" t="s">
        <v>2111</v>
      </c>
      <c r="O70" s="1313" t="s">
        <v>2112</v>
      </c>
      <c r="P70" s="1312" t="s">
        <v>2146</v>
      </c>
      <c r="Q70" s="1312"/>
      <c r="T70" s="805" cm="1" t="str">
        <f t="array" ref="T70:T70">T69</f>
        <v>false</v>
      </c>
      <c r="AB70" s="273" t="s">
        <v>2147</v>
      </c>
      <c r="AC70" s="169" t="s">
        <v>591</v>
      </c>
      <c r="AD70" s="145"/>
      <c r="AE70" s="145"/>
      <c r="AF70" s="397">
        <f>IF(AD70=0,0,(AE70-AD70)/AD70*100)</f>
        <v>0</v>
      </c>
      <c r="AG70" s="413"/>
      <c r="AH70" s="413"/>
      <c r="AI70" s="397">
        <f>IF(AG70=0,0,(AH70-AG70)/AG70*100)</f>
        <v>0</v>
      </c>
      <c r="AJ70" s="413"/>
      <c r="AK70" s="413"/>
      <c r="AL70" s="397">
        <f>IF(AJ70=0,0,(AK70-AJ70)/AJ70*100)</f>
        <v>0</v>
      </c>
      <c r="AM70" s="413"/>
      <c r="AN70" s="413"/>
      <c r="AO70" s="397">
        <f>IF(AM70=0,0,(AN70-AM70)/AM70*100)</f>
        <v>0</v>
      </c>
      <c r="AP70" s="413"/>
      <c r="AQ70" s="413"/>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2174</v>
      </c>
      <c r="GA70" s="1181"/>
      <c r="GB70" s="1181"/>
      <c r="GC70" s="1181"/>
      <c r="GD70" s="1181"/>
    </row>
    <row customHeight="1" ht="30.712500000000002" hidden="1">
      <c r="B71" s="961" cm="1" t="str">
        <f t="array" ref="B71:B71">B70</f>
        <v>false</v>
      </c>
      <c r="C71" s="1322" t="s">
        <v>1775</v>
      </c>
      <c r="D71" s="1291" t="s">
        <v>1776</v>
      </c>
      <c r="E71" s="794">
        <v>31.5</v>
      </c>
      <c r="F71" s="919" cm="1" t="str">
        <f t="array" ref="F71:F71">OFFSET(G71,-1,-1)</f>
        <v>0</v>
      </c>
      <c r="H71" s="210" t="s">
        <v>2149</v>
      </c>
      <c r="I71" s="210" t="s">
        <v>2115</v>
      </c>
      <c r="J71" s="1312"/>
      <c r="K71" s="1312" cm="1" t="str">
        <f t="array" ref="K71:K71">OFFSET(J71,-1,1)</f>
        <v>0</v>
      </c>
      <c r="L71" s="1312"/>
      <c r="M71" s="1312" t="s">
        <v>1733</v>
      </c>
      <c r="N71" s="1312" t="s">
        <v>2111</v>
      </c>
      <c r="O71" s="1313" t="s">
        <v>2112</v>
      </c>
      <c r="P71" s="1312" t="s">
        <v>2150</v>
      </c>
      <c r="Q71" s="1312"/>
      <c r="T71" s="805" cm="1" t="str">
        <f t="array" ref="T71:T71">T70</f>
        <v>false</v>
      </c>
      <c r="AB71" s="273" t="s">
        <v>2151</v>
      </c>
      <c r="AC71" s="517" t="s">
        <v>1779</v>
      </c>
      <c r="AD71" s="66"/>
      <c r="AE71" s="66"/>
      <c r="AF71" s="365">
        <f>IF(AD71=0,0,(AE71-AD71)/AD71*100)</f>
        <v>0</v>
      </c>
      <c r="AG71" s="366"/>
      <c r="AH71" s="366"/>
      <c r="AI71" s="365">
        <f>IF(AG71=0,0,(AH71-AG71)/AG71*100)</f>
        <v>0</v>
      </c>
      <c r="AJ71" s="366"/>
      <c r="AK71" s="366"/>
      <c r="AL71" s="365">
        <f>IF(AJ71=0,0,(AK71-AJ71)/AJ71*100)</f>
        <v>0</v>
      </c>
      <c r="AM71" s="366"/>
      <c r="AN71" s="366"/>
      <c r="AO71" s="365">
        <f>IF(AM71=0,0,(AN71-AM71)/AM71*100)</f>
        <v>0</v>
      </c>
      <c r="AP71" s="366"/>
      <c r="AQ71" s="3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2175</v>
      </c>
      <c r="GA71" s="1181"/>
      <c r="GB71" s="1181"/>
      <c r="GC71" s="1181"/>
      <c r="GD71" s="1181"/>
    </row>
    <row customHeight="1" ht="15.405000000000001" hidden="1">
      <c r="B72" s="961" cm="1" t="str">
        <f t="array" ref="B72:B72">B71</f>
        <v>false</v>
      </c>
      <c r="C72" s="1322" t="s">
        <v>1747</v>
      </c>
      <c r="D72" s="1291" t="s">
        <v>1748</v>
      </c>
      <c r="E72" s="794">
        <v>15.8</v>
      </c>
      <c r="F72" s="919" cm="1" t="str">
        <f t="array" ref="F72:F72">OFFSET(G72,-1,-1)</f>
        <v>0</v>
      </c>
      <c r="H72" s="210" t="s">
        <v>2153</v>
      </c>
      <c r="I72" s="210" t="s">
        <v>2115</v>
      </c>
      <c r="J72" s="1312"/>
      <c r="K72" s="1312" cm="1" t="str">
        <f t="array" ref="K72:K72">OFFSET(J72,-1,1)</f>
        <v>0</v>
      </c>
      <c r="L72" s="1312"/>
      <c r="M72" s="1312" t="s">
        <v>1733</v>
      </c>
      <c r="N72" s="1312" t="s">
        <v>2111</v>
      </c>
      <c r="O72" s="1313" t="s">
        <v>2112</v>
      </c>
      <c r="P72" s="1312" t="s">
        <v>2154</v>
      </c>
      <c r="Q72" s="1312"/>
      <c r="T72" s="805" cm="1" t="str">
        <f t="array" ref="T72:T72">T71</f>
        <v>false</v>
      </c>
      <c r="AB72" s="273" t="s">
        <v>2155</v>
      </c>
      <c r="AC72" s="664" t="s">
        <v>690</v>
      </c>
      <c r="AD72" s="66"/>
      <c r="AE72" s="66"/>
      <c r="AF72" s="365">
        <f>IF(AD72=0,0,(AE72-AD72)/AD72*100)</f>
        <v>0</v>
      </c>
      <c r="AG72" s="366"/>
      <c r="AH72" s="366"/>
      <c r="AI72" s="365">
        <f>IF(AG72=0,0,(AH72-AG72)/AG72*100)</f>
        <v>0</v>
      </c>
      <c r="AJ72" s="366"/>
      <c r="AK72" s="366"/>
      <c r="AL72" s="365">
        <f>IF(AJ72=0,0,(AK72-AJ72)/AJ72*100)</f>
        <v>0</v>
      </c>
      <c r="AM72" s="366"/>
      <c r="AN72" s="366"/>
      <c r="AO72" s="365">
        <f>IF(AM72=0,0,(AN72-AM72)/AM72*100)</f>
        <v>0</v>
      </c>
      <c r="AP72" s="366"/>
      <c r="AQ72" s="3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2176</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235</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19" customFormat="1" customHeight="1" ht="21.75">
      <c r="A74" s="1461"/>
      <c r="B74" s="924"/>
      <c r="C74" s="1322"/>
      <c r="D74" s="1291"/>
      <c r="E74" s="794">
        <v>22.5</v>
      </c>
      <c r="F74" s="919" cm="1" t="str">
        <f t="array" ref="F74:F74">X74</f>
        <v>1</v>
      </c>
      <c r="G74" s="736" cm="1" t="str">
        <f t="array" ref="G74:G74">INDEX('Общие сведения'!$AK$169:$AK$218,MATCH($F74,'Общие сведения'!$Z$169:$Z$218,0))</f>
        <v>одноставочный</v>
      </c>
      <c r="H74" s="497"/>
      <c r="I74" s="497"/>
      <c r="J74" s="1314"/>
      <c r="K74" s="1314"/>
      <c r="L74" s="1314"/>
      <c r="M74" s="1314"/>
      <c r="N74" s="1314"/>
      <c r="O74" s="1314"/>
      <c r="P74" s="1314"/>
      <c r="Q74" s="1296"/>
      <c r="R74" s="210" cm="1" t="str">
        <f t="array" ref="R74:R74">INDEX('Общие сведения'!$AK$169:$AK$218,MATCH($F74,'Общие сведения'!$Z$169:$Z$218,0))</f>
        <v>одноставочный</v>
      </c>
      <c r="S74" s="497"/>
      <c r="T74" s="805">
        <f>X74&gt;0</f>
        <v>1</v>
      </c>
      <c r="U74" s="1461"/>
      <c r="V74" s="172" cm="1" t="str">
        <f t="array" ref="V74:V74">'ИП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W74" s="1461"/>
      <c r="X74" s="172" t="s">
        <v>335</v>
      </c>
      <c r="Y74" s="1461"/>
      <c r="Z74" s="1461"/>
      <c r="AA74" s="497"/>
      <c r="AB74" s="1569" cm="1" t="str">
        <f t="array" ref="AB74:AB74">IF(ISBLANK('ИП источники'!$AB$49),"",'ИП источники'!$AB$49)</f>
        <v>Тариф 1 (Теплоснабжение) - Тариф на тепловую энергию (мощность), поставляемую потребителям (Тариф: Носитель - горячая вода (Т); Носитель - горячая вода (Т))</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19"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19"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2083</v>
      </c>
      <c r="AC76" s="1444"/>
      <c r="AD76" s="351" cm="1" t="str">
        <f t="array" ref="AD76:AD76">INDEX('Общие сведения'!$AM$169:$AM$218,MATCH($F76,'Общие сведения'!$Z$169:$Z$218,0))</f>
        <v>Тариф на тепловую энергию (мощность), поставляемую потребителям</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19"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2084</v>
      </c>
      <c r="AC77" s="1444"/>
      <c r="AD77" s="351" cm="1" t="str">
        <f t="array" ref="AD77:AD77">INDEX('Общие сведения'!$AJ$169:$AJ$218,MATCH($F77,'Общие сведения'!$Z$169:$Z$218,0))</f>
        <v>Тариф: Носитель - горячая вода (Т); Носитель - горячая вода (Т)</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19"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2085</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2059" customFormat="1" customHeight="1" ht="16.5">
      <c r="A79" s="360"/>
      <c r="B79" s="961" cm="1" t="str">
        <f t="array" ref="B79:B79">B78</f>
        <v>true</v>
      </c>
      <c r="C79" s="1322" t="s">
        <v>2086</v>
      </c>
      <c r="D79" s="1291" t="s">
        <v>2087</v>
      </c>
      <c r="E79" s="794">
        <v>17.1</v>
      </c>
      <c r="F79" s="919" cm="1" t="str">
        <f t="array" ref="F79:F79">OFFSET(G79,-1,-1)</f>
        <v>1</v>
      </c>
      <c r="G79" s="736" t="s">
        <v>1729</v>
      </c>
      <c r="H79" s="210" t="s">
        <v>493</v>
      </c>
      <c r="I79" s="210" t="s">
        <v>2088</v>
      </c>
      <c r="J79" s="1312" t="s">
        <v>2089</v>
      </c>
      <c r="K79" s="1312" cm="1" t="str">
        <f t="array" ref="K79:K79">INDEX('Общие сведения'!$N$169:$N$218,MATCH($F79,'Общие сведения'!$Z$169:$Z$218,0)+1)</f>
        <v>ТЭ.42.26824396.0004</v>
      </c>
      <c r="L79" s="1312" t="s">
        <v>2090</v>
      </c>
      <c r="M79" s="1312" t="s">
        <v>1724</v>
      </c>
      <c r="N79" s="1312" t="s">
        <v>2091</v>
      </c>
      <c r="O79" s="1313" t="s">
        <v>2092</v>
      </c>
      <c r="P79" s="1312"/>
      <c r="Q79" s="1312"/>
      <c r="R79" s="360"/>
      <c r="S79" s="360"/>
      <c r="T79" s="805" cm="1" t="str">
        <f t="array" ref="T79:T79">T78</f>
        <v>true</v>
      </c>
      <c r="U79" s="360"/>
      <c r="V79" s="360"/>
      <c r="W79" s="360"/>
      <c r="X79" s="360"/>
      <c r="Y79" s="360"/>
      <c r="Z79" s="360"/>
      <c r="AA79" s="360"/>
      <c r="AB79" s="1351" t="s">
        <v>2093</v>
      </c>
      <c r="AC79" s="361" t="s">
        <v>895</v>
      </c>
      <c r="AD79" s="2060">
        <f>IF(method_reg="Метод экономически обоснованных расходов",_xlfn.SUMIFS('Калькуляция (4.6)'!AJ$25:AJ$229,'Калькуляция (4.6)'!$F$25:$F$229,$F79,'Калькуляция (4.6)'!$G$25:$G$229,$G79),IF(method_reg="Метод сравнения аналогов",_xlfn.SUMIFS(INDEX('Калькуляция (МСА)'!$AE$25:$BC$109,,MATCH(AD$8,'Калькуляция (МСА)'!$AE$8:$BC$8,0)),'Калькуляция (МСА)'!$F$25:$F$109,$F79,'Калькуляция (МСА)'!$G$25:$G$109,$G79),_xlfn.SUMIFS(INDEX('Калькуляция (5.9)'!$AJ$25:$BC$192,,MATCH(AD$8,'Калькуляция (5.9)'!$AJ$8:$BC$8,0)),'Калькуляция (5.9)'!$F$25:$F$192,$F79,'Калькуляция (5.9)'!$G$25:$G$192,$G79)))</f>
        <v>3992.09</v>
      </c>
      <c r="AE79" s="2060">
        <f>IF(method_reg="Метод экономически обоснованных расходов",_xlfn.SUMIFS('Калькуляция (4.6)'!AK$25:AK$229,'Калькуляция (4.6)'!$F$25:$F$229,$F79,'Калькуляция (4.6)'!$G$25:$G$229,$G79),IF(method_reg="Метод сравнения аналогов",_xlfn.SUMIFS(INDEX('Калькуляция (МСА)'!$AE$25:$BC$109,,MATCH(AE$8,'Калькуляция (МСА)'!$AE$8:$BC$8,0)),'Калькуляция (МСА)'!$F$25:$F$109,$F79,'Калькуляция (МСА)'!$G$25:$G$109,$G79),_xlfn.SUMIFS(INDEX('Калькуляция (5.9)'!$AJ$25:$BC$192,,MATCH(AE$8,'Калькуляция (5.9)'!$AJ$8:$BC$8,0)),'Калькуляция (5.9)'!$F$25:$F$192,$F79,'Калькуляция (5.9)'!$G$25:$G$192,$G79)))</f>
        <v>3992.09</v>
      </c>
      <c r="AF79" s="363">
        <f>IF(AD79=0,0,(AE79-AD79)/AD79*100)</f>
        <v>0</v>
      </c>
      <c r="AG79" s="362">
        <f>IF(method_reg="Метод сравнения аналогов",_xlfn.SUMIFS(INDEX('Калькуляция (МСА)'!$AE$25:$BC$109,,MATCH(AG$8,'Калькуляция (МСА)'!$AE$8:$BC$8,0)),'Калькуляция (МСА)'!$F$25:$F$109,$F79,'Калькуляция (МСА)'!$G$25:$G$109,$G79),_xlfn.SUMIFS(INDEX('Калькуляция (5.9)'!$AJ$25:$BC$192,,MATCH(AG$8,'Калькуляция (5.9)'!$AJ$8:$BC$8,0)),'Калькуляция (5.9)'!$F$25:$F$192,$F79,'Калькуляция (5.9)'!$G$25:$G$192,$G79))</f>
        <v>10198.172263965</v>
      </c>
      <c r="AH79" s="362">
        <f>IF(method_reg="Метод сравнения аналогов",_xlfn.SUMIFS(INDEX('Калькуляция (МСА)'!$AE$25:$BC$109,,MATCH(AH$8,'Калькуляция (МСА)'!$AE$8:$BC$8,0)),'Калькуляция (МСА)'!$F$25:$F$109,$F79,'Калькуляция (МСА)'!$G$25:$G$109,$G79),_xlfn.SUMIFS(INDEX('Калькуляция (5.9)'!$AJ$25:$BC$192,,MATCH(AH$8,'Калькуляция (5.9)'!$AJ$8:$BC$8,0)),'Калькуляция (5.9)'!$F$25:$F$192,$F79,'Калькуляция (5.9)'!$G$25:$G$192,$G79))</f>
        <v>4444.48</v>
      </c>
      <c r="AI79" s="363">
        <f>IF(AG79=0,0,(AH79-AG79)/AG79*100)</f>
        <v>-56.4188573701146</v>
      </c>
      <c r="AJ79" s="362">
        <f>IF(method_reg="Метод сравнения аналогов",_xlfn.SUMIFS(INDEX('Калькуляция (МСА)'!$AE$25:$BC$109,,MATCH(AJ$8,'Калькуляция (МСА)'!$AE$8:$BC$8,0)),'Калькуляция (МСА)'!$F$25:$F$109,$F79,'Калькуляция (МСА)'!$G$25:$G$109,$G79),_xlfn.SUMIFS(INDEX('Калькуляция (5.9)'!$AJ$25:$BC$192,,MATCH(AJ$8,'Калькуляция (5.9)'!$AJ$8:$BC$8,0)),'Калькуляция (5.9)'!$F$25:$F$192,$F79,'Калькуляция (5.9)'!$G$25:$G$192,$G79))</f>
        <v>10198.1722639647</v>
      </c>
      <c r="AK79" s="362">
        <f>IF(method_reg="Метод сравнения аналогов",_xlfn.SUMIFS(INDEX('Калькуляция (МСА)'!$AE$25:$BC$109,,MATCH(AK$8,'Калькуляция (МСА)'!$AE$8:$BC$8,0)),'Калькуляция (МСА)'!$F$25:$F$109,$F79,'Калькуляция (МСА)'!$G$25:$G$109,$G79),_xlfn.SUMIFS(INDEX('Калькуляция (5.9)'!$AJ$25:$BC$192,,MATCH(AK$8,'Калькуляция (5.9)'!$AJ$8:$BC$8,0)),'Калькуляция (5.9)'!$F$25:$F$192,$F79,'Калькуляция (5.9)'!$G$25:$G$192,$G79))</f>
        <v>8240.40037236781</v>
      </c>
      <c r="AL79" s="363">
        <f>IF(AJ79=0,0,(AK79-AJ79)/AJ79*100)</f>
        <v>-19.1972820317488</v>
      </c>
      <c r="AM79" s="362">
        <f>IF(method_reg="Метод сравнения аналогов",_xlfn.SUMIFS(INDEX('Калькуляция (МСА)'!$AE$25:$BC$109,,MATCH(AM$8,'Калькуляция (МСА)'!$AE$8:$BC$8,0)),'Калькуляция (МСА)'!$F$25:$F$109,$F79,'Калькуляция (МСА)'!$G$25:$G$109,$G79),_xlfn.SUMIFS(INDEX('Калькуляция (5.9)'!$AJ$25:$BC$192,,MATCH(AM$8,'Калькуляция (5.9)'!$AJ$8:$BC$8,0)),'Калькуляция (5.9)'!$F$25:$F$192,$F79,'Калькуляция (5.9)'!$G$25:$G$192,$G79))</f>
        <v>10891.487924789</v>
      </c>
      <c r="AN79" s="362">
        <f>IF(method_reg="Метод сравнения аналогов",_xlfn.SUMIFS(INDEX('Калькуляция (МСА)'!$AE$25:$BC$109,,MATCH(AN$8,'Калькуляция (МСА)'!$AE$8:$BC$8,0)),'Калькуляция (МСА)'!$F$25:$F$109,$F79,'Калькуляция (МСА)'!$G$25:$G$109,$G79),_xlfn.SUMIFS(INDEX('Калькуляция (5.9)'!$AJ$25:$BC$192,,MATCH(AN$8,'Калькуляция (5.9)'!$AJ$8:$BC$8,0)),'Калькуляция (5.9)'!$F$25:$F$192,$F79,'Калькуляция (5.9)'!$G$25:$G$192,$G79))</f>
        <v>8240.40037236781</v>
      </c>
      <c r="AO79" s="363">
        <f>IF(AM79=0,0,(AN79-AM79)/AM79*100)</f>
        <v>-24.3409125615181</v>
      </c>
      <c r="AP79" s="362">
        <f>IF(method_reg="Метод сравнения аналогов",_xlfn.SUMIFS(INDEX('Калькуляция (МСА)'!$AE$25:$BC$109,,MATCH(AP$8,'Калькуляция (МСА)'!$AE$8:$BC$8,0)),'Калькуляция (МСА)'!$F$25:$F$109,$F79,'Калькуляция (МСА)'!$G$25:$G$109,$G79),_xlfn.SUMIFS(INDEX('Калькуляция (5.9)'!$AJ$25:$BC$192,,MATCH(AP$8,'Калькуляция (5.9)'!$AJ$8:$BC$8,0)),'Калькуляция (5.9)'!$F$25:$F$192,$F79,'Калькуляция (5.9)'!$G$25:$G$192,$G79))</f>
        <v>10891.487924789</v>
      </c>
      <c r="AQ79" s="362">
        <f>IF(method_reg="Метод сравнения аналогов",_xlfn.SUMIFS(INDEX('Калькуляция (МСА)'!$AE$25:$BC$109,,MATCH(AQ$8,'Калькуляция (МСА)'!$AE$8:$BC$8,0)),'Калькуляция (МСА)'!$F$25:$F$109,$F79,'Калькуляция (МСА)'!$G$25:$G$109,$G79),_xlfn.SUMIFS(INDEX('Калькуляция (5.9)'!$AJ$25:$BC$192,,MATCH(AQ$8,'Калькуляция (5.9)'!$AJ$8:$BC$8,0)),'Калькуляция (5.9)'!$F$25:$F$192,$F79,'Калькуляция (5.9)'!$G$25:$G$192,$G79))</f>
        <v>8805.95533510562</v>
      </c>
      <c r="AR79" s="363">
        <f>IF(AP79=0,0,(AQ79-AP79)/AP79*100)</f>
        <v>-19.1482798685083</v>
      </c>
      <c r="AS79" s="2060">
        <f>IF(method_reg="Метод сравнения аналогов",_xlfn.SUMIFS(INDEX('Калькуляция (МСА)'!$AE$25:$BC$109,,MATCH(AS$8,'Калькуляция (МСА)'!$AE$8:$BC$8,0)),'Калькуляция (МСА)'!$F$25:$F$109,$F79,'Калькуляция (МСА)'!$G$25:$G$109,$G79),_xlfn.SUMIFS(INDEX('Калькуляция (5.9)'!$AJ$25:$BC$192,,MATCH(AS$8,'Калькуляция (5.9)'!$AJ$8:$BC$8,0)),'Калькуляция (5.9)'!$F$25:$F$192,$F79,'Калькуляция (5.9)'!$G$25:$G$192,$G79))</f>
        <v>2400.45285593701</v>
      </c>
      <c r="AT79" s="2060">
        <f>IF(method_reg="Метод сравнения аналогов",_xlfn.SUMIFS(INDEX('Калькуляция (МСА)'!$AE$25:$BC$109,,MATCH(AT$8,'Калькуляция (МСА)'!$AE$8:$BC$8,0)),'Калькуляция (МСА)'!$F$25:$F$109,$F79,'Калькуляция (МСА)'!$G$25:$G$109,$G79),_xlfn.SUMIFS(INDEX('Калькуляция (5.9)'!$AJ$25:$BC$192,,MATCH(AT$8,'Калькуляция (5.9)'!$AJ$8:$BC$8,0)),'Калькуляция (5.9)'!$F$25:$F$192,$F79,'Калькуляция (5.9)'!$G$25:$G$192,$G79))</f>
        <v>0</v>
      </c>
      <c r="AU79" s="363">
        <f>IF(AS79=0,0,(AT79-AS79)/AS79*100)</f>
        <v>-100</v>
      </c>
      <c r="AV79" s="2060">
        <f>IF(method_reg="Метод сравнения аналогов",_xlfn.SUMIFS(INDEX('Калькуляция (МСА)'!$AE$25:$BC$109,,MATCH(AV$8,'Калькуляция (МСА)'!$AE$8:$BC$8,0)),'Калькуляция (МСА)'!$F$25:$F$109,$F79,'Калькуляция (МСА)'!$G$25:$G$109,$G79),_xlfn.SUMIFS(INDEX('Калькуляция (5.9)'!$AJ$25:$BC$192,,MATCH(AV$8,'Калькуляция (5.9)'!$AJ$8:$BC$8,0)),'Калькуляция (5.9)'!$F$25:$F$192,$F79,'Калькуляция (5.9)'!$G$25:$G$192,$G79))</f>
        <v>2376.44832737764</v>
      </c>
      <c r="AW79" s="2060">
        <f>IF(method_reg="Метод сравнения аналогов",_xlfn.SUMIFS(INDEX('Калькуляция (МСА)'!$AE$25:$BC$109,,MATCH(AW$8,'Калькуляция (МСА)'!$AE$8:$BC$8,0)),'Калькуляция (МСА)'!$F$25:$F$109,$F79,'Калькуляция (МСА)'!$G$25:$G$109,$G79),_xlfn.SUMIFS(INDEX('Калькуляция (5.9)'!$AJ$25:$BC$192,,MATCH(AW$8,'Калькуляция (5.9)'!$AJ$8:$BC$8,0)),'Калькуляция (5.9)'!$F$25:$F$192,$F79,'Калькуляция (5.9)'!$G$25:$G$192,$G79))</f>
        <v>0</v>
      </c>
      <c r="AX79" s="363">
        <f>IF(AV79=0,0,(AW79-AV79)/AV79*100)</f>
        <v>-100</v>
      </c>
      <c r="AY79" s="2060">
        <f>IF(method_reg="Метод сравнения аналогов",_xlfn.SUMIFS(INDEX('Калькуляция (МСА)'!$AE$25:$BC$109,,MATCH(AY$8,'Калькуляция (МСА)'!$AE$8:$BC$8,0)),'Калькуляция (МСА)'!$F$25:$F$109,$F79,'Калькуляция (МСА)'!$G$25:$G$109,$G79),_xlfn.SUMIFS(INDEX('Калькуляция (5.9)'!$AJ$25:$BC$192,,MATCH(AY$8,'Калькуляция (5.9)'!$AJ$8:$BC$8,0)),'Калькуляция (5.9)'!$F$25:$F$192,$F79,'Калькуляция (5.9)'!$G$25:$G$192,$G79))</f>
        <v>2352.68384410387</v>
      </c>
      <c r="AZ79" s="2060">
        <f>IF(method_reg="Метод сравнения аналогов",_xlfn.SUMIFS(INDEX('Калькуляция (МСА)'!$AE$25:$BC$109,,MATCH(AZ$8,'Калькуляция (МСА)'!$AE$8:$BC$8,0)),'Калькуляция (МСА)'!$F$25:$F$109,$F79,'Калькуляция (МСА)'!$G$25:$G$109,$G79),_xlfn.SUMIFS(INDEX('Калькуляция (5.9)'!$AJ$25:$BC$192,,MATCH(AZ$8,'Калькуляция (5.9)'!$AJ$8:$BC$8,0)),'Калькуляция (5.9)'!$F$25:$F$192,$F79,'Калькуляция (5.9)'!$G$25:$G$192,$G79))</f>
        <v>0</v>
      </c>
      <c r="BA79" s="363">
        <f>IF(AY79=0,0,(AZ79-AY79)/AY79*100)</f>
        <v>-100</v>
      </c>
      <c r="BB79" s="2060">
        <f>IF(method_reg="Метод сравнения аналогов",_xlfn.SUMIFS(INDEX('Калькуляция (МСА)'!$AE$25:$BC$109,,MATCH(BB$8,'Калькуляция (МСА)'!$AE$8:$BC$8,0)),'Калькуляция (МСА)'!$F$25:$F$109,$F79,'Калькуляция (МСА)'!$G$25:$G$109,$G79),_xlfn.SUMIFS(INDEX('Калькуляция (5.9)'!$AJ$25:$BC$192,,MATCH(BB$8,'Калькуляция (5.9)'!$AJ$8:$BC$8,0)),'Калькуляция (5.9)'!$F$25:$F$192,$F79,'Калькуляция (5.9)'!$G$25:$G$192,$G79))</f>
        <v>2329.15700566283</v>
      </c>
      <c r="BC79" s="2060">
        <f>IF(method_reg="Метод сравнения аналогов",_xlfn.SUMIFS(INDEX('Калькуляция (МСА)'!$AE$25:$BC$109,,MATCH(BC$8,'Калькуляция (МСА)'!$AE$8:$BC$8,0)),'Калькуляция (МСА)'!$F$25:$F$109,$F79,'Калькуляция (МСА)'!$G$25:$G$109,$G79),_xlfn.SUMIFS(INDEX('Калькуляция (5.9)'!$AJ$25:$BC$192,,MATCH(BC$8,'Калькуляция (5.9)'!$AJ$8:$BC$8,0)),'Калькуляция (5.9)'!$F$25:$F$192,$F79,'Калькуляция (5.9)'!$G$25:$G$192,$G79))</f>
        <v>0</v>
      </c>
      <c r="BD79" s="363">
        <f>IF(BB79=0,0,(BC79-BB79)/BB79*100)</f>
        <v>-100</v>
      </c>
      <c r="BE79" s="2060">
        <f>IF(method_reg="Метод сравнения аналогов",_xlfn.SUMIFS(INDEX('Калькуляция (МСА)'!$AE$25:$BC$109,,MATCH(BE$8,'Калькуляция (МСА)'!$AE$8:$BC$8,0)),'Калькуляция (МСА)'!$F$25:$F$109,$F79,'Калькуляция (МСА)'!$G$25:$G$109,$G79),_xlfn.SUMIFS(INDEX('Калькуляция (5.9)'!$AJ$25:$BC$192,,MATCH(BE$8,'Калькуляция (5.9)'!$AJ$8:$BC$8,0)),'Калькуляция (5.9)'!$F$25:$F$192,$F79,'Калькуляция (5.9)'!$G$25:$G$192,$G79))</f>
        <v>2305.8654356062</v>
      </c>
      <c r="BF79" s="2060">
        <f>IF(method_reg="Метод сравнения аналогов",_xlfn.SUMIFS(INDEX('Калькуляция (МСА)'!$AE$25:$BC$109,,MATCH(BF$8,'Калькуляция (МСА)'!$AE$8:$BC$8,0)),'Калькуляция (МСА)'!$F$25:$F$109,$F79,'Калькуляция (МСА)'!$G$25:$G$109,$G79),_xlfn.SUMIFS(INDEX('Калькуляция (5.9)'!$AJ$25:$BC$192,,MATCH(BF$8,'Калькуляция (5.9)'!$AJ$8:$BC$8,0)),'Калькуляция (5.9)'!$F$25:$F$192,$F79,'Калькуляция (5.9)'!$G$25:$G$192,$G79))</f>
        <v>0</v>
      </c>
      <c r="BG79" s="363">
        <f>IF(BE79=0,0,(BF79-BE79)/BE79*100)</f>
        <v>-100</v>
      </c>
      <c r="BH79" s="2060"/>
      <c r="BI79" s="2060"/>
      <c r="BJ79" s="363">
        <f>IF(BH79=0,0,(BI79-BH79)/BH79*100)</f>
        <v>0</v>
      </c>
      <c r="BK79" s="2060"/>
      <c r="BL79" s="2060"/>
      <c r="BM79" s="363">
        <f>IF(BK79=0,0,(BL79-BK79)/BK79*100)</f>
        <v>0</v>
      </c>
      <c r="BN79" s="2060"/>
      <c r="BO79" s="2060"/>
      <c r="BP79" s="363">
        <f>IF(BN79=0,0,(BO79-BN79)/BN79*100)</f>
        <v>0</v>
      </c>
      <c r="BQ79" s="2060"/>
      <c r="BR79" s="2060"/>
      <c r="BS79" s="363">
        <f>IF(BQ79=0,0,(BR79-BQ79)/BQ79*100)</f>
        <v>0</v>
      </c>
      <c r="BT79" s="2060"/>
      <c r="BU79" s="2060"/>
      <c r="BV79" s="363">
        <f>IF(BT79=0,0,(BU79-BT79)/BT79*100)</f>
        <v>0</v>
      </c>
      <c r="BW79" s="2060"/>
      <c r="BX79" s="2060"/>
      <c r="BY79" s="363">
        <f>IF(BW79=0,0,(BX79-BW79)/BW79*100)</f>
        <v>0</v>
      </c>
      <c r="BZ79" s="2060"/>
      <c r="CA79" s="2060"/>
      <c r="CB79" s="363">
        <f>IF(BZ79=0,0,(CA79-BZ79)/BZ79*100)</f>
        <v>0</v>
      </c>
      <c r="CC79" s="2060"/>
      <c r="CD79" s="2060"/>
      <c r="CE79" s="363">
        <f>IF(CC79=0,0,(CD79-CC79)/CC79*100)</f>
        <v>0</v>
      </c>
      <c r="CF79" s="2060"/>
      <c r="CG79" s="2060"/>
      <c r="CH79" s="363">
        <f>IF(CF79=0,0,(CG79-CF79)/CF79*100)</f>
        <v>0</v>
      </c>
      <c r="CI79" s="2060"/>
      <c r="CJ79" s="2060"/>
      <c r="CK79" s="363">
        <f>IF(CI79=0,0,(CJ79-CI79)/CI79*100)</f>
        <v>0</v>
      </c>
      <c r="CL79" s="2060"/>
      <c r="CM79" s="2060"/>
      <c r="CN79" s="363">
        <f>IF(CL79=0,0,(CM79-CL79)/CL79*100)</f>
        <v>0</v>
      </c>
      <c r="CO79" s="2060"/>
      <c r="CP79" s="2060"/>
      <c r="CQ79" s="363">
        <f>IF(CO79=0,0,(CP79-CO79)/CO79*100)</f>
        <v>0</v>
      </c>
      <c r="CR79" s="2060"/>
      <c r="CS79" s="2060"/>
      <c r="CT79" s="363">
        <f>IF(CR79=0,0,(CS79-CR79)/CR79*100)</f>
        <v>0</v>
      </c>
      <c r="CU79" s="2060"/>
      <c r="CV79" s="2060"/>
      <c r="CW79" s="363">
        <f>IF(CU79=0,0,(CV79-CU79)/CU79*100)</f>
        <v>0</v>
      </c>
      <c r="CX79" s="2060"/>
      <c r="CY79" s="2060"/>
      <c r="CZ79" s="363">
        <f>IF(CX79=0,0,(CY79-CX79)/CX79*100)</f>
        <v>0</v>
      </c>
      <c r="DA79" s="2060"/>
      <c r="DB79" s="2060"/>
      <c r="DC79" s="363">
        <f>IF(DA79=0,0,(DB79-DA79)/DA79*100)</f>
        <v>0</v>
      </c>
      <c r="DD79" s="2060"/>
      <c r="DE79" s="2060"/>
      <c r="DF79" s="363">
        <f>IF(DD79=0,0,(DE79-DD79)/DD79*100)</f>
        <v>0</v>
      </c>
      <c r="DG79" s="2060"/>
      <c r="DH79" s="2060"/>
      <c r="DI79" s="363">
        <f>IF(DG79=0,0,(DH79-DG79)/DG79*100)</f>
        <v>0</v>
      </c>
      <c r="DJ79" s="2060"/>
      <c r="DK79" s="2060"/>
      <c r="DL79" s="363">
        <f>IF(DJ79=0,0,(DK79-DJ79)/DJ79*100)</f>
        <v>0</v>
      </c>
      <c r="DM79" s="2060"/>
      <c r="DN79" s="2060"/>
      <c r="DO79" s="363">
        <f>IF(DM79=0,0,(DN79-DM79)/DM79*100)</f>
        <v>0</v>
      </c>
      <c r="DP79" s="2060"/>
      <c r="DQ79" s="2060"/>
      <c r="DR79" s="363">
        <f>IF(DP79=0,0,(DQ79-DP79)/DP79*100)</f>
        <v>0</v>
      </c>
      <c r="DS79" s="2060"/>
      <c r="DT79" s="2060"/>
      <c r="DU79" s="363">
        <f>IF(DS79=0,0,(DT79-DS79)/DS79*100)</f>
        <v>0</v>
      </c>
      <c r="DV79" s="2060"/>
      <c r="DW79" s="2060"/>
      <c r="DX79" s="363">
        <f>IF(DV79=0,0,(DW79-DV79)/DV79*100)</f>
        <v>0</v>
      </c>
      <c r="DY79" s="2060"/>
      <c r="DZ79" s="2060"/>
      <c r="EA79" s="363">
        <f>IF(DY79=0,0,(DZ79-DY79)/DY79*100)</f>
        <v>0</v>
      </c>
      <c r="EB79" s="2060"/>
      <c r="EC79" s="2060"/>
      <c r="ED79" s="363">
        <f>IF(EB79=0,0,(EC79-EB79)/EB79*100)</f>
        <v>0</v>
      </c>
      <c r="EE79" s="2060"/>
      <c r="EF79" s="2060"/>
      <c r="EG79" s="363">
        <f>IF(EE79=0,0,(EF79-EE79)/EE79*100)</f>
        <v>0</v>
      </c>
      <c r="EH79" s="2060"/>
      <c r="EI79" s="2060"/>
      <c r="EJ79" s="363">
        <f>IF(EH79=0,0,(EI79-EH79)/EH79*100)</f>
        <v>0</v>
      </c>
      <c r="EK79" s="2060"/>
      <c r="EL79" s="2060"/>
      <c r="EM79" s="363">
        <f>IF(EK79=0,0,(EL79-EK79)/EK79*100)</f>
        <v>0</v>
      </c>
      <c r="EN79" s="2060"/>
      <c r="EO79" s="2060"/>
      <c r="EP79" s="363">
        <f>IF(EN79=0,0,(EO79-EN79)/EN79*100)</f>
        <v>0</v>
      </c>
      <c r="EQ79" s="2060"/>
      <c r="ER79" s="2060"/>
      <c r="ES79" s="363">
        <f>IF(EQ79=0,0,(ER79-EQ79)/EQ79*100)</f>
        <v>0</v>
      </c>
      <c r="ET79" s="2060"/>
      <c r="EU79" s="2060"/>
      <c r="EV79" s="363">
        <f>IF(ET79=0,0,(EU79-ET79)/ET79*100)</f>
        <v>0</v>
      </c>
      <c r="EW79" s="2060"/>
      <c r="EX79" s="2060"/>
      <c r="EY79" s="363">
        <f>IF(EW79=0,0,(EX79-EW79)/EW79*100)</f>
        <v>0</v>
      </c>
      <c r="EZ79" s="2060"/>
      <c r="FA79" s="2060"/>
      <c r="FB79" s="363">
        <f>IF(EZ79=0,0,(FA79-EZ79)/EZ79*100)</f>
        <v>0</v>
      </c>
      <c r="FC79" s="2060"/>
      <c r="FD79" s="2060"/>
      <c r="FE79" s="363">
        <f>IF(FC79=0,0,(FD79-FC79)/FC79*100)</f>
        <v>0</v>
      </c>
      <c r="FF79" s="2060"/>
      <c r="FG79" s="2060"/>
      <c r="FH79" s="363">
        <f>IF(FF79=0,0,(FG79-FF79)/FF79*100)</f>
        <v>0</v>
      </c>
      <c r="FI79" s="2060"/>
      <c r="FJ79" s="2060"/>
      <c r="FK79" s="363">
        <f>IF(FI79=0,0,(FJ79-FI79)/FI79*100)</f>
        <v>0</v>
      </c>
      <c r="FL79" s="2060"/>
      <c r="FM79" s="2060"/>
      <c r="FN79" s="363">
        <f>IF(FL79=0,0,(FM79-FL79)/FL79*100)</f>
        <v>0</v>
      </c>
      <c r="FO79" s="2060"/>
      <c r="FP79" s="2060"/>
      <c r="FQ79" s="363">
        <f>IF(FO79=0,0,(FP79-FO79)/FO79*100)</f>
        <v>0</v>
      </c>
      <c r="FR79" s="2060"/>
      <c r="FS79" s="2060"/>
      <c r="FT79" s="363">
        <f>IF(FR79=0,0,(FS79-FR79)/FR79*100)</f>
        <v>0</v>
      </c>
      <c r="FU79" s="2060"/>
      <c r="FV79" s="2060"/>
      <c r="FW79" s="363">
        <f>IF(FU79=0,0,(FV79-FU79)/FU79*100)</f>
        <v>0</v>
      </c>
      <c r="FX79" s="360"/>
      <c r="FY79" s="360"/>
      <c r="FZ79" s="1181" t="s">
        <v>2094</v>
      </c>
      <c r="GA79" s="1181"/>
      <c r="GB79" s="1181"/>
      <c r="GC79" s="1181"/>
      <c r="GD79" s="1181"/>
    </row>
    <row s="2062" customFormat="1" customHeight="1" ht="16.5">
      <c r="A80" s="360"/>
      <c r="B80" s="961" cm="1" t="str">
        <f t="array" ref="B80:B80">B79</f>
        <v>true</v>
      </c>
      <c r="C80" s="1322" t="s">
        <v>2086</v>
      </c>
      <c r="D80" s="1291" t="s">
        <v>2087</v>
      </c>
      <c r="E80" s="794">
        <v>17.1</v>
      </c>
      <c r="F80" s="919" cm="1" t="str">
        <f t="array" ref="F80:F80">OFFSET(G80,-1,-1)</f>
        <v>1</v>
      </c>
      <c r="G80" s="736" t="s">
        <v>1736</v>
      </c>
      <c r="H80" s="210" t="s">
        <v>493</v>
      </c>
      <c r="I80" s="210" t="s">
        <v>2095</v>
      </c>
      <c r="J80" s="1312" t="s">
        <v>2089</v>
      </c>
      <c r="K80" s="1312" cm="1" t="str">
        <f t="array" ref="K80:K80">OFFSET(J80,-1,1)</f>
        <v>ТЭ.42.26824396.0004</v>
      </c>
      <c r="L80" s="1312" t="s">
        <v>2090</v>
      </c>
      <c r="M80" s="1312" t="s">
        <v>1733</v>
      </c>
      <c r="N80" s="1312" t="s">
        <v>2091</v>
      </c>
      <c r="O80" s="1313" t="s">
        <v>2092</v>
      </c>
      <c r="P80" s="1312"/>
      <c r="Q80" s="1312"/>
      <c r="R80" s="360"/>
      <c r="S80" s="360"/>
      <c r="T80" s="805" cm="1" t="str">
        <f t="array" ref="T80:T80">T79</f>
        <v>true</v>
      </c>
      <c r="U80" s="360"/>
      <c r="V80" s="360"/>
      <c r="W80" s="360"/>
      <c r="X80" s="360"/>
      <c r="Y80" s="360"/>
      <c r="Z80" s="360"/>
      <c r="AA80" s="360"/>
      <c r="AB80" s="1351" t="s">
        <v>2096</v>
      </c>
      <c r="AC80" s="361" t="s">
        <v>895</v>
      </c>
      <c r="AD80" s="2060">
        <f>IF(method_reg="Метод экономически обоснованных расходов",_xlfn.SUMIFS('Калькуляция (4.6)'!AJ$25:AJ$229,'Калькуляция (4.6)'!$F$25:$F$229,$F80,'Калькуляция (4.6)'!$G$25:$G$229,$G80),IF(method_reg="Метод сравнения аналогов",_xlfn.SUMIFS(INDEX('Калькуляция (МСА)'!$AE$25:$BC$109,,MATCH(AD$8,'Калькуляция (МСА)'!$AE$8:$BC$8,0)),'Калькуляция (МСА)'!$F$25:$F$109,$F80,'Калькуляция (МСА)'!$G$25:$G$109,$G80),_xlfn.SUMIFS(INDEX('Калькуляция (5.9)'!$AJ$25:$BC$192,,MATCH(AD$8,'Калькуляция (5.9)'!$AJ$8:$BC$8,0)),'Калькуляция (5.9)'!$F$25:$F$192,$F80,'Калькуляция (5.9)'!$G$25:$G$192,$G80)))</f>
        <v>12629.95</v>
      </c>
      <c r="AE80" s="2060">
        <f>IF(method_reg="Метод экономически обоснованных расходов",_xlfn.SUMIFS('Калькуляция (4.6)'!AK$25:AK$229,'Калькуляция (4.6)'!$F$25:$F$229,$F80,'Калькуляция (4.6)'!$G$25:$G$229,$G80),IF(method_reg="Метод сравнения аналогов",_xlfn.SUMIFS(INDEX('Калькуляция (МСА)'!$AE$25:$BC$109,,MATCH(AE$8,'Калькуляция (МСА)'!$AE$8:$BC$8,0)),'Калькуляция (МСА)'!$F$25:$F$109,$F80,'Калькуляция (МСА)'!$G$25:$G$109,$G80),_xlfn.SUMIFS(INDEX('Калькуляция (5.9)'!$AJ$25:$BC$192,,MATCH(AE$8,'Калькуляция (5.9)'!$AJ$8:$BC$8,0)),'Калькуляция (5.9)'!$F$25:$F$192,$F80,'Калькуляция (5.9)'!$G$25:$G$192,$G80)))</f>
        <v>4444.48</v>
      </c>
      <c r="AF80" s="363">
        <f>IF(AD80=0,0,(AE80-AD80)/AD80*100)</f>
        <v>-64.8099952889758</v>
      </c>
      <c r="AG80" s="362">
        <f>IF(method_reg="Метод сравнения аналогов",_xlfn.SUMIFS(INDEX('Калькуляция (МСА)'!$AE$25:$BC$109,,MATCH(AG$8,'Калькуляция (МСА)'!$AE$8:$BC$8,0)),'Калькуляция (МСА)'!$F$25:$F$109,$F80,'Калькуляция (МСА)'!$G$25:$G$109,$G80),_xlfn.SUMIFS(INDEX('Калькуляция (5.9)'!$AJ$25:$BC$192,,MATCH(AG$8,'Калькуляция (5.9)'!$AJ$8:$BC$8,0)),'Калькуляция (5.9)'!$F$25:$F$192,$F80,'Калькуляция (5.9)'!$G$25:$G$192,$G80))</f>
        <v>10198.1722639647</v>
      </c>
      <c r="AH80" s="362">
        <f>IF(method_reg="Метод сравнения аналогов",_xlfn.SUMIFS(INDEX('Калькуляция (МСА)'!$AE$25:$BC$109,,MATCH(AH$8,'Калькуляция (МСА)'!$AE$8:$BC$8,0)),'Калькуляция (МСА)'!$F$25:$F$109,$F80,'Калькуляция (МСА)'!$G$25:$G$109,$G80),_xlfn.SUMIFS(INDEX('Калькуляция (5.9)'!$AJ$25:$BC$192,,MATCH(AH$8,'Калькуляция (5.9)'!$AJ$8:$BC$8,0)),'Калькуляция (5.9)'!$F$25:$F$192,$F80,'Калькуляция (5.9)'!$G$25:$G$192,$G80))</f>
        <v>19450.8723910355</v>
      </c>
      <c r="AI80" s="363">
        <f>IF(AG80=0,0,(AH80-AG80)/AG80*100)</f>
        <v>90.7290040565923</v>
      </c>
      <c r="AJ80" s="362">
        <f>IF(method_reg="Метод сравнения аналогов",_xlfn.SUMIFS(INDEX('Калькуляция (МСА)'!$AE$25:$BC$109,,MATCH(AJ$8,'Калькуляция (МСА)'!$AE$8:$BC$8,0)),'Калькуляция (МСА)'!$F$25:$F$109,$F80,'Калькуляция (МСА)'!$G$25:$G$109,$G80),_xlfn.SUMIFS(INDEX('Калькуляция (5.9)'!$AJ$25:$BC$192,,MATCH(AJ$8,'Калькуляция (5.9)'!$AJ$8:$BC$8,0)),'Калькуляция (5.9)'!$F$25:$F$192,$F80,'Калькуляция (5.9)'!$G$25:$G$192,$G80))</f>
        <v>11605.9429114277</v>
      </c>
      <c r="AK80" s="362">
        <f>IF(method_reg="Метод сравнения аналогов",_xlfn.SUMIFS(INDEX('Калькуляция (МСА)'!$AE$25:$BC$109,,MATCH(AK$8,'Калькуляция (МСА)'!$AE$8:$BC$8,0)),'Калькуляция (МСА)'!$F$25:$F$109,$F80,'Калькуляция (МСА)'!$G$25:$G$109,$G80),_xlfn.SUMIFS(INDEX('Калькуляция (5.9)'!$AJ$25:$BC$192,,MATCH(AK$8,'Калькуляция (5.9)'!$AJ$8:$BC$8,0)),'Калькуляция (5.9)'!$F$25:$F$192,$F80,'Калькуляция (5.9)'!$G$25:$G$192,$G80))</f>
        <v>8240.40037236781</v>
      </c>
      <c r="AL80" s="363">
        <f>IF(AJ80=0,0,(AK80-AJ80)/AJ80*100)</f>
        <v>-28.9984412705153</v>
      </c>
      <c r="AM80" s="362">
        <f>IF(method_reg="Метод сравнения аналогов",_xlfn.SUMIFS(INDEX('Калькуляция (МСА)'!$AE$25:$BC$109,,MATCH(AM$8,'Калькуляция (МСА)'!$AE$8:$BC$8,0)),'Калькуляция (МСА)'!$F$25:$F$109,$F80,'Калькуляция (МСА)'!$G$25:$G$109,$G80),_xlfn.SUMIFS(INDEX('Калькуляция (5.9)'!$AJ$25:$BC$192,,MATCH(AM$8,'Калькуляция (5.9)'!$AJ$8:$BC$8,0)),'Калькуляция (5.9)'!$F$25:$F$192,$F80,'Калькуляция (5.9)'!$G$25:$G$192,$G80))</f>
        <v>10891.487924789</v>
      </c>
      <c r="AN80" s="362">
        <f>IF(method_reg="Метод сравнения аналогов",_xlfn.SUMIFS(INDEX('Калькуляция (МСА)'!$AE$25:$BC$109,,MATCH(AN$8,'Калькуляция (МСА)'!$AE$8:$BC$8,0)),'Калькуляция (МСА)'!$F$25:$F$109,$F80,'Калькуляция (МСА)'!$G$25:$G$109,$G80),_xlfn.SUMIFS(INDEX('Калькуляция (5.9)'!$AJ$25:$BC$192,,MATCH(AN$8,'Калькуляция (5.9)'!$AJ$8:$BC$8,0)),'Калькуляция (5.9)'!$F$25:$F$192,$F80,'Калькуляция (5.9)'!$G$25:$G$192,$G80))</f>
        <v>9346.26623365191</v>
      </c>
      <c r="AO80" s="363">
        <f>IF(AM80=0,0,(AN80-AM80)/AM80*100)</f>
        <v>-14.187425095704</v>
      </c>
      <c r="AP80" s="362">
        <f>IF(method_reg="Метод сравнения аналогов",_xlfn.SUMIFS(INDEX('Калькуляция (МСА)'!$AE$25:$BC$109,,MATCH(AP$8,'Калькуляция (МСА)'!$AE$8:$BC$8,0)),'Калькуляция (МСА)'!$F$25:$F$109,$F80,'Калькуляция (МСА)'!$G$25:$G$109,$G80),_xlfn.SUMIFS(INDEX('Калькуляция (5.9)'!$AJ$25:$BC$192,,MATCH(AP$8,'Калькуляция (5.9)'!$AJ$8:$BC$8,0)),'Калькуляция (5.9)'!$F$25:$F$192,$F80,'Калькуляция (5.9)'!$G$25:$G$192,$G80))</f>
        <v>12343.8135149023</v>
      </c>
      <c r="AQ80" s="362">
        <f>IF(method_reg="Метод сравнения аналогов",_xlfn.SUMIFS(INDEX('Калькуляция (МСА)'!$AE$25:$BC$109,,MATCH(AQ$8,'Калькуляция (МСА)'!$AE$8:$BC$8,0)),'Калькуляция (МСА)'!$F$25:$F$109,$F80,'Калькуляция (МСА)'!$G$25:$G$109,$G80),_xlfn.SUMIFS(INDEX('Калькуляция (5.9)'!$AJ$25:$BC$192,,MATCH(AQ$8,'Калькуляция (5.9)'!$AJ$8:$BC$8,0)),'Калькуляция (5.9)'!$F$25:$F$192,$F80,'Калькуляция (5.9)'!$G$25:$G$192,$G80))</f>
        <v>8805.9553351056</v>
      </c>
      <c r="AR80" s="363">
        <f>IF(AP80=0,0,(AQ80-AP80)/AP80*100)</f>
        <v>-28.660982082446</v>
      </c>
      <c r="AS80" s="2060">
        <f>IF(method_reg="Метод сравнения аналогов",_xlfn.SUMIFS(INDEX('Калькуляция (МСА)'!$AE$25:$BC$109,,MATCH(AS$8,'Калькуляция (МСА)'!$AE$8:$BC$8,0)),'Калькуляция (МСА)'!$F$25:$F$109,$F80,'Калькуляция (МСА)'!$G$25:$G$109,$G80),_xlfn.SUMIFS(INDEX('Калькуляция (5.9)'!$AJ$25:$BC$192,,MATCH(AS$8,'Калькуляция (5.9)'!$AJ$8:$BC$8,0)),'Калькуляция (5.9)'!$F$25:$F$192,$F80,'Калькуляция (5.9)'!$G$25:$G$192,$G80))</f>
        <v>2400.45285593701</v>
      </c>
      <c r="AT80" s="2060">
        <f>IF(method_reg="Метод сравнения аналогов",_xlfn.SUMIFS(INDEX('Калькуляция (МСА)'!$AE$25:$BC$109,,MATCH(AT$8,'Калькуляция (МСА)'!$AE$8:$BC$8,0)),'Калькуляция (МСА)'!$F$25:$F$109,$F80,'Калькуляция (МСА)'!$G$25:$G$109,$G80),_xlfn.SUMIFS(INDEX('Калькуляция (5.9)'!$AJ$25:$BC$192,,MATCH(AT$8,'Калькуляция (5.9)'!$AJ$8:$BC$8,0)),'Калькуляция (5.9)'!$F$25:$F$192,$F80,'Калькуляция (5.9)'!$G$25:$G$192,$G80))</f>
        <v>0</v>
      </c>
      <c r="AU80" s="363">
        <f>IF(AS80=0,0,(AT80-AS80)/AS80*100)</f>
        <v>-100</v>
      </c>
      <c r="AV80" s="2060">
        <f>IF(method_reg="Метод сравнения аналогов",_xlfn.SUMIFS(INDEX('Калькуляция (МСА)'!$AE$25:$BC$109,,MATCH(AV$8,'Калькуляция (МСА)'!$AE$8:$BC$8,0)),'Калькуляция (МСА)'!$F$25:$F$109,$F80,'Калькуляция (МСА)'!$G$25:$G$109,$G80),_xlfn.SUMIFS(INDEX('Калькуляция (5.9)'!$AJ$25:$BC$192,,MATCH(AV$8,'Калькуляция (5.9)'!$AJ$8:$BC$8,0)),'Калькуляция (5.9)'!$F$25:$F$192,$F80,'Калькуляция (5.9)'!$G$25:$G$192,$G80))</f>
        <v>2376.44832737764</v>
      </c>
      <c r="AW80" s="2060">
        <f>IF(method_reg="Метод сравнения аналогов",_xlfn.SUMIFS(INDEX('Калькуляция (МСА)'!$AE$25:$BC$109,,MATCH(AW$8,'Калькуляция (МСА)'!$AE$8:$BC$8,0)),'Калькуляция (МСА)'!$F$25:$F$109,$F80,'Калькуляция (МСА)'!$G$25:$G$109,$G80),_xlfn.SUMIFS(INDEX('Калькуляция (5.9)'!$AJ$25:$BC$192,,MATCH(AW$8,'Калькуляция (5.9)'!$AJ$8:$BC$8,0)),'Калькуляция (5.9)'!$F$25:$F$192,$F80,'Калькуляция (5.9)'!$G$25:$G$192,$G80))</f>
        <v>0</v>
      </c>
      <c r="AX80" s="363">
        <f>IF(AV80=0,0,(AW80-AV80)/AV80*100)</f>
        <v>-100</v>
      </c>
      <c r="AY80" s="2060">
        <f>IF(method_reg="Метод сравнения аналогов",_xlfn.SUMIFS(INDEX('Калькуляция (МСА)'!$AE$25:$BC$109,,MATCH(AY$8,'Калькуляция (МСА)'!$AE$8:$BC$8,0)),'Калькуляция (МСА)'!$F$25:$F$109,$F80,'Калькуляция (МСА)'!$G$25:$G$109,$G80),_xlfn.SUMIFS(INDEX('Калькуляция (5.9)'!$AJ$25:$BC$192,,MATCH(AY$8,'Калькуляция (5.9)'!$AJ$8:$BC$8,0)),'Калькуляция (5.9)'!$F$25:$F$192,$F80,'Калькуляция (5.9)'!$G$25:$G$192,$G80))</f>
        <v>2352.68384410387</v>
      </c>
      <c r="AZ80" s="2060">
        <f>IF(method_reg="Метод сравнения аналогов",_xlfn.SUMIFS(INDEX('Калькуляция (МСА)'!$AE$25:$BC$109,,MATCH(AZ$8,'Калькуляция (МСА)'!$AE$8:$BC$8,0)),'Калькуляция (МСА)'!$F$25:$F$109,$F80,'Калькуляция (МСА)'!$G$25:$G$109,$G80),_xlfn.SUMIFS(INDEX('Калькуляция (5.9)'!$AJ$25:$BC$192,,MATCH(AZ$8,'Калькуляция (5.9)'!$AJ$8:$BC$8,0)),'Калькуляция (5.9)'!$F$25:$F$192,$F80,'Калькуляция (5.9)'!$G$25:$G$192,$G80))</f>
        <v>0</v>
      </c>
      <c r="BA80" s="363">
        <f>IF(AY80=0,0,(AZ80-AY80)/AY80*100)</f>
        <v>-100</v>
      </c>
      <c r="BB80" s="2060">
        <f>IF(method_reg="Метод сравнения аналогов",_xlfn.SUMIFS(INDEX('Калькуляция (МСА)'!$AE$25:$BC$109,,MATCH(BB$8,'Калькуляция (МСА)'!$AE$8:$BC$8,0)),'Калькуляция (МСА)'!$F$25:$F$109,$F80,'Калькуляция (МСА)'!$G$25:$G$109,$G80),_xlfn.SUMIFS(INDEX('Калькуляция (5.9)'!$AJ$25:$BC$192,,MATCH(BB$8,'Калькуляция (5.9)'!$AJ$8:$BC$8,0)),'Калькуляция (5.9)'!$F$25:$F$192,$F80,'Калькуляция (5.9)'!$G$25:$G$192,$G80))</f>
        <v>2329.15700566283</v>
      </c>
      <c r="BC80" s="2060">
        <f>IF(method_reg="Метод сравнения аналогов",_xlfn.SUMIFS(INDEX('Калькуляция (МСА)'!$AE$25:$BC$109,,MATCH(BC$8,'Калькуляция (МСА)'!$AE$8:$BC$8,0)),'Калькуляция (МСА)'!$F$25:$F$109,$F80,'Калькуляция (МСА)'!$G$25:$G$109,$G80),_xlfn.SUMIFS(INDEX('Калькуляция (5.9)'!$AJ$25:$BC$192,,MATCH(BC$8,'Калькуляция (5.9)'!$AJ$8:$BC$8,0)),'Калькуляция (5.9)'!$F$25:$F$192,$F80,'Калькуляция (5.9)'!$G$25:$G$192,$G80))</f>
        <v>0</v>
      </c>
      <c r="BD80" s="363">
        <f>IF(BB80=0,0,(BC80-BB80)/BB80*100)</f>
        <v>-100</v>
      </c>
      <c r="BE80" s="2060">
        <f>IF(method_reg="Метод сравнения аналогов",_xlfn.SUMIFS(INDEX('Калькуляция (МСА)'!$AE$25:$BC$109,,MATCH(BE$8,'Калькуляция (МСА)'!$AE$8:$BC$8,0)),'Калькуляция (МСА)'!$F$25:$F$109,$F80,'Калькуляция (МСА)'!$G$25:$G$109,$G80),_xlfn.SUMIFS(INDEX('Калькуляция (5.9)'!$AJ$25:$BC$192,,MATCH(BE$8,'Калькуляция (5.9)'!$AJ$8:$BC$8,0)),'Калькуляция (5.9)'!$F$25:$F$192,$F80,'Калькуляция (5.9)'!$G$25:$G$192,$G80))</f>
        <v>2305.8654356062</v>
      </c>
      <c r="BF80" s="2060">
        <f>IF(method_reg="Метод сравнения аналогов",_xlfn.SUMIFS(INDEX('Калькуляция (МСА)'!$AE$25:$BC$109,,MATCH(BF$8,'Калькуляция (МСА)'!$AE$8:$BC$8,0)),'Калькуляция (МСА)'!$F$25:$F$109,$F80,'Калькуляция (МСА)'!$G$25:$G$109,$G80),_xlfn.SUMIFS(INDEX('Калькуляция (5.9)'!$AJ$25:$BC$192,,MATCH(BF$8,'Калькуляция (5.9)'!$AJ$8:$BC$8,0)),'Калькуляция (5.9)'!$F$25:$F$192,$F80,'Калькуляция (5.9)'!$G$25:$G$192,$G80))</f>
        <v>0</v>
      </c>
      <c r="BG80" s="363">
        <f>IF(BE80=0,0,(BF80-BE80)/BE80*100)</f>
        <v>-100</v>
      </c>
      <c r="BH80" s="2060"/>
      <c r="BI80" s="2060"/>
      <c r="BJ80" s="363">
        <f>IF(BH80=0,0,(BI80-BH80)/BH80*100)</f>
        <v>0</v>
      </c>
      <c r="BK80" s="2060"/>
      <c r="BL80" s="2060"/>
      <c r="BM80" s="363">
        <f>IF(BK80=0,0,(BL80-BK80)/BK80*100)</f>
        <v>0</v>
      </c>
      <c r="BN80" s="2060"/>
      <c r="BO80" s="2060"/>
      <c r="BP80" s="363">
        <f>IF(BN80=0,0,(BO80-BN80)/BN80*100)</f>
        <v>0</v>
      </c>
      <c r="BQ80" s="2060"/>
      <c r="BR80" s="2060"/>
      <c r="BS80" s="363">
        <f>IF(BQ80=0,0,(BR80-BQ80)/BQ80*100)</f>
        <v>0</v>
      </c>
      <c r="BT80" s="2060"/>
      <c r="BU80" s="2060"/>
      <c r="BV80" s="363">
        <f>IF(BT80=0,0,(BU80-BT80)/BT80*100)</f>
        <v>0</v>
      </c>
      <c r="BW80" s="2060"/>
      <c r="BX80" s="2060"/>
      <c r="BY80" s="363">
        <f>IF(BW80=0,0,(BX80-BW80)/BW80*100)</f>
        <v>0</v>
      </c>
      <c r="BZ80" s="2060"/>
      <c r="CA80" s="2060"/>
      <c r="CB80" s="363">
        <f>IF(BZ80=0,0,(CA80-BZ80)/BZ80*100)</f>
        <v>0</v>
      </c>
      <c r="CC80" s="2060"/>
      <c r="CD80" s="2060"/>
      <c r="CE80" s="363">
        <f>IF(CC80=0,0,(CD80-CC80)/CC80*100)</f>
        <v>0</v>
      </c>
      <c r="CF80" s="2060"/>
      <c r="CG80" s="2060"/>
      <c r="CH80" s="363">
        <f>IF(CF80=0,0,(CG80-CF80)/CF80*100)</f>
        <v>0</v>
      </c>
      <c r="CI80" s="2060"/>
      <c r="CJ80" s="2060"/>
      <c r="CK80" s="363">
        <f>IF(CI80=0,0,(CJ80-CI80)/CI80*100)</f>
        <v>0</v>
      </c>
      <c r="CL80" s="2060"/>
      <c r="CM80" s="2060"/>
      <c r="CN80" s="363">
        <f>IF(CL80=0,0,(CM80-CL80)/CL80*100)</f>
        <v>0</v>
      </c>
      <c r="CO80" s="2060"/>
      <c r="CP80" s="2060"/>
      <c r="CQ80" s="363">
        <f>IF(CO80=0,0,(CP80-CO80)/CO80*100)</f>
        <v>0</v>
      </c>
      <c r="CR80" s="2060"/>
      <c r="CS80" s="2060"/>
      <c r="CT80" s="363">
        <f>IF(CR80=0,0,(CS80-CR80)/CR80*100)</f>
        <v>0</v>
      </c>
      <c r="CU80" s="2060"/>
      <c r="CV80" s="2060"/>
      <c r="CW80" s="363">
        <f>IF(CU80=0,0,(CV80-CU80)/CU80*100)</f>
        <v>0</v>
      </c>
      <c r="CX80" s="2060"/>
      <c r="CY80" s="2060"/>
      <c r="CZ80" s="363">
        <f>IF(CX80=0,0,(CY80-CX80)/CX80*100)</f>
        <v>0</v>
      </c>
      <c r="DA80" s="2060"/>
      <c r="DB80" s="2060"/>
      <c r="DC80" s="363">
        <f>IF(DA80=0,0,(DB80-DA80)/DA80*100)</f>
        <v>0</v>
      </c>
      <c r="DD80" s="2060"/>
      <c r="DE80" s="2060"/>
      <c r="DF80" s="363">
        <f>IF(DD80=0,0,(DE80-DD80)/DD80*100)</f>
        <v>0</v>
      </c>
      <c r="DG80" s="2060"/>
      <c r="DH80" s="2060"/>
      <c r="DI80" s="363">
        <f>IF(DG80=0,0,(DH80-DG80)/DG80*100)</f>
        <v>0</v>
      </c>
      <c r="DJ80" s="2060"/>
      <c r="DK80" s="2060"/>
      <c r="DL80" s="363">
        <f>IF(DJ80=0,0,(DK80-DJ80)/DJ80*100)</f>
        <v>0</v>
      </c>
      <c r="DM80" s="2060"/>
      <c r="DN80" s="2060"/>
      <c r="DO80" s="363">
        <f>IF(DM80=0,0,(DN80-DM80)/DM80*100)</f>
        <v>0</v>
      </c>
      <c r="DP80" s="2060"/>
      <c r="DQ80" s="2060"/>
      <c r="DR80" s="363">
        <f>IF(DP80=0,0,(DQ80-DP80)/DP80*100)</f>
        <v>0</v>
      </c>
      <c r="DS80" s="2060"/>
      <c r="DT80" s="2060"/>
      <c r="DU80" s="363">
        <f>IF(DS80=0,0,(DT80-DS80)/DS80*100)</f>
        <v>0</v>
      </c>
      <c r="DV80" s="2060"/>
      <c r="DW80" s="2060"/>
      <c r="DX80" s="363">
        <f>IF(DV80=0,0,(DW80-DV80)/DV80*100)</f>
        <v>0</v>
      </c>
      <c r="DY80" s="2060"/>
      <c r="DZ80" s="2060"/>
      <c r="EA80" s="363">
        <f>IF(DY80=0,0,(DZ80-DY80)/DY80*100)</f>
        <v>0</v>
      </c>
      <c r="EB80" s="2060"/>
      <c r="EC80" s="2060"/>
      <c r="ED80" s="363">
        <f>IF(EB80=0,0,(EC80-EB80)/EB80*100)</f>
        <v>0</v>
      </c>
      <c r="EE80" s="2060"/>
      <c r="EF80" s="2060"/>
      <c r="EG80" s="363">
        <f>IF(EE80=0,0,(EF80-EE80)/EE80*100)</f>
        <v>0</v>
      </c>
      <c r="EH80" s="2060"/>
      <c r="EI80" s="2060"/>
      <c r="EJ80" s="363">
        <f>IF(EH80=0,0,(EI80-EH80)/EH80*100)</f>
        <v>0</v>
      </c>
      <c r="EK80" s="2060"/>
      <c r="EL80" s="2060"/>
      <c r="EM80" s="363">
        <f>IF(EK80=0,0,(EL80-EK80)/EK80*100)</f>
        <v>0</v>
      </c>
      <c r="EN80" s="2060"/>
      <c r="EO80" s="2060"/>
      <c r="EP80" s="363">
        <f>IF(EN80=0,0,(EO80-EN80)/EN80*100)</f>
        <v>0</v>
      </c>
      <c r="EQ80" s="2060"/>
      <c r="ER80" s="2060"/>
      <c r="ES80" s="363">
        <f>IF(EQ80=0,0,(ER80-EQ80)/EQ80*100)</f>
        <v>0</v>
      </c>
      <c r="ET80" s="2060"/>
      <c r="EU80" s="2060"/>
      <c r="EV80" s="363">
        <f>IF(ET80=0,0,(EU80-ET80)/ET80*100)</f>
        <v>0</v>
      </c>
      <c r="EW80" s="2060"/>
      <c r="EX80" s="2060"/>
      <c r="EY80" s="363">
        <f>IF(EW80=0,0,(EX80-EW80)/EW80*100)</f>
        <v>0</v>
      </c>
      <c r="EZ80" s="2060"/>
      <c r="FA80" s="2060"/>
      <c r="FB80" s="363">
        <f>IF(EZ80=0,0,(FA80-EZ80)/EZ80*100)</f>
        <v>0</v>
      </c>
      <c r="FC80" s="2060"/>
      <c r="FD80" s="2060"/>
      <c r="FE80" s="363">
        <f>IF(FC80=0,0,(FD80-FC80)/FC80*100)</f>
        <v>0</v>
      </c>
      <c r="FF80" s="2060"/>
      <c r="FG80" s="2060"/>
      <c r="FH80" s="363">
        <f>IF(FF80=0,0,(FG80-FF80)/FF80*100)</f>
        <v>0</v>
      </c>
      <c r="FI80" s="2060"/>
      <c r="FJ80" s="2060"/>
      <c r="FK80" s="363">
        <f>IF(FI80=0,0,(FJ80-FI80)/FI80*100)</f>
        <v>0</v>
      </c>
      <c r="FL80" s="2060"/>
      <c r="FM80" s="2060"/>
      <c r="FN80" s="363">
        <f>IF(FL80=0,0,(FM80-FL80)/FL80*100)</f>
        <v>0</v>
      </c>
      <c r="FO80" s="2060"/>
      <c r="FP80" s="2060"/>
      <c r="FQ80" s="363">
        <f>IF(FO80=0,0,(FP80-FO80)/FO80*100)</f>
        <v>0</v>
      </c>
      <c r="FR80" s="2060"/>
      <c r="FS80" s="2060"/>
      <c r="FT80" s="363">
        <f>IF(FR80=0,0,(FS80-FR80)/FR80*100)</f>
        <v>0</v>
      </c>
      <c r="FU80" s="2060"/>
      <c r="FV80" s="2060"/>
      <c r="FW80" s="363">
        <f>IF(FU80=0,0,(FV80-FU80)/FU80*100)</f>
        <v>0</v>
      </c>
      <c r="FX80" s="360"/>
      <c r="FY80" s="360"/>
      <c r="FZ80" s="1181" t="s">
        <v>2097</v>
      </c>
      <c r="GA80" s="1181"/>
      <c r="GB80" s="1181"/>
      <c r="GC80" s="1181"/>
      <c r="GD80" s="1181"/>
    </row>
    <row s="1619" customFormat="1" customHeight="1" ht="16.5">
      <c r="A81" s="1461"/>
      <c r="B81" s="961" cm="1" t="str">
        <f t="array" ref="B81:B81">B80</f>
        <v>true</v>
      </c>
      <c r="C81" s="1322" t="s">
        <v>1739</v>
      </c>
      <c r="D81" s="1291" t="s">
        <v>1740</v>
      </c>
      <c r="E81" s="794">
        <v>17.1</v>
      </c>
      <c r="F81" s="919" cm="1" t="str">
        <f t="array" ref="F81:F81">OFFSET(G81,-1,-1)</f>
        <v>1</v>
      </c>
      <c r="G81" s="497"/>
      <c r="H81" s="210" t="s">
        <v>496</v>
      </c>
      <c r="I81" s="210" t="s">
        <v>2098</v>
      </c>
      <c r="J81" s="1312" t="s">
        <v>2089</v>
      </c>
      <c r="K81" s="1312" cm="1" t="str">
        <f t="array" ref="K81:K81">OFFSET(J81,-1,1)</f>
        <v>ТЭ.42.26824396.0004</v>
      </c>
      <c r="L81" s="1312" t="s">
        <v>2099</v>
      </c>
      <c r="M81" s="1312"/>
      <c r="N81" s="1312" t="s">
        <v>2091</v>
      </c>
      <c r="O81" s="1313" t="s">
        <v>2092</v>
      </c>
      <c r="P81" s="1312"/>
      <c r="Q81" s="1312"/>
      <c r="R81" s="925"/>
      <c r="S81" s="497"/>
      <c r="T81" s="805" cm="1" t="str">
        <f t="array" ref="T81:T81">T80</f>
        <v>true</v>
      </c>
      <c r="U81" s="1461"/>
      <c r="V81" s="1461"/>
      <c r="W81" s="1461"/>
      <c r="X81" s="1461"/>
      <c r="Y81" s="1461"/>
      <c r="Z81" s="1461"/>
      <c r="AA81" s="497"/>
      <c r="AB81" s="1057" t="s">
        <v>2100</v>
      </c>
      <c r="AC81" s="169" t="s">
        <v>490</v>
      </c>
      <c r="AD81" s="1041">
        <f>IF(AD79=0,0,AD80/AD79)</f>
        <v>3.16374380337117</v>
      </c>
      <c r="AE81" s="1041">
        <f>IF(AE79=0,0,AE80/AE79)</f>
        <v>1.11332159345105</v>
      </c>
      <c r="AF81" s="1066"/>
      <c r="AG81" s="1041">
        <f>IF(AG79=0,0,AG80/AG79)</f>
        <v>0.99999999999997</v>
      </c>
      <c r="AH81" s="1041">
        <f>IF(AH79=0,0,AH80/AH79)</f>
        <v>4.37641127669277</v>
      </c>
      <c r="AI81" s="1066"/>
      <c r="AJ81" s="1041">
        <f>IF(AJ79=0,0,AJ80/AJ79)</f>
        <v>1.13804146576709</v>
      </c>
      <c r="AK81" s="1041">
        <f>IF(AK79=0,0,AK80/AK79)</f>
        <v>1</v>
      </c>
      <c r="AL81" s="1066"/>
      <c r="AM81" s="1041">
        <f>IF(AM79=0,0,AM80/AM79)</f>
        <v>1</v>
      </c>
      <c r="AN81" s="1041">
        <f>IF(AN79=0,0,AN80/AN79)</f>
        <v>1.1342005013485</v>
      </c>
      <c r="AO81" s="1066"/>
      <c r="AP81" s="1041">
        <f>IF(AP79=0,0,AP80/AP79)</f>
        <v>1.13334501219138</v>
      </c>
      <c r="AQ81" s="1041">
        <f>IF(AQ79=0,0,AQ80/AQ79)</f>
        <v>1</v>
      </c>
      <c r="AR81" s="1066"/>
      <c r="AS81" s="1041">
        <f>IF(AS79=0,0,AS80/AS79)</f>
        <v>1</v>
      </c>
      <c r="AT81" s="1041">
        <f>IF(AT79=0,0,AT80/AT79)</f>
        <v>0</v>
      </c>
      <c r="AU81" s="1066"/>
      <c r="AV81" s="1041">
        <f>IF(AV79=0,0,AV80/AV79)</f>
        <v>1</v>
      </c>
      <c r="AW81" s="1041">
        <f>IF(AW79=0,0,AW80/AW79)</f>
        <v>0</v>
      </c>
      <c r="AX81" s="1066"/>
      <c r="AY81" s="1041">
        <f>IF(AY79=0,0,AY80/AY79)</f>
        <v>1</v>
      </c>
      <c r="AZ81" s="1041">
        <f>IF(AZ79=0,0,AZ80/AZ79)</f>
        <v>0</v>
      </c>
      <c r="BA81" s="1066"/>
      <c r="BB81" s="1041">
        <f>IF(BB79=0,0,BB80/BB79)</f>
        <v>1</v>
      </c>
      <c r="BC81" s="1041">
        <f>IF(BC79=0,0,BC80/BC79)</f>
        <v>0</v>
      </c>
      <c r="BD81" s="1066"/>
      <c r="BE81" s="1041">
        <f>IF(BE79=0,0,BE80/BE79)</f>
        <v>1</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2101</v>
      </c>
      <c r="GA81" s="1181"/>
      <c r="GB81" s="1181"/>
      <c r="GC81" s="1181"/>
      <c r="GD81" s="1181"/>
    </row>
    <row s="1619" customFormat="1" customHeight="1" ht="16.5">
      <c r="A82" s="1461"/>
      <c r="B82" s="961" cm="1" t="str">
        <f t="array" ref="B82:B82">B81</f>
        <v>true</v>
      </c>
      <c r="C82" s="1322" t="s">
        <v>1721</v>
      </c>
      <c r="D82" s="1291" t="s">
        <v>1722</v>
      </c>
      <c r="E82" s="794">
        <v>17.1</v>
      </c>
      <c r="F82" s="919" cm="1" t="str">
        <f t="array" ref="F82:F82">OFFSET(G82,-1,-1)</f>
        <v>1</v>
      </c>
      <c r="G82" s="190" t="s">
        <v>2102</v>
      </c>
      <c r="H82" s="210" t="s">
        <v>503</v>
      </c>
      <c r="I82" s="210" t="s">
        <v>2098</v>
      </c>
      <c r="J82" s="1312" t="s">
        <v>2089</v>
      </c>
      <c r="K82" s="1312" cm="1" t="str">
        <f t="array" ref="K82:K82">OFFSET(J82,-1,1)</f>
        <v>ТЭ.42.26824396.0004</v>
      </c>
      <c r="L82" s="1312" t="s">
        <v>2103</v>
      </c>
      <c r="M82" s="1312"/>
      <c r="N82" s="1312" t="s">
        <v>2091</v>
      </c>
      <c r="O82" s="1313" t="s">
        <v>2092</v>
      </c>
      <c r="P82" s="1312"/>
      <c r="Q82" s="1312"/>
      <c r="R82" s="925"/>
      <c r="S82" s="497"/>
      <c r="T82" s="805" cm="1" t="str">
        <f t="array" ref="T82:T82">T81</f>
        <v>true</v>
      </c>
      <c r="U82" s="1461"/>
      <c r="V82" s="1461"/>
      <c r="W82" s="1461"/>
      <c r="X82" s="1461"/>
      <c r="Y82" s="1461"/>
      <c r="Z82" s="1461"/>
      <c r="AA82" s="497"/>
      <c r="AB82" s="1057" t="s">
        <v>2104</v>
      </c>
      <c r="AC82" s="169" t="s">
        <v>591</v>
      </c>
      <c r="AD82" s="2063">
        <f>SUM(AD83:AD84)</f>
        <v>1370</v>
      </c>
      <c r="AE82" s="2063">
        <f>SUM(AE83:AE84)</f>
        <v>1370</v>
      </c>
      <c r="AF82" s="397">
        <f>IF(AD82=0,0,(AE82-AD82)/AD82*100)</f>
        <v>0</v>
      </c>
      <c r="AG82" s="413">
        <f>SUM(AG83:AG84)</f>
        <v>1370</v>
      </c>
      <c r="AH82" s="413">
        <f>SUM(AH83:AH84)</f>
        <v>1370</v>
      </c>
      <c r="AI82" s="397">
        <f>IF(AG82=0,0,(AH82-AG82)/AG82*100)</f>
        <v>0</v>
      </c>
      <c r="AJ82" s="413">
        <f>SUM(AJ83:AJ84)</f>
        <v>1370</v>
      </c>
      <c r="AK82" s="413">
        <f>SUM(AK83:AK84)</f>
        <v>1370</v>
      </c>
      <c r="AL82" s="397">
        <f>IF(AJ82=0,0,(AK82-AJ82)/AJ82*100)</f>
        <v>0</v>
      </c>
      <c r="AM82" s="413">
        <f>SUM(AM83:AM84)</f>
        <v>1370</v>
      </c>
      <c r="AN82" s="413">
        <f>SUM(AN83:AN84)</f>
        <v>1370</v>
      </c>
      <c r="AO82" s="397">
        <f>IF(AM82=0,0,(AN82-AM82)/AM82*100)</f>
        <v>0</v>
      </c>
      <c r="AP82" s="413">
        <f>SUM(AP83:AP84)</f>
        <v>1370</v>
      </c>
      <c r="AQ82" s="413">
        <f>SUM(AQ83:AQ84)</f>
        <v>1370</v>
      </c>
      <c r="AR82" s="397">
        <f>IF(AP82=0,0,(AQ82-AP82)/AP82*100)</f>
        <v>0</v>
      </c>
      <c r="AS82" s="2063">
        <f>SUM(AS83:AS84)</f>
        <v>1370</v>
      </c>
      <c r="AT82" s="2063">
        <f>SUM(AT83:AT84)</f>
        <v>0</v>
      </c>
      <c r="AU82" s="397">
        <f>IF(AS82=0,0,(AT82-AS82)/AS82*100)</f>
        <v>-100</v>
      </c>
      <c r="AV82" s="2063">
        <f>SUM(AV83:AV84)</f>
        <v>1370</v>
      </c>
      <c r="AW82" s="2063">
        <f>SUM(AW83:AW84)</f>
        <v>0</v>
      </c>
      <c r="AX82" s="397">
        <f>IF(AV82=0,0,(AW82-AV82)/AV82*100)</f>
        <v>-100</v>
      </c>
      <c r="AY82" s="2063">
        <f>SUM(AY83:AY84)</f>
        <v>1370</v>
      </c>
      <c r="AZ82" s="2063">
        <f>SUM(AZ83:AZ84)</f>
        <v>0</v>
      </c>
      <c r="BA82" s="397">
        <f>IF(AY82=0,0,(AZ82-AY82)/AY82*100)</f>
        <v>-100</v>
      </c>
      <c r="BB82" s="2063">
        <f>SUM(BB83:BB84)</f>
        <v>1370</v>
      </c>
      <c r="BC82" s="2063">
        <f>SUM(BC83:BC84)</f>
        <v>0</v>
      </c>
      <c r="BD82" s="397">
        <f>IF(BB82=0,0,(BC82-BB82)/BB82*100)</f>
        <v>-100</v>
      </c>
      <c r="BE82" s="2063">
        <f>SUM(BE83:BE84)</f>
        <v>1370</v>
      </c>
      <c r="BF82" s="2063">
        <f>SUM(BF83:BF84)</f>
        <v>0</v>
      </c>
      <c r="BG82" s="397">
        <f>IF(BE82=0,0,(BF82-BE82)/BE82*100)</f>
        <v>-100</v>
      </c>
      <c r="BH82" s="2063">
        <f>SUM(BH83:BH84)</f>
        <v>0</v>
      </c>
      <c r="BI82" s="2063">
        <f>SUM(BI83:BI84)</f>
        <v>0</v>
      </c>
      <c r="BJ82" s="397">
        <f>IF(BH82=0,0,(BI82-BH82)/BH82*100)</f>
        <v>0</v>
      </c>
      <c r="BK82" s="2063">
        <f>SUM(BK83:BK84)</f>
        <v>0</v>
      </c>
      <c r="BL82" s="2063">
        <f>SUM(BL83:BL84)</f>
        <v>0</v>
      </c>
      <c r="BM82" s="397">
        <f>IF(BK82=0,0,(BL82-BK82)/BK82*100)</f>
        <v>0</v>
      </c>
      <c r="BN82" s="2063">
        <f>SUM(BN83:BN84)</f>
        <v>0</v>
      </c>
      <c r="BO82" s="2063">
        <f>SUM(BO83:BO84)</f>
        <v>0</v>
      </c>
      <c r="BP82" s="397">
        <f>IF(BN82=0,0,(BO82-BN82)/BN82*100)</f>
        <v>0</v>
      </c>
      <c r="BQ82" s="2063">
        <f>SUM(BQ83:BQ84)</f>
        <v>0</v>
      </c>
      <c r="BR82" s="2063">
        <f>SUM(BR83:BR84)</f>
        <v>0</v>
      </c>
      <c r="BS82" s="397">
        <f>IF(BQ82=0,0,(BR82-BQ82)/BQ82*100)</f>
        <v>0</v>
      </c>
      <c r="BT82" s="2063">
        <f>SUM(BT83:BT84)</f>
        <v>0</v>
      </c>
      <c r="BU82" s="2063">
        <f>SUM(BU83:BU84)</f>
        <v>0</v>
      </c>
      <c r="BV82" s="397">
        <f>IF(BT82=0,0,(BU82-BT82)/BT82*100)</f>
        <v>0</v>
      </c>
      <c r="BW82" s="2063">
        <f>SUM(BW83:BW84)</f>
        <v>0</v>
      </c>
      <c r="BX82" s="2063">
        <f>SUM(BX83:BX84)</f>
        <v>0</v>
      </c>
      <c r="BY82" s="397">
        <f>IF(BW82=0,0,(BX82-BW82)/BW82*100)</f>
        <v>0</v>
      </c>
      <c r="BZ82" s="2063">
        <f>SUM(BZ83:BZ84)</f>
        <v>0</v>
      </c>
      <c r="CA82" s="2063">
        <f>SUM(CA83:CA84)</f>
        <v>0</v>
      </c>
      <c r="CB82" s="397">
        <f>IF(BZ82=0,0,(CA82-BZ82)/BZ82*100)</f>
        <v>0</v>
      </c>
      <c r="CC82" s="2063">
        <f>SUM(CC83:CC84)</f>
        <v>0</v>
      </c>
      <c r="CD82" s="2063">
        <f>SUM(CD83:CD84)</f>
        <v>0</v>
      </c>
      <c r="CE82" s="397">
        <f>IF(CC82=0,0,(CD82-CC82)/CC82*100)</f>
        <v>0</v>
      </c>
      <c r="CF82" s="2063">
        <f>SUM(CF83:CF84)</f>
        <v>0</v>
      </c>
      <c r="CG82" s="2063">
        <f>SUM(CG83:CG84)</f>
        <v>0</v>
      </c>
      <c r="CH82" s="397">
        <f>IF(CF82=0,0,(CG82-CF82)/CF82*100)</f>
        <v>0</v>
      </c>
      <c r="CI82" s="2063">
        <f>SUM(CI83:CI84)</f>
        <v>0</v>
      </c>
      <c r="CJ82" s="2063">
        <f>SUM(CJ83:CJ84)</f>
        <v>0</v>
      </c>
      <c r="CK82" s="397">
        <f>IF(CI82=0,0,(CJ82-CI82)/CI82*100)</f>
        <v>0</v>
      </c>
      <c r="CL82" s="2063">
        <f>SUM(CL83:CL84)</f>
        <v>0</v>
      </c>
      <c r="CM82" s="2063">
        <f>SUM(CM83:CM84)</f>
        <v>0</v>
      </c>
      <c r="CN82" s="397">
        <f>IF(CL82=0,0,(CM82-CL82)/CL82*100)</f>
        <v>0</v>
      </c>
      <c r="CO82" s="2063">
        <f>SUM(CO83:CO84)</f>
        <v>0</v>
      </c>
      <c r="CP82" s="2063">
        <f>SUM(CP83:CP84)</f>
        <v>0</v>
      </c>
      <c r="CQ82" s="397">
        <f>IF(CO82=0,0,(CP82-CO82)/CO82*100)</f>
        <v>0</v>
      </c>
      <c r="CR82" s="2063">
        <f>SUM(CR83:CR84)</f>
        <v>0</v>
      </c>
      <c r="CS82" s="2063">
        <f>SUM(CS83:CS84)</f>
        <v>0</v>
      </c>
      <c r="CT82" s="397">
        <f>IF(CR82=0,0,(CS82-CR82)/CR82*100)</f>
        <v>0</v>
      </c>
      <c r="CU82" s="2063">
        <f>SUM(CU83:CU84)</f>
        <v>0</v>
      </c>
      <c r="CV82" s="2063">
        <f>SUM(CV83:CV84)</f>
        <v>0</v>
      </c>
      <c r="CW82" s="397">
        <f>IF(CU82=0,0,(CV82-CU82)/CU82*100)</f>
        <v>0</v>
      </c>
      <c r="CX82" s="2063">
        <f>SUM(CX83:CX84)</f>
        <v>0</v>
      </c>
      <c r="CY82" s="2063">
        <f>SUM(CY83:CY84)</f>
        <v>0</v>
      </c>
      <c r="CZ82" s="397">
        <f>IF(CX82=0,0,(CY82-CX82)/CX82*100)</f>
        <v>0</v>
      </c>
      <c r="DA82" s="2063">
        <f>SUM(DA83:DA84)</f>
        <v>0</v>
      </c>
      <c r="DB82" s="2063">
        <f>SUM(DB83:DB84)</f>
        <v>0</v>
      </c>
      <c r="DC82" s="397">
        <f>IF(DA82=0,0,(DB82-DA82)/DA82*100)</f>
        <v>0</v>
      </c>
      <c r="DD82" s="2063">
        <f>SUM(DD83:DD84)</f>
        <v>0</v>
      </c>
      <c r="DE82" s="2063">
        <f>SUM(DE83:DE84)</f>
        <v>0</v>
      </c>
      <c r="DF82" s="397">
        <f>IF(DD82=0,0,(DE82-DD82)/DD82*100)</f>
        <v>0</v>
      </c>
      <c r="DG82" s="2063">
        <f>SUM(DG83:DG84)</f>
        <v>0</v>
      </c>
      <c r="DH82" s="2063">
        <f>SUM(DH83:DH84)</f>
        <v>0</v>
      </c>
      <c r="DI82" s="397">
        <f>IF(DG82=0,0,(DH82-DG82)/DG82*100)</f>
        <v>0</v>
      </c>
      <c r="DJ82" s="2063">
        <f>SUM(DJ83:DJ84)</f>
        <v>0</v>
      </c>
      <c r="DK82" s="2063">
        <f>SUM(DK83:DK84)</f>
        <v>0</v>
      </c>
      <c r="DL82" s="397">
        <f>IF(DJ82=0,0,(DK82-DJ82)/DJ82*100)</f>
        <v>0</v>
      </c>
      <c r="DM82" s="2063">
        <f>SUM(DM83:DM84)</f>
        <v>0</v>
      </c>
      <c r="DN82" s="2063">
        <f>SUM(DN83:DN84)</f>
        <v>0</v>
      </c>
      <c r="DO82" s="397">
        <f>IF(DM82=0,0,(DN82-DM82)/DM82*100)</f>
        <v>0</v>
      </c>
      <c r="DP82" s="2063">
        <f>SUM(DP83:DP84)</f>
        <v>0</v>
      </c>
      <c r="DQ82" s="2063">
        <f>SUM(DQ83:DQ84)</f>
        <v>0</v>
      </c>
      <c r="DR82" s="397">
        <f>IF(DP82=0,0,(DQ82-DP82)/DP82*100)</f>
        <v>0</v>
      </c>
      <c r="DS82" s="2063">
        <f>SUM(DS83:DS84)</f>
        <v>0</v>
      </c>
      <c r="DT82" s="2063">
        <f>SUM(DT83:DT84)</f>
        <v>0</v>
      </c>
      <c r="DU82" s="397">
        <f>IF(DS82=0,0,(DT82-DS82)/DS82*100)</f>
        <v>0</v>
      </c>
      <c r="DV82" s="2063">
        <f>SUM(DV83:DV84)</f>
        <v>0</v>
      </c>
      <c r="DW82" s="2063">
        <f>SUM(DW83:DW84)</f>
        <v>0</v>
      </c>
      <c r="DX82" s="397">
        <f>IF(DV82=0,0,(DW82-DV82)/DV82*100)</f>
        <v>0</v>
      </c>
      <c r="DY82" s="2063">
        <f>SUM(DY83:DY84)</f>
        <v>0</v>
      </c>
      <c r="DZ82" s="2063">
        <f>SUM(DZ83:DZ84)</f>
        <v>0</v>
      </c>
      <c r="EA82" s="397">
        <f>IF(DY82=0,0,(DZ82-DY82)/DY82*100)</f>
        <v>0</v>
      </c>
      <c r="EB82" s="2063">
        <f>SUM(EB83:EB84)</f>
        <v>0</v>
      </c>
      <c r="EC82" s="2063">
        <f>SUM(EC83:EC84)</f>
        <v>0</v>
      </c>
      <c r="ED82" s="397">
        <f>IF(EB82=0,0,(EC82-EB82)/EB82*100)</f>
        <v>0</v>
      </c>
      <c r="EE82" s="2063">
        <f>SUM(EE83:EE84)</f>
        <v>0</v>
      </c>
      <c r="EF82" s="2063">
        <f>SUM(EF83:EF84)</f>
        <v>0</v>
      </c>
      <c r="EG82" s="397">
        <f>IF(EE82=0,0,(EF82-EE82)/EE82*100)</f>
        <v>0</v>
      </c>
      <c r="EH82" s="2063">
        <f>SUM(EH83:EH84)</f>
        <v>0</v>
      </c>
      <c r="EI82" s="2063">
        <f>SUM(EI83:EI84)</f>
        <v>0</v>
      </c>
      <c r="EJ82" s="397">
        <f>IF(EH82=0,0,(EI82-EH82)/EH82*100)</f>
        <v>0</v>
      </c>
      <c r="EK82" s="2063">
        <f>SUM(EK83:EK84)</f>
        <v>0</v>
      </c>
      <c r="EL82" s="2063">
        <f>SUM(EL83:EL84)</f>
        <v>0</v>
      </c>
      <c r="EM82" s="397">
        <f>IF(EK82=0,0,(EL82-EK82)/EK82*100)</f>
        <v>0</v>
      </c>
      <c r="EN82" s="2063">
        <f>SUM(EN83:EN84)</f>
        <v>0</v>
      </c>
      <c r="EO82" s="2063">
        <f>SUM(EO83:EO84)</f>
        <v>0</v>
      </c>
      <c r="EP82" s="397">
        <f>IF(EN82=0,0,(EO82-EN82)/EN82*100)</f>
        <v>0</v>
      </c>
      <c r="EQ82" s="2063">
        <f>SUM(EQ83:EQ84)</f>
        <v>0</v>
      </c>
      <c r="ER82" s="2063">
        <f>SUM(ER83:ER84)</f>
        <v>0</v>
      </c>
      <c r="ES82" s="397">
        <f>IF(EQ82=0,0,(ER82-EQ82)/EQ82*100)</f>
        <v>0</v>
      </c>
      <c r="ET82" s="2063">
        <f>SUM(ET83:ET84)</f>
        <v>0</v>
      </c>
      <c r="EU82" s="2063">
        <f>SUM(EU83:EU84)</f>
        <v>0</v>
      </c>
      <c r="EV82" s="397">
        <f>IF(ET82=0,0,(EU82-ET82)/ET82*100)</f>
        <v>0</v>
      </c>
      <c r="EW82" s="2063">
        <f>SUM(EW83:EW84)</f>
        <v>0</v>
      </c>
      <c r="EX82" s="2063">
        <f>SUM(EX83:EX84)</f>
        <v>0</v>
      </c>
      <c r="EY82" s="397">
        <f>IF(EW82=0,0,(EX82-EW82)/EW82*100)</f>
        <v>0</v>
      </c>
      <c r="EZ82" s="2063">
        <f>SUM(EZ83:EZ84)</f>
        <v>0</v>
      </c>
      <c r="FA82" s="2063">
        <f>SUM(FA83:FA84)</f>
        <v>0</v>
      </c>
      <c r="FB82" s="397">
        <f>IF(EZ82=0,0,(FA82-EZ82)/EZ82*100)</f>
        <v>0</v>
      </c>
      <c r="FC82" s="2063">
        <f>SUM(FC83:FC84)</f>
        <v>0</v>
      </c>
      <c r="FD82" s="2063">
        <f>SUM(FD83:FD84)</f>
        <v>0</v>
      </c>
      <c r="FE82" s="397">
        <f>IF(FC82=0,0,(FD82-FC82)/FC82*100)</f>
        <v>0</v>
      </c>
      <c r="FF82" s="2063">
        <f>SUM(FF83:FF84)</f>
        <v>0</v>
      </c>
      <c r="FG82" s="2063">
        <f>SUM(FG83:FG84)</f>
        <v>0</v>
      </c>
      <c r="FH82" s="397">
        <f>IF(FF82=0,0,(FG82-FF82)/FF82*100)</f>
        <v>0</v>
      </c>
      <c r="FI82" s="2063">
        <f>SUM(FI83:FI84)</f>
        <v>0</v>
      </c>
      <c r="FJ82" s="2063">
        <f>SUM(FJ83:FJ84)</f>
        <v>0</v>
      </c>
      <c r="FK82" s="397">
        <f>IF(FI82=0,0,(FJ82-FI82)/FI82*100)</f>
        <v>0</v>
      </c>
      <c r="FL82" s="2063">
        <f>SUM(FL83:FL84)</f>
        <v>0</v>
      </c>
      <c r="FM82" s="2063">
        <f>SUM(FM83:FM84)</f>
        <v>0</v>
      </c>
      <c r="FN82" s="397">
        <f>IF(FL82=0,0,(FM82-FL82)/FL82*100)</f>
        <v>0</v>
      </c>
      <c r="FO82" s="2063">
        <f>SUM(FO83:FO84)</f>
        <v>0</v>
      </c>
      <c r="FP82" s="2063">
        <f>SUM(FP83:FP84)</f>
        <v>0</v>
      </c>
      <c r="FQ82" s="397">
        <f>IF(FO82=0,0,(FP82-FO82)/FO82*100)</f>
        <v>0</v>
      </c>
      <c r="FR82" s="2063">
        <f>SUM(FR83:FR84)</f>
        <v>0</v>
      </c>
      <c r="FS82" s="2063">
        <f>SUM(FS83:FS84)</f>
        <v>0</v>
      </c>
      <c r="FT82" s="397">
        <f>IF(FR82=0,0,(FS82-FR82)/FR82*100)</f>
        <v>0</v>
      </c>
      <c r="FU82" s="2063">
        <f>SUM(FU83:FU84)</f>
        <v>0</v>
      </c>
      <c r="FV82" s="2063">
        <f>SUM(FV83:FV84)</f>
        <v>0</v>
      </c>
      <c r="FW82" s="397">
        <f>IF(FU82=0,0,(FV82-FU82)/FU82*100)</f>
        <v>0</v>
      </c>
      <c r="FX82" s="497"/>
      <c r="FY82" s="497"/>
      <c r="FZ82" s="1181" t="s">
        <v>2105</v>
      </c>
      <c r="GA82" s="1181"/>
      <c r="GB82" s="1181"/>
      <c r="GC82" s="1181"/>
      <c r="GD82" s="1181"/>
    </row>
    <row s="1619" customFormat="1" customHeight="1" ht="16.5">
      <c r="A83" s="1461"/>
      <c r="B83" s="961" cm="1" t="str">
        <f t="array" ref="B83:B83">B82</f>
        <v>true</v>
      </c>
      <c r="C83" s="1322" t="s">
        <v>1721</v>
      </c>
      <c r="D83" s="1291" t="s">
        <v>1722</v>
      </c>
      <c r="E83" s="794">
        <v>17.1</v>
      </c>
      <c r="F83" s="919" cm="1" t="str">
        <f t="array" ref="F83:F83">OFFSET(G83,-1,-1)</f>
        <v>1</v>
      </c>
      <c r="G83" s="190" t="s">
        <v>1723</v>
      </c>
      <c r="H83" s="497"/>
      <c r="I83" s="497"/>
      <c r="J83" s="1312" t="s">
        <v>2089</v>
      </c>
      <c r="K83" s="1312" cm="1" t="str">
        <f t="array" ref="K83:K83">OFFSET(J83,-1,1)</f>
        <v>ТЭ.42.26824396.0004</v>
      </c>
      <c r="L83" s="1312" t="s">
        <v>2103</v>
      </c>
      <c r="M83" s="1312" t="s">
        <v>1724</v>
      </c>
      <c r="N83" s="1312" t="s">
        <v>2091</v>
      </c>
      <c r="O83" s="1313" t="s">
        <v>2092</v>
      </c>
      <c r="P83" s="1312"/>
      <c r="Q83" s="1312"/>
      <c r="R83" s="925"/>
      <c r="S83" s="497"/>
      <c r="T83" s="805" cm="1" t="str">
        <f t="array" ref="T83:T83">T82</f>
        <v>true</v>
      </c>
      <c r="U83" s="1461"/>
      <c r="V83" s="1461"/>
      <c r="W83" s="1461"/>
      <c r="X83" s="1461"/>
      <c r="Y83" s="1461"/>
      <c r="Z83" s="1461"/>
      <c r="AA83" s="497"/>
      <c r="AB83" s="286" t="s">
        <v>1725</v>
      </c>
      <c r="AC83" s="169" t="s">
        <v>591</v>
      </c>
      <c r="AD83" s="2063">
        <f>IF(method_reg="Метод экономически обоснованных расходов",_xlfn.SUMIFS('Калькуляция (4.6)'!AJ$25:AJ$229,'Калькуляция (4.6)'!$F$25:$F$229,$F83,'Калькуляция (4.6)'!$G$25:$G$229,$G83),IF(method_reg="Метод сравнения аналогов",_xlfn.SUMIFS(INDEX('Калькуляция (МСА)'!$AE$25:$BC$109,,MATCH(AD$8,'Калькуляция (МСА)'!$AE$8:$BC$8,0)),'Калькуляция (МСА)'!$F$25:$F$109,$F83,'Калькуляция (МСА)'!$G$25:$G$109,$G83),_xlfn.SUMIFS(INDEX('Калькуляция (5.9)'!$AJ$25:$BC$192,,MATCH(AD$8,'Калькуляция (5.9)'!$AJ$8:$BC$8,0)),'Калькуляция (5.9)'!$F$25:$F$192,$F83,'Калькуляция (5.9)'!$G$25:$G$192,$G83)))</f>
        <v>1024</v>
      </c>
      <c r="AE83" s="2063">
        <f>IF(method_reg="Метод экономически обоснованных расходов",_xlfn.SUMIFS('Калькуляция (4.6)'!AK$25:AK$229,'Калькуляция (4.6)'!$F$25:$F$229,$F83,'Калькуляция (4.6)'!$G$25:$G$229,$G83),IF(method_reg="Метод сравнения аналогов",_xlfn.SUMIFS(INDEX('Калькуляция (МСА)'!$AE$25:$BC$109,,MATCH(AE$8,'Калькуляция (МСА)'!$AE$8:$BC$8,0)),'Калькуляция (МСА)'!$F$25:$F$109,$F83,'Калькуляция (МСА)'!$G$25:$G$109,$G83),_xlfn.SUMIFS(INDEX('Калькуляция (5.9)'!$AJ$25:$BC$192,,MATCH(AE$8,'Калькуляция (5.9)'!$AJ$8:$BC$8,0)),'Калькуляция (5.9)'!$F$25:$F$192,$F83,'Калькуляция (5.9)'!$G$25:$G$192,$G83)))</f>
        <v>1024</v>
      </c>
      <c r="AF83" s="397">
        <f>IF(AD83=0,0,(AE83-AD83)/AD83*100)</f>
        <v>0</v>
      </c>
      <c r="AG83" s="413">
        <f>IF(method_reg="Метод сравнения аналогов",_xlfn.SUMIFS(INDEX('Калькуляция (МСА)'!$AE$25:$BC$109,,MATCH(AG$8,'Калькуляция (МСА)'!$AE$8:$BC$8,0)),'Калькуляция (МСА)'!$F$25:$F$109,$F83,'Калькуляция (МСА)'!$G$25:$G$109,$G83),_xlfn.SUMIFS(INDEX('Калькуляция (5.9)'!$AJ$25:$BC$192,,MATCH(AG$8,'Калькуляция (5.9)'!$AJ$8:$BC$8,0)),'Калькуляция (5.9)'!$F$25:$F$192,$F83,'Калькуляция (5.9)'!$G$25:$G$192,$G83))</f>
        <v>1024</v>
      </c>
      <c r="AH83" s="413">
        <f>IF(method_reg="Метод сравнения аналогов",_xlfn.SUMIFS(INDEX('Калькуляция (МСА)'!$AE$25:$BC$109,,MATCH(AH$8,'Калькуляция (МСА)'!$AE$8:$BC$8,0)),'Калькуляция (МСА)'!$F$25:$F$109,$F83,'Калькуляция (МСА)'!$G$25:$G$109,$G83),_xlfn.SUMIFS(INDEX('Калькуляция (5.9)'!$AJ$25:$BC$192,,MATCH(AH$8,'Калькуляция (5.9)'!$AJ$8:$BC$8,0)),'Калькуляция (5.9)'!$F$25:$F$192,$F83,'Калькуляция (5.9)'!$G$25:$G$192,$G83))</f>
        <v>1024</v>
      </c>
      <c r="AI83" s="397">
        <f>IF(AG83=0,0,(AH83-AG83)/AG83*100)</f>
        <v>0</v>
      </c>
      <c r="AJ83" s="413">
        <f>IF(method_reg="Метод сравнения аналогов",_xlfn.SUMIFS(INDEX('Калькуляция (МСА)'!$AE$25:$BC$109,,MATCH(AJ$8,'Калькуляция (МСА)'!$AE$8:$BC$8,0)),'Калькуляция (МСА)'!$F$25:$F$109,$F83,'Калькуляция (МСА)'!$G$25:$G$109,$G83),_xlfn.SUMIFS(INDEX('Калькуляция (5.9)'!$AJ$25:$BC$192,,MATCH(AJ$8,'Калькуляция (5.9)'!$AJ$8:$BC$8,0)),'Калькуляция (5.9)'!$F$25:$F$192,$F83,'Калькуляция (5.9)'!$G$25:$G$192,$G83))</f>
        <v>1024</v>
      </c>
      <c r="AK83" s="413">
        <f>IF(method_reg="Метод сравнения аналогов",_xlfn.SUMIFS(INDEX('Калькуляция (МСА)'!$AE$25:$BC$109,,MATCH(AK$8,'Калькуляция (МСА)'!$AE$8:$BC$8,0)),'Калькуляция (МСА)'!$F$25:$F$109,$F83,'Калькуляция (МСА)'!$G$25:$G$109,$G83),_xlfn.SUMIFS(INDEX('Калькуляция (5.9)'!$AJ$25:$BC$192,,MATCH(AK$8,'Калькуляция (5.9)'!$AJ$8:$BC$8,0)),'Калькуляция (5.9)'!$F$25:$F$192,$F83,'Калькуляция (5.9)'!$G$25:$G$192,$G83))</f>
        <v>1024</v>
      </c>
      <c r="AL83" s="397">
        <f>IF(AJ83=0,0,(AK83-AJ83)/AJ83*100)</f>
        <v>0</v>
      </c>
      <c r="AM83" s="413">
        <f>IF(method_reg="Метод сравнения аналогов",_xlfn.SUMIFS(INDEX('Калькуляция (МСА)'!$AE$25:$BC$109,,MATCH(AM$8,'Калькуляция (МСА)'!$AE$8:$BC$8,0)),'Калькуляция (МСА)'!$F$25:$F$109,$F83,'Калькуляция (МСА)'!$G$25:$G$109,$G83),_xlfn.SUMIFS(INDEX('Калькуляция (5.9)'!$AJ$25:$BC$192,,MATCH(AM$8,'Калькуляция (5.9)'!$AJ$8:$BC$8,0)),'Калькуляция (5.9)'!$F$25:$F$192,$F83,'Калькуляция (5.9)'!$G$25:$G$192,$G83))</f>
        <v>1024</v>
      </c>
      <c r="AN83" s="413">
        <f>IF(method_reg="Метод сравнения аналогов",_xlfn.SUMIFS(INDEX('Калькуляция (МСА)'!$AE$25:$BC$109,,MATCH(AN$8,'Калькуляция (МСА)'!$AE$8:$BC$8,0)),'Калькуляция (МСА)'!$F$25:$F$109,$F83,'Калькуляция (МСА)'!$G$25:$G$109,$G83),_xlfn.SUMIFS(INDEX('Калькуляция (5.9)'!$AJ$25:$BC$192,,MATCH(AN$8,'Калькуляция (5.9)'!$AJ$8:$BC$8,0)),'Калькуляция (5.9)'!$F$25:$F$192,$F83,'Калькуляция (5.9)'!$G$25:$G$192,$G83))</f>
        <v>1024</v>
      </c>
      <c r="AO83" s="397">
        <f>IF(AM83=0,0,(AN83-AM83)/AM83*100)</f>
        <v>0</v>
      </c>
      <c r="AP83" s="413">
        <f>IF(method_reg="Метод сравнения аналогов",_xlfn.SUMIFS(INDEX('Калькуляция (МСА)'!$AE$25:$BC$109,,MATCH(AP$8,'Калькуляция (МСА)'!$AE$8:$BC$8,0)),'Калькуляция (МСА)'!$F$25:$F$109,$F83,'Калькуляция (МСА)'!$G$25:$G$109,$G83),_xlfn.SUMIFS(INDEX('Калькуляция (5.9)'!$AJ$25:$BC$192,,MATCH(AP$8,'Калькуляция (5.9)'!$AJ$8:$BC$8,0)),'Калькуляция (5.9)'!$F$25:$F$192,$F83,'Калькуляция (5.9)'!$G$25:$G$192,$G83))</f>
        <v>1024</v>
      </c>
      <c r="AQ83" s="413">
        <f>IF(method_reg="Метод сравнения аналогов",_xlfn.SUMIFS(INDEX('Калькуляция (МСА)'!$AE$25:$BC$109,,MATCH(AQ$8,'Калькуляция (МСА)'!$AE$8:$BC$8,0)),'Калькуляция (МСА)'!$F$25:$F$109,$F83,'Калькуляция (МСА)'!$G$25:$G$109,$G83),_xlfn.SUMIFS(INDEX('Калькуляция (5.9)'!$AJ$25:$BC$192,,MATCH(AQ$8,'Калькуляция (5.9)'!$AJ$8:$BC$8,0)),'Калькуляция (5.9)'!$F$25:$F$192,$F83,'Калькуляция (5.9)'!$G$25:$G$192,$G83))</f>
        <v>1024</v>
      </c>
      <c r="AR83" s="397">
        <f>IF(AP83=0,0,(AQ83-AP83)/AP83*100)</f>
        <v>0</v>
      </c>
      <c r="AS83" s="2063">
        <f>IF(method_reg="Метод сравнения аналогов",_xlfn.SUMIFS(INDEX('Калькуляция (МСА)'!$AE$25:$BC$109,,MATCH(AS$8,'Калькуляция (МСА)'!$AE$8:$BC$8,0)),'Калькуляция (МСА)'!$F$25:$F$109,$F83,'Калькуляция (МСА)'!$G$25:$G$109,$G83),_xlfn.SUMIFS(INDEX('Калькуляция (5.9)'!$AJ$25:$BC$192,,MATCH(AS$8,'Калькуляция (5.9)'!$AJ$8:$BC$8,0)),'Калькуляция (5.9)'!$F$25:$F$192,$F83,'Калькуляция (5.9)'!$G$25:$G$192,$G83))</f>
        <v>0</v>
      </c>
      <c r="AT83" s="2063">
        <f>IF(method_reg="Метод сравнения аналогов",_xlfn.SUMIFS(INDEX('Калькуляция (МСА)'!$AE$25:$BC$109,,MATCH(AT$8,'Калькуляция (МСА)'!$AE$8:$BC$8,0)),'Калькуляция (МСА)'!$F$25:$F$109,$F83,'Калькуляция (МСА)'!$G$25:$G$109,$G83),_xlfn.SUMIFS(INDEX('Калькуляция (5.9)'!$AJ$25:$BC$192,,MATCH(AT$8,'Калькуляция (5.9)'!$AJ$8:$BC$8,0)),'Калькуляция (5.9)'!$F$25:$F$192,$F83,'Калькуляция (5.9)'!$G$25:$G$192,$G83))</f>
        <v>0</v>
      </c>
      <c r="AU83" s="397">
        <f>IF(AS83=0,0,(AT83-AS83)/AS83*100)</f>
        <v>0</v>
      </c>
      <c r="AV83" s="2063">
        <f>IF(method_reg="Метод сравнения аналогов",_xlfn.SUMIFS(INDEX('Калькуляция (МСА)'!$AE$25:$BC$109,,MATCH(AV$8,'Калькуляция (МСА)'!$AE$8:$BC$8,0)),'Калькуляция (МСА)'!$F$25:$F$109,$F83,'Калькуляция (МСА)'!$G$25:$G$109,$G83),_xlfn.SUMIFS(INDEX('Калькуляция (5.9)'!$AJ$25:$BC$192,,MATCH(AV$8,'Калькуляция (5.9)'!$AJ$8:$BC$8,0)),'Калькуляция (5.9)'!$F$25:$F$192,$F83,'Калькуляция (5.9)'!$G$25:$G$192,$G83))</f>
        <v>0</v>
      </c>
      <c r="AW83" s="2063">
        <f>IF(method_reg="Метод сравнения аналогов",_xlfn.SUMIFS(INDEX('Калькуляция (МСА)'!$AE$25:$BC$109,,MATCH(AW$8,'Калькуляция (МСА)'!$AE$8:$BC$8,0)),'Калькуляция (МСА)'!$F$25:$F$109,$F83,'Калькуляция (МСА)'!$G$25:$G$109,$G83),_xlfn.SUMIFS(INDEX('Калькуляция (5.9)'!$AJ$25:$BC$192,,MATCH(AW$8,'Калькуляция (5.9)'!$AJ$8:$BC$8,0)),'Калькуляция (5.9)'!$F$25:$F$192,$F83,'Калькуляция (5.9)'!$G$25:$G$192,$G83))</f>
        <v>0</v>
      </c>
      <c r="AX83" s="397">
        <f>IF(AV83=0,0,(AW83-AV83)/AV83*100)</f>
        <v>0</v>
      </c>
      <c r="AY83" s="2063">
        <f>IF(method_reg="Метод сравнения аналогов",_xlfn.SUMIFS(INDEX('Калькуляция (МСА)'!$AE$25:$BC$109,,MATCH(AY$8,'Калькуляция (МСА)'!$AE$8:$BC$8,0)),'Калькуляция (МСА)'!$F$25:$F$109,$F83,'Калькуляция (МСА)'!$G$25:$G$109,$G83),_xlfn.SUMIFS(INDEX('Калькуляция (5.9)'!$AJ$25:$BC$192,,MATCH(AY$8,'Калькуляция (5.9)'!$AJ$8:$BC$8,0)),'Калькуляция (5.9)'!$F$25:$F$192,$F83,'Калькуляция (5.9)'!$G$25:$G$192,$G83))</f>
        <v>0</v>
      </c>
      <c r="AZ83" s="2063">
        <f>IF(method_reg="Метод сравнения аналогов",_xlfn.SUMIFS(INDEX('Калькуляция (МСА)'!$AE$25:$BC$109,,MATCH(AZ$8,'Калькуляция (МСА)'!$AE$8:$BC$8,0)),'Калькуляция (МСА)'!$F$25:$F$109,$F83,'Калькуляция (МСА)'!$G$25:$G$109,$G83),_xlfn.SUMIFS(INDEX('Калькуляция (5.9)'!$AJ$25:$BC$192,,MATCH(AZ$8,'Калькуляция (5.9)'!$AJ$8:$BC$8,0)),'Калькуляция (5.9)'!$F$25:$F$192,$F83,'Калькуляция (5.9)'!$G$25:$G$192,$G83))</f>
        <v>0</v>
      </c>
      <c r="BA83" s="397">
        <f>IF(AY83=0,0,(AZ83-AY83)/AY83*100)</f>
        <v>0</v>
      </c>
      <c r="BB83" s="2063">
        <f>IF(method_reg="Метод сравнения аналогов",_xlfn.SUMIFS(INDEX('Калькуляция (МСА)'!$AE$25:$BC$109,,MATCH(BB$8,'Калькуляция (МСА)'!$AE$8:$BC$8,0)),'Калькуляция (МСА)'!$F$25:$F$109,$F83,'Калькуляция (МСА)'!$G$25:$G$109,$G83),_xlfn.SUMIFS(INDEX('Калькуляция (5.9)'!$AJ$25:$BC$192,,MATCH(BB$8,'Калькуляция (5.9)'!$AJ$8:$BC$8,0)),'Калькуляция (5.9)'!$F$25:$F$192,$F83,'Калькуляция (5.9)'!$G$25:$G$192,$G83))</f>
        <v>0</v>
      </c>
      <c r="BC83" s="2063">
        <f>IF(method_reg="Метод сравнения аналогов",_xlfn.SUMIFS(INDEX('Калькуляция (МСА)'!$AE$25:$BC$109,,MATCH(BC$8,'Калькуляция (МСА)'!$AE$8:$BC$8,0)),'Калькуляция (МСА)'!$F$25:$F$109,$F83,'Калькуляция (МСА)'!$G$25:$G$109,$G83),_xlfn.SUMIFS(INDEX('Калькуляция (5.9)'!$AJ$25:$BC$192,,MATCH(BC$8,'Калькуляция (5.9)'!$AJ$8:$BC$8,0)),'Калькуляция (5.9)'!$F$25:$F$192,$F83,'Калькуляция (5.9)'!$G$25:$G$192,$G83))</f>
        <v>0</v>
      </c>
      <c r="BD83" s="397">
        <f>IF(BB83=0,0,(BC83-BB83)/BB83*100)</f>
        <v>0</v>
      </c>
      <c r="BE83" s="2063">
        <f>IF(method_reg="Метод сравнения аналогов",_xlfn.SUMIFS(INDEX('Калькуляция (МСА)'!$AE$25:$BC$109,,MATCH(BE$8,'Калькуляция (МСА)'!$AE$8:$BC$8,0)),'Калькуляция (МСА)'!$F$25:$F$109,$F83,'Калькуляция (МСА)'!$G$25:$G$109,$G83),_xlfn.SUMIFS(INDEX('Калькуляция (5.9)'!$AJ$25:$BC$192,,MATCH(BE$8,'Калькуляция (5.9)'!$AJ$8:$BC$8,0)),'Калькуляция (5.9)'!$F$25:$F$192,$F83,'Калькуляция (5.9)'!$G$25:$G$192,$G83))</f>
        <v>0</v>
      </c>
      <c r="BF83" s="2063">
        <f>IF(method_reg="Метод сравнения аналогов",_xlfn.SUMIFS(INDEX('Калькуляция (МСА)'!$AE$25:$BC$109,,MATCH(BF$8,'Калькуляция (МСА)'!$AE$8:$BC$8,0)),'Калькуляция (МСА)'!$F$25:$F$109,$F83,'Калькуляция (МСА)'!$G$25:$G$109,$G83),_xlfn.SUMIFS(INDEX('Калькуляция (5.9)'!$AJ$25:$BC$192,,MATCH(BF$8,'Калькуляция (5.9)'!$AJ$8:$BC$8,0)),'Калькуляция (5.9)'!$F$25:$F$192,$F83,'Калькуляция (5.9)'!$G$25:$G$192,$G83))</f>
        <v>0</v>
      </c>
      <c r="BG83" s="397">
        <f>IF(BE83=0,0,(BF83-BE83)/BE83*100)</f>
        <v>0</v>
      </c>
      <c r="BH83" s="2063"/>
      <c r="BI83" s="2063"/>
      <c r="BJ83" s="397">
        <f>IF(BH83=0,0,(BI83-BH83)/BH83*100)</f>
        <v>0</v>
      </c>
      <c r="BK83" s="2063"/>
      <c r="BL83" s="2063"/>
      <c r="BM83" s="397">
        <f>IF(BK83=0,0,(BL83-BK83)/BK83*100)</f>
        <v>0</v>
      </c>
      <c r="BN83" s="2063"/>
      <c r="BO83" s="2063"/>
      <c r="BP83" s="397">
        <f>IF(BN83=0,0,(BO83-BN83)/BN83*100)</f>
        <v>0</v>
      </c>
      <c r="BQ83" s="2063"/>
      <c r="BR83" s="2063"/>
      <c r="BS83" s="397">
        <f>IF(BQ83=0,0,(BR83-BQ83)/BQ83*100)</f>
        <v>0</v>
      </c>
      <c r="BT83" s="2063"/>
      <c r="BU83" s="2063"/>
      <c r="BV83" s="397">
        <f>IF(BT83=0,0,(BU83-BT83)/BT83*100)</f>
        <v>0</v>
      </c>
      <c r="BW83" s="2063"/>
      <c r="BX83" s="2063"/>
      <c r="BY83" s="397">
        <f>IF(BW83=0,0,(BX83-BW83)/BW83*100)</f>
        <v>0</v>
      </c>
      <c r="BZ83" s="2063"/>
      <c r="CA83" s="2063"/>
      <c r="CB83" s="397">
        <f>IF(BZ83=0,0,(CA83-BZ83)/BZ83*100)</f>
        <v>0</v>
      </c>
      <c r="CC83" s="2063"/>
      <c r="CD83" s="2063"/>
      <c r="CE83" s="397">
        <f>IF(CC83=0,0,(CD83-CC83)/CC83*100)</f>
        <v>0</v>
      </c>
      <c r="CF83" s="2063"/>
      <c r="CG83" s="2063"/>
      <c r="CH83" s="397">
        <f>IF(CF83=0,0,(CG83-CF83)/CF83*100)</f>
        <v>0</v>
      </c>
      <c r="CI83" s="2063"/>
      <c r="CJ83" s="2063"/>
      <c r="CK83" s="397">
        <f>IF(CI83=0,0,(CJ83-CI83)/CI83*100)</f>
        <v>0</v>
      </c>
      <c r="CL83" s="2063"/>
      <c r="CM83" s="2063"/>
      <c r="CN83" s="397">
        <f>IF(CL83=0,0,(CM83-CL83)/CL83*100)</f>
        <v>0</v>
      </c>
      <c r="CO83" s="2063"/>
      <c r="CP83" s="2063"/>
      <c r="CQ83" s="397">
        <f>IF(CO83=0,0,(CP83-CO83)/CO83*100)</f>
        <v>0</v>
      </c>
      <c r="CR83" s="2063"/>
      <c r="CS83" s="2063"/>
      <c r="CT83" s="397">
        <f>IF(CR83=0,0,(CS83-CR83)/CR83*100)</f>
        <v>0</v>
      </c>
      <c r="CU83" s="2063"/>
      <c r="CV83" s="2063"/>
      <c r="CW83" s="397">
        <f>IF(CU83=0,0,(CV83-CU83)/CU83*100)</f>
        <v>0</v>
      </c>
      <c r="CX83" s="2063"/>
      <c r="CY83" s="2063"/>
      <c r="CZ83" s="397">
        <f>IF(CX83=0,0,(CY83-CX83)/CX83*100)</f>
        <v>0</v>
      </c>
      <c r="DA83" s="2063"/>
      <c r="DB83" s="2063"/>
      <c r="DC83" s="397">
        <f>IF(DA83=0,0,(DB83-DA83)/DA83*100)</f>
        <v>0</v>
      </c>
      <c r="DD83" s="2063"/>
      <c r="DE83" s="2063"/>
      <c r="DF83" s="397">
        <f>IF(DD83=0,0,(DE83-DD83)/DD83*100)</f>
        <v>0</v>
      </c>
      <c r="DG83" s="2063"/>
      <c r="DH83" s="2063"/>
      <c r="DI83" s="397">
        <f>IF(DG83=0,0,(DH83-DG83)/DG83*100)</f>
        <v>0</v>
      </c>
      <c r="DJ83" s="2063"/>
      <c r="DK83" s="2063"/>
      <c r="DL83" s="397">
        <f>IF(DJ83=0,0,(DK83-DJ83)/DJ83*100)</f>
        <v>0</v>
      </c>
      <c r="DM83" s="2063"/>
      <c r="DN83" s="2063"/>
      <c r="DO83" s="397">
        <f>IF(DM83=0,0,(DN83-DM83)/DM83*100)</f>
        <v>0</v>
      </c>
      <c r="DP83" s="2063"/>
      <c r="DQ83" s="2063"/>
      <c r="DR83" s="397">
        <f>IF(DP83=0,0,(DQ83-DP83)/DP83*100)</f>
        <v>0</v>
      </c>
      <c r="DS83" s="2063"/>
      <c r="DT83" s="2063"/>
      <c r="DU83" s="397">
        <f>IF(DS83=0,0,(DT83-DS83)/DS83*100)</f>
        <v>0</v>
      </c>
      <c r="DV83" s="2063"/>
      <c r="DW83" s="2063"/>
      <c r="DX83" s="397">
        <f>IF(DV83=0,0,(DW83-DV83)/DV83*100)</f>
        <v>0</v>
      </c>
      <c r="DY83" s="2063"/>
      <c r="DZ83" s="2063"/>
      <c r="EA83" s="397">
        <f>IF(DY83=0,0,(DZ83-DY83)/DY83*100)</f>
        <v>0</v>
      </c>
      <c r="EB83" s="2063"/>
      <c r="EC83" s="2063"/>
      <c r="ED83" s="397">
        <f>IF(EB83=0,0,(EC83-EB83)/EB83*100)</f>
        <v>0</v>
      </c>
      <c r="EE83" s="2063"/>
      <c r="EF83" s="2063"/>
      <c r="EG83" s="397">
        <f>IF(EE83=0,0,(EF83-EE83)/EE83*100)</f>
        <v>0</v>
      </c>
      <c r="EH83" s="2063"/>
      <c r="EI83" s="2063"/>
      <c r="EJ83" s="397">
        <f>IF(EH83=0,0,(EI83-EH83)/EH83*100)</f>
        <v>0</v>
      </c>
      <c r="EK83" s="2063"/>
      <c r="EL83" s="2063"/>
      <c r="EM83" s="397">
        <f>IF(EK83=0,0,(EL83-EK83)/EK83*100)</f>
        <v>0</v>
      </c>
      <c r="EN83" s="2063"/>
      <c r="EO83" s="2063"/>
      <c r="EP83" s="397">
        <f>IF(EN83=0,0,(EO83-EN83)/EN83*100)</f>
        <v>0</v>
      </c>
      <c r="EQ83" s="2063"/>
      <c r="ER83" s="2063"/>
      <c r="ES83" s="397">
        <f>IF(EQ83=0,0,(ER83-EQ83)/EQ83*100)</f>
        <v>0</v>
      </c>
      <c r="ET83" s="2063"/>
      <c r="EU83" s="2063"/>
      <c r="EV83" s="397">
        <f>IF(ET83=0,0,(EU83-ET83)/ET83*100)</f>
        <v>0</v>
      </c>
      <c r="EW83" s="2063"/>
      <c r="EX83" s="2063"/>
      <c r="EY83" s="397">
        <f>IF(EW83=0,0,(EX83-EW83)/EW83*100)</f>
        <v>0</v>
      </c>
      <c r="EZ83" s="2063"/>
      <c r="FA83" s="2063"/>
      <c r="FB83" s="397">
        <f>IF(EZ83=0,0,(FA83-EZ83)/EZ83*100)</f>
        <v>0</v>
      </c>
      <c r="FC83" s="2063"/>
      <c r="FD83" s="2063"/>
      <c r="FE83" s="397">
        <f>IF(FC83=0,0,(FD83-FC83)/FC83*100)</f>
        <v>0</v>
      </c>
      <c r="FF83" s="2063"/>
      <c r="FG83" s="2063"/>
      <c r="FH83" s="397">
        <f>IF(FF83=0,0,(FG83-FF83)/FF83*100)</f>
        <v>0</v>
      </c>
      <c r="FI83" s="2063"/>
      <c r="FJ83" s="2063"/>
      <c r="FK83" s="397">
        <f>IF(FI83=0,0,(FJ83-FI83)/FI83*100)</f>
        <v>0</v>
      </c>
      <c r="FL83" s="2063"/>
      <c r="FM83" s="2063"/>
      <c r="FN83" s="397">
        <f>IF(FL83=0,0,(FM83-FL83)/FL83*100)</f>
        <v>0</v>
      </c>
      <c r="FO83" s="2063"/>
      <c r="FP83" s="2063"/>
      <c r="FQ83" s="397">
        <f>IF(FO83=0,0,(FP83-FO83)/FO83*100)</f>
        <v>0</v>
      </c>
      <c r="FR83" s="2063"/>
      <c r="FS83" s="2063"/>
      <c r="FT83" s="397">
        <f>IF(FR83=0,0,(FS83-FR83)/FR83*100)</f>
        <v>0</v>
      </c>
      <c r="FU83" s="2063"/>
      <c r="FV83" s="2063"/>
      <c r="FW83" s="397">
        <f>IF(FU83=0,0,(FV83-FU83)/FU83*100)</f>
        <v>0</v>
      </c>
      <c r="FX83" s="497"/>
      <c r="FY83" s="497"/>
      <c r="FZ83" s="1181" t="s">
        <v>2106</v>
      </c>
      <c r="GA83" s="1181"/>
      <c r="GB83" s="1181"/>
      <c r="GC83" s="1181"/>
      <c r="GD83" s="1181"/>
    </row>
    <row s="1619" customFormat="1" customHeight="1" ht="16.5">
      <c r="A84" s="1461"/>
      <c r="B84" s="961" cm="1" t="str">
        <f t="array" ref="B84:B84">B83</f>
        <v>true</v>
      </c>
      <c r="C84" s="1322" t="s">
        <v>1721</v>
      </c>
      <c r="D84" s="1291" t="s">
        <v>1722</v>
      </c>
      <c r="E84" s="794">
        <v>17.1</v>
      </c>
      <c r="F84" s="919" cm="1" t="str">
        <f t="array" ref="F84:F84">OFFSET(G84,-1,-1)</f>
        <v>1</v>
      </c>
      <c r="G84" s="190" t="s">
        <v>1732</v>
      </c>
      <c r="H84" s="497"/>
      <c r="I84" s="497"/>
      <c r="J84" s="1312" t="s">
        <v>2089</v>
      </c>
      <c r="K84" s="1312" cm="1" t="str">
        <f t="array" ref="K84:K84">OFFSET(J84,-1,1)</f>
        <v>ТЭ.42.26824396.0004</v>
      </c>
      <c r="L84" s="1312" t="s">
        <v>2103</v>
      </c>
      <c r="M84" s="1312" t="s">
        <v>1733</v>
      </c>
      <c r="N84" s="1312" t="s">
        <v>2091</v>
      </c>
      <c r="O84" s="1313" t="s">
        <v>2092</v>
      </c>
      <c r="P84" s="1312"/>
      <c r="Q84" s="1312"/>
      <c r="R84" s="925"/>
      <c r="S84" s="497"/>
      <c r="T84" s="805" cm="1" t="str">
        <f t="array" ref="T84:T84">T83</f>
        <v>true</v>
      </c>
      <c r="U84" s="1461"/>
      <c r="V84" s="1461"/>
      <c r="W84" s="1461"/>
      <c r="X84" s="1461"/>
      <c r="Y84" s="1461"/>
      <c r="Z84" s="1461"/>
      <c r="AA84" s="497"/>
      <c r="AB84" s="286" t="s">
        <v>1734</v>
      </c>
      <c r="AC84" s="169" t="s">
        <v>591</v>
      </c>
      <c r="AD84" s="2063">
        <f>IF(method_reg="Метод экономически обоснованных расходов",_xlfn.SUMIFS('Калькуляция (4.6)'!AJ$25:AJ$229,'Калькуляция (4.6)'!$F$25:$F$229,$F84,'Калькуляция (4.6)'!$G$25:$G$229,$G84),IF(method_reg="Метод сравнения аналогов",_xlfn.SUMIFS(INDEX('Калькуляция (МСА)'!$AE$25:$BC$109,,MATCH(AD$8,'Калькуляция (МСА)'!$AE$8:$BC$8,0)),'Калькуляция (МСА)'!$F$25:$F$109,$F84,'Калькуляция (МСА)'!$G$25:$G$109,$G84),_xlfn.SUMIFS(INDEX('Калькуляция (5.9)'!$AJ$25:$BC$192,,MATCH(AD$8,'Калькуляция (5.9)'!$AJ$8:$BC$8,0)),'Калькуляция (5.9)'!$F$25:$F$192,$F84,'Калькуляция (5.9)'!$G$25:$G$192,$G84)))</f>
        <v>346</v>
      </c>
      <c r="AE84" s="2063">
        <f>IF(method_reg="Метод экономически обоснованных расходов",_xlfn.SUMIFS('Калькуляция (4.6)'!AK$25:AK$229,'Калькуляция (4.6)'!$F$25:$F$229,$F84,'Калькуляция (4.6)'!$G$25:$G$229,$G84),IF(method_reg="Метод сравнения аналогов",_xlfn.SUMIFS(INDEX('Калькуляция (МСА)'!$AE$25:$BC$109,,MATCH(AE$8,'Калькуляция (МСА)'!$AE$8:$BC$8,0)),'Калькуляция (МСА)'!$F$25:$F$109,$F84,'Калькуляция (МСА)'!$G$25:$G$109,$G84),_xlfn.SUMIFS(INDEX('Калькуляция (5.9)'!$AJ$25:$BC$192,,MATCH(AE$8,'Калькуляция (5.9)'!$AJ$8:$BC$8,0)),'Калькуляция (5.9)'!$F$25:$F$192,$F84,'Калькуляция (5.9)'!$G$25:$G$192,$G84)))</f>
        <v>346</v>
      </c>
      <c r="AF84" s="397">
        <f>IF(AD84=0,0,(AE84-AD84)/AD84*100)</f>
        <v>0</v>
      </c>
      <c r="AG84" s="413">
        <f>IF(method_reg="Метод сравнения аналогов",_xlfn.SUMIFS(INDEX('Калькуляция (МСА)'!$AE$25:$BC$109,,MATCH(AG$8,'Калькуляция (МСА)'!$AE$8:$BC$8,0)),'Калькуляция (МСА)'!$F$25:$F$109,$F84,'Калькуляция (МСА)'!$G$25:$G$109,$G84),_xlfn.SUMIFS(INDEX('Калькуляция (5.9)'!$AJ$25:$BC$192,,MATCH(AG$8,'Калькуляция (5.9)'!$AJ$8:$BC$8,0)),'Калькуляция (5.9)'!$F$25:$F$192,$F84,'Калькуляция (5.9)'!$G$25:$G$192,$G84))</f>
        <v>346</v>
      </c>
      <c r="AH84" s="413">
        <f>IF(method_reg="Метод сравнения аналогов",_xlfn.SUMIFS(INDEX('Калькуляция (МСА)'!$AE$25:$BC$109,,MATCH(AH$8,'Калькуляция (МСА)'!$AE$8:$BC$8,0)),'Калькуляция (МСА)'!$F$25:$F$109,$F84,'Калькуляция (МСА)'!$G$25:$G$109,$G84),_xlfn.SUMIFS(INDEX('Калькуляция (5.9)'!$AJ$25:$BC$192,,MATCH(AH$8,'Калькуляция (5.9)'!$AJ$8:$BC$8,0)),'Калькуляция (5.9)'!$F$25:$F$192,$F84,'Калькуляция (5.9)'!$G$25:$G$192,$G84))</f>
        <v>346</v>
      </c>
      <c r="AI84" s="397">
        <f>IF(AG84=0,0,(AH84-AG84)/AG84*100)</f>
        <v>0</v>
      </c>
      <c r="AJ84" s="413">
        <f>IF(method_reg="Метод сравнения аналогов",_xlfn.SUMIFS(INDEX('Калькуляция (МСА)'!$AE$25:$BC$109,,MATCH(AJ$8,'Калькуляция (МСА)'!$AE$8:$BC$8,0)),'Калькуляция (МСА)'!$F$25:$F$109,$F84,'Калькуляция (МСА)'!$G$25:$G$109,$G84),_xlfn.SUMIFS(INDEX('Калькуляция (5.9)'!$AJ$25:$BC$192,,MATCH(AJ$8,'Калькуляция (5.9)'!$AJ$8:$BC$8,0)),'Калькуляция (5.9)'!$F$25:$F$192,$F84,'Калькуляция (5.9)'!$G$25:$G$192,$G84))</f>
        <v>346</v>
      </c>
      <c r="AK84" s="413">
        <f>IF(method_reg="Метод сравнения аналогов",_xlfn.SUMIFS(INDEX('Калькуляция (МСА)'!$AE$25:$BC$109,,MATCH(AK$8,'Калькуляция (МСА)'!$AE$8:$BC$8,0)),'Калькуляция (МСА)'!$F$25:$F$109,$F84,'Калькуляция (МСА)'!$G$25:$G$109,$G84),_xlfn.SUMIFS(INDEX('Калькуляция (5.9)'!$AJ$25:$BC$192,,MATCH(AK$8,'Калькуляция (5.9)'!$AJ$8:$BC$8,0)),'Калькуляция (5.9)'!$F$25:$F$192,$F84,'Калькуляция (5.9)'!$G$25:$G$192,$G84))</f>
        <v>346</v>
      </c>
      <c r="AL84" s="397">
        <f>IF(AJ84=0,0,(AK84-AJ84)/AJ84*100)</f>
        <v>0</v>
      </c>
      <c r="AM84" s="413">
        <f>IF(method_reg="Метод сравнения аналогов",_xlfn.SUMIFS(INDEX('Калькуляция (МСА)'!$AE$25:$BC$109,,MATCH(AM$8,'Калькуляция (МСА)'!$AE$8:$BC$8,0)),'Калькуляция (МСА)'!$F$25:$F$109,$F84,'Калькуляция (МСА)'!$G$25:$G$109,$G84),_xlfn.SUMIFS(INDEX('Калькуляция (5.9)'!$AJ$25:$BC$192,,MATCH(AM$8,'Калькуляция (5.9)'!$AJ$8:$BC$8,0)),'Калькуляция (5.9)'!$F$25:$F$192,$F84,'Калькуляция (5.9)'!$G$25:$G$192,$G84))</f>
        <v>346</v>
      </c>
      <c r="AN84" s="413">
        <f>IF(method_reg="Метод сравнения аналогов",_xlfn.SUMIFS(INDEX('Калькуляция (МСА)'!$AE$25:$BC$109,,MATCH(AN$8,'Калькуляция (МСА)'!$AE$8:$BC$8,0)),'Калькуляция (МСА)'!$F$25:$F$109,$F84,'Калькуляция (МСА)'!$G$25:$G$109,$G84),_xlfn.SUMIFS(INDEX('Калькуляция (5.9)'!$AJ$25:$BC$192,,MATCH(AN$8,'Калькуляция (5.9)'!$AJ$8:$BC$8,0)),'Калькуляция (5.9)'!$F$25:$F$192,$F84,'Калькуляция (5.9)'!$G$25:$G$192,$G84))</f>
        <v>346</v>
      </c>
      <c r="AO84" s="397">
        <f>IF(AM84=0,0,(AN84-AM84)/AM84*100)</f>
        <v>0</v>
      </c>
      <c r="AP84" s="413">
        <f>IF(method_reg="Метод сравнения аналогов",_xlfn.SUMIFS(INDEX('Калькуляция (МСА)'!$AE$25:$BC$109,,MATCH(AP$8,'Калькуляция (МСА)'!$AE$8:$BC$8,0)),'Калькуляция (МСА)'!$F$25:$F$109,$F84,'Калькуляция (МСА)'!$G$25:$G$109,$G84),_xlfn.SUMIFS(INDEX('Калькуляция (5.9)'!$AJ$25:$BC$192,,MATCH(AP$8,'Калькуляция (5.9)'!$AJ$8:$BC$8,0)),'Калькуляция (5.9)'!$F$25:$F$192,$F84,'Калькуляция (5.9)'!$G$25:$G$192,$G84))</f>
        <v>346</v>
      </c>
      <c r="AQ84" s="413">
        <f>IF(method_reg="Метод сравнения аналогов",_xlfn.SUMIFS(INDEX('Калькуляция (МСА)'!$AE$25:$BC$109,,MATCH(AQ$8,'Калькуляция (МСА)'!$AE$8:$BC$8,0)),'Калькуляция (МСА)'!$F$25:$F$109,$F84,'Калькуляция (МСА)'!$G$25:$G$109,$G84),_xlfn.SUMIFS(INDEX('Калькуляция (5.9)'!$AJ$25:$BC$192,,MATCH(AQ$8,'Калькуляция (5.9)'!$AJ$8:$BC$8,0)),'Калькуляция (5.9)'!$F$25:$F$192,$F84,'Калькуляция (5.9)'!$G$25:$G$192,$G84))</f>
        <v>346</v>
      </c>
      <c r="AR84" s="397">
        <f>IF(AP84=0,0,(AQ84-AP84)/AP84*100)</f>
        <v>0</v>
      </c>
      <c r="AS84" s="2063">
        <f>IF(method_reg="Метод сравнения аналогов",_xlfn.SUMIFS(INDEX('Калькуляция (МСА)'!$AE$25:$BC$109,,MATCH(AS$8,'Калькуляция (МСА)'!$AE$8:$BC$8,0)),'Калькуляция (МСА)'!$F$25:$F$109,$F84,'Калькуляция (МСА)'!$G$25:$G$109,$G84),_xlfn.SUMIFS(INDEX('Калькуляция (5.9)'!$AJ$25:$BC$192,,MATCH(AS$8,'Калькуляция (5.9)'!$AJ$8:$BC$8,0)),'Калькуляция (5.9)'!$F$25:$F$192,$F84,'Калькуляция (5.9)'!$G$25:$G$192,$G84))</f>
        <v>1370</v>
      </c>
      <c r="AT84" s="2063">
        <f>IF(method_reg="Метод сравнения аналогов",_xlfn.SUMIFS(INDEX('Калькуляция (МСА)'!$AE$25:$BC$109,,MATCH(AT$8,'Калькуляция (МСА)'!$AE$8:$BC$8,0)),'Калькуляция (МСА)'!$F$25:$F$109,$F84,'Калькуляция (МСА)'!$G$25:$G$109,$G84),_xlfn.SUMIFS(INDEX('Калькуляция (5.9)'!$AJ$25:$BC$192,,MATCH(AT$8,'Калькуляция (5.9)'!$AJ$8:$BC$8,0)),'Калькуляция (5.9)'!$F$25:$F$192,$F84,'Калькуляция (5.9)'!$G$25:$G$192,$G84))</f>
        <v>0</v>
      </c>
      <c r="AU84" s="397">
        <f>IF(AS84=0,0,(AT84-AS84)/AS84*100)</f>
        <v>-100</v>
      </c>
      <c r="AV84" s="2063">
        <f>IF(method_reg="Метод сравнения аналогов",_xlfn.SUMIFS(INDEX('Калькуляция (МСА)'!$AE$25:$BC$109,,MATCH(AV$8,'Калькуляция (МСА)'!$AE$8:$BC$8,0)),'Калькуляция (МСА)'!$F$25:$F$109,$F84,'Калькуляция (МСА)'!$G$25:$G$109,$G84),_xlfn.SUMIFS(INDEX('Калькуляция (5.9)'!$AJ$25:$BC$192,,MATCH(AV$8,'Калькуляция (5.9)'!$AJ$8:$BC$8,0)),'Калькуляция (5.9)'!$F$25:$F$192,$F84,'Калькуляция (5.9)'!$G$25:$G$192,$G84))</f>
        <v>1370</v>
      </c>
      <c r="AW84" s="2063">
        <f>IF(method_reg="Метод сравнения аналогов",_xlfn.SUMIFS(INDEX('Калькуляция (МСА)'!$AE$25:$BC$109,,MATCH(AW$8,'Калькуляция (МСА)'!$AE$8:$BC$8,0)),'Калькуляция (МСА)'!$F$25:$F$109,$F84,'Калькуляция (МСА)'!$G$25:$G$109,$G84),_xlfn.SUMIFS(INDEX('Калькуляция (5.9)'!$AJ$25:$BC$192,,MATCH(AW$8,'Калькуляция (5.9)'!$AJ$8:$BC$8,0)),'Калькуляция (5.9)'!$F$25:$F$192,$F84,'Калькуляция (5.9)'!$G$25:$G$192,$G84))</f>
        <v>0</v>
      </c>
      <c r="AX84" s="397">
        <f>IF(AV84=0,0,(AW84-AV84)/AV84*100)</f>
        <v>-100</v>
      </c>
      <c r="AY84" s="2063">
        <f>IF(method_reg="Метод сравнения аналогов",_xlfn.SUMIFS(INDEX('Калькуляция (МСА)'!$AE$25:$BC$109,,MATCH(AY$8,'Калькуляция (МСА)'!$AE$8:$BC$8,0)),'Калькуляция (МСА)'!$F$25:$F$109,$F84,'Калькуляция (МСА)'!$G$25:$G$109,$G84),_xlfn.SUMIFS(INDEX('Калькуляция (5.9)'!$AJ$25:$BC$192,,MATCH(AY$8,'Калькуляция (5.9)'!$AJ$8:$BC$8,0)),'Калькуляция (5.9)'!$F$25:$F$192,$F84,'Калькуляция (5.9)'!$G$25:$G$192,$G84))</f>
        <v>1370</v>
      </c>
      <c r="AZ84" s="2063">
        <f>IF(method_reg="Метод сравнения аналогов",_xlfn.SUMIFS(INDEX('Калькуляция (МСА)'!$AE$25:$BC$109,,MATCH(AZ$8,'Калькуляция (МСА)'!$AE$8:$BC$8,0)),'Калькуляция (МСА)'!$F$25:$F$109,$F84,'Калькуляция (МСА)'!$G$25:$G$109,$G84),_xlfn.SUMIFS(INDEX('Калькуляция (5.9)'!$AJ$25:$BC$192,,MATCH(AZ$8,'Калькуляция (5.9)'!$AJ$8:$BC$8,0)),'Калькуляция (5.9)'!$F$25:$F$192,$F84,'Калькуляция (5.9)'!$G$25:$G$192,$G84))</f>
        <v>0</v>
      </c>
      <c r="BA84" s="397">
        <f>IF(AY84=0,0,(AZ84-AY84)/AY84*100)</f>
        <v>-100</v>
      </c>
      <c r="BB84" s="2063">
        <f>IF(method_reg="Метод сравнения аналогов",_xlfn.SUMIFS(INDEX('Калькуляция (МСА)'!$AE$25:$BC$109,,MATCH(BB$8,'Калькуляция (МСА)'!$AE$8:$BC$8,0)),'Калькуляция (МСА)'!$F$25:$F$109,$F84,'Калькуляция (МСА)'!$G$25:$G$109,$G84),_xlfn.SUMIFS(INDEX('Калькуляция (5.9)'!$AJ$25:$BC$192,,MATCH(BB$8,'Калькуляция (5.9)'!$AJ$8:$BC$8,0)),'Калькуляция (5.9)'!$F$25:$F$192,$F84,'Калькуляция (5.9)'!$G$25:$G$192,$G84))</f>
        <v>1370</v>
      </c>
      <c r="BC84" s="2063">
        <f>IF(method_reg="Метод сравнения аналогов",_xlfn.SUMIFS(INDEX('Калькуляция (МСА)'!$AE$25:$BC$109,,MATCH(BC$8,'Калькуляция (МСА)'!$AE$8:$BC$8,0)),'Калькуляция (МСА)'!$F$25:$F$109,$F84,'Калькуляция (МСА)'!$G$25:$G$109,$G84),_xlfn.SUMIFS(INDEX('Калькуляция (5.9)'!$AJ$25:$BC$192,,MATCH(BC$8,'Калькуляция (5.9)'!$AJ$8:$BC$8,0)),'Калькуляция (5.9)'!$F$25:$F$192,$F84,'Калькуляция (5.9)'!$G$25:$G$192,$G84))</f>
        <v>0</v>
      </c>
      <c r="BD84" s="397">
        <f>IF(BB84=0,0,(BC84-BB84)/BB84*100)</f>
        <v>-100</v>
      </c>
      <c r="BE84" s="2063">
        <f>IF(method_reg="Метод сравнения аналогов",_xlfn.SUMIFS(INDEX('Калькуляция (МСА)'!$AE$25:$BC$109,,MATCH(BE$8,'Калькуляция (МСА)'!$AE$8:$BC$8,0)),'Калькуляция (МСА)'!$F$25:$F$109,$F84,'Калькуляция (МСА)'!$G$25:$G$109,$G84),_xlfn.SUMIFS(INDEX('Калькуляция (5.9)'!$AJ$25:$BC$192,,MATCH(BE$8,'Калькуляция (5.9)'!$AJ$8:$BC$8,0)),'Калькуляция (5.9)'!$F$25:$F$192,$F84,'Калькуляция (5.9)'!$G$25:$G$192,$G84))</f>
        <v>1370</v>
      </c>
      <c r="BF84" s="2063">
        <f>IF(method_reg="Метод сравнения аналогов",_xlfn.SUMIFS(INDEX('Калькуляция (МСА)'!$AE$25:$BC$109,,MATCH(BF$8,'Калькуляция (МСА)'!$AE$8:$BC$8,0)),'Калькуляция (МСА)'!$F$25:$F$109,$F84,'Калькуляция (МСА)'!$G$25:$G$109,$G84),_xlfn.SUMIFS(INDEX('Калькуляция (5.9)'!$AJ$25:$BC$192,,MATCH(BF$8,'Калькуляция (5.9)'!$AJ$8:$BC$8,0)),'Калькуляция (5.9)'!$F$25:$F$192,$F84,'Калькуляция (5.9)'!$G$25:$G$192,$G84))</f>
        <v>0</v>
      </c>
      <c r="BG84" s="397">
        <f>IF(BE84=0,0,(BF84-BE84)/BE84*100)</f>
        <v>-100</v>
      </c>
      <c r="BH84" s="2063"/>
      <c r="BI84" s="2063"/>
      <c r="BJ84" s="397">
        <f>IF(BH84=0,0,(BI84-BH84)/BH84*100)</f>
        <v>0</v>
      </c>
      <c r="BK84" s="2063"/>
      <c r="BL84" s="2063"/>
      <c r="BM84" s="397">
        <f>IF(BK84=0,0,(BL84-BK84)/BK84*100)</f>
        <v>0</v>
      </c>
      <c r="BN84" s="2063"/>
      <c r="BO84" s="2063"/>
      <c r="BP84" s="397">
        <f>IF(BN84=0,0,(BO84-BN84)/BN84*100)</f>
        <v>0</v>
      </c>
      <c r="BQ84" s="2063"/>
      <c r="BR84" s="2063"/>
      <c r="BS84" s="397">
        <f>IF(BQ84=0,0,(BR84-BQ84)/BQ84*100)</f>
        <v>0</v>
      </c>
      <c r="BT84" s="2063"/>
      <c r="BU84" s="2063"/>
      <c r="BV84" s="397">
        <f>IF(BT84=0,0,(BU84-BT84)/BT84*100)</f>
        <v>0</v>
      </c>
      <c r="BW84" s="2063"/>
      <c r="BX84" s="2063"/>
      <c r="BY84" s="397">
        <f>IF(BW84=0,0,(BX84-BW84)/BW84*100)</f>
        <v>0</v>
      </c>
      <c r="BZ84" s="2063"/>
      <c r="CA84" s="2063"/>
      <c r="CB84" s="397">
        <f>IF(BZ84=0,0,(CA84-BZ84)/BZ84*100)</f>
        <v>0</v>
      </c>
      <c r="CC84" s="2063"/>
      <c r="CD84" s="2063"/>
      <c r="CE84" s="397">
        <f>IF(CC84=0,0,(CD84-CC84)/CC84*100)</f>
        <v>0</v>
      </c>
      <c r="CF84" s="2063"/>
      <c r="CG84" s="2063"/>
      <c r="CH84" s="397">
        <f>IF(CF84=0,0,(CG84-CF84)/CF84*100)</f>
        <v>0</v>
      </c>
      <c r="CI84" s="2063"/>
      <c r="CJ84" s="2063"/>
      <c r="CK84" s="397">
        <f>IF(CI84=0,0,(CJ84-CI84)/CI84*100)</f>
        <v>0</v>
      </c>
      <c r="CL84" s="2063"/>
      <c r="CM84" s="2063"/>
      <c r="CN84" s="397">
        <f>IF(CL84=0,0,(CM84-CL84)/CL84*100)</f>
        <v>0</v>
      </c>
      <c r="CO84" s="2063"/>
      <c r="CP84" s="2063"/>
      <c r="CQ84" s="397">
        <f>IF(CO84=0,0,(CP84-CO84)/CO84*100)</f>
        <v>0</v>
      </c>
      <c r="CR84" s="2063"/>
      <c r="CS84" s="2063"/>
      <c r="CT84" s="397">
        <f>IF(CR84=0,0,(CS84-CR84)/CR84*100)</f>
        <v>0</v>
      </c>
      <c r="CU84" s="2063"/>
      <c r="CV84" s="2063"/>
      <c r="CW84" s="397">
        <f>IF(CU84=0,0,(CV84-CU84)/CU84*100)</f>
        <v>0</v>
      </c>
      <c r="CX84" s="2063"/>
      <c r="CY84" s="2063"/>
      <c r="CZ84" s="397">
        <f>IF(CX84=0,0,(CY84-CX84)/CX84*100)</f>
        <v>0</v>
      </c>
      <c r="DA84" s="2063"/>
      <c r="DB84" s="2063"/>
      <c r="DC84" s="397">
        <f>IF(DA84=0,0,(DB84-DA84)/DA84*100)</f>
        <v>0</v>
      </c>
      <c r="DD84" s="2063"/>
      <c r="DE84" s="2063"/>
      <c r="DF84" s="397">
        <f>IF(DD84=0,0,(DE84-DD84)/DD84*100)</f>
        <v>0</v>
      </c>
      <c r="DG84" s="2063"/>
      <c r="DH84" s="2063"/>
      <c r="DI84" s="397">
        <f>IF(DG84=0,0,(DH84-DG84)/DG84*100)</f>
        <v>0</v>
      </c>
      <c r="DJ84" s="2063"/>
      <c r="DK84" s="2063"/>
      <c r="DL84" s="397">
        <f>IF(DJ84=0,0,(DK84-DJ84)/DJ84*100)</f>
        <v>0</v>
      </c>
      <c r="DM84" s="2063"/>
      <c r="DN84" s="2063"/>
      <c r="DO84" s="397">
        <f>IF(DM84=0,0,(DN84-DM84)/DM84*100)</f>
        <v>0</v>
      </c>
      <c r="DP84" s="2063"/>
      <c r="DQ84" s="2063"/>
      <c r="DR84" s="397">
        <f>IF(DP84=0,0,(DQ84-DP84)/DP84*100)</f>
        <v>0</v>
      </c>
      <c r="DS84" s="2063"/>
      <c r="DT84" s="2063"/>
      <c r="DU84" s="397">
        <f>IF(DS84=0,0,(DT84-DS84)/DS84*100)</f>
        <v>0</v>
      </c>
      <c r="DV84" s="2063"/>
      <c r="DW84" s="2063"/>
      <c r="DX84" s="397">
        <f>IF(DV84=0,0,(DW84-DV84)/DV84*100)</f>
        <v>0</v>
      </c>
      <c r="DY84" s="2063"/>
      <c r="DZ84" s="2063"/>
      <c r="EA84" s="397">
        <f>IF(DY84=0,0,(DZ84-DY84)/DY84*100)</f>
        <v>0</v>
      </c>
      <c r="EB84" s="2063"/>
      <c r="EC84" s="2063"/>
      <c r="ED84" s="397">
        <f>IF(EB84=0,0,(EC84-EB84)/EB84*100)</f>
        <v>0</v>
      </c>
      <c r="EE84" s="2063"/>
      <c r="EF84" s="2063"/>
      <c r="EG84" s="397">
        <f>IF(EE84=0,0,(EF84-EE84)/EE84*100)</f>
        <v>0</v>
      </c>
      <c r="EH84" s="2063"/>
      <c r="EI84" s="2063"/>
      <c r="EJ84" s="397">
        <f>IF(EH84=0,0,(EI84-EH84)/EH84*100)</f>
        <v>0</v>
      </c>
      <c r="EK84" s="2063"/>
      <c r="EL84" s="2063"/>
      <c r="EM84" s="397">
        <f>IF(EK84=0,0,(EL84-EK84)/EK84*100)</f>
        <v>0</v>
      </c>
      <c r="EN84" s="2063"/>
      <c r="EO84" s="2063"/>
      <c r="EP84" s="397">
        <f>IF(EN84=0,0,(EO84-EN84)/EN84*100)</f>
        <v>0</v>
      </c>
      <c r="EQ84" s="2063"/>
      <c r="ER84" s="2063"/>
      <c r="ES84" s="397">
        <f>IF(EQ84=0,0,(ER84-EQ84)/EQ84*100)</f>
        <v>0</v>
      </c>
      <c r="ET84" s="2063"/>
      <c r="EU84" s="2063"/>
      <c r="EV84" s="397">
        <f>IF(ET84=0,0,(EU84-ET84)/ET84*100)</f>
        <v>0</v>
      </c>
      <c r="EW84" s="2063"/>
      <c r="EX84" s="2063"/>
      <c r="EY84" s="397">
        <f>IF(EW84=0,0,(EX84-EW84)/EW84*100)</f>
        <v>0</v>
      </c>
      <c r="EZ84" s="2063"/>
      <c r="FA84" s="2063"/>
      <c r="FB84" s="397">
        <f>IF(EZ84=0,0,(FA84-EZ84)/EZ84*100)</f>
        <v>0</v>
      </c>
      <c r="FC84" s="2063"/>
      <c r="FD84" s="2063"/>
      <c r="FE84" s="397">
        <f>IF(FC84=0,0,(FD84-FC84)/FC84*100)</f>
        <v>0</v>
      </c>
      <c r="FF84" s="2063"/>
      <c r="FG84" s="2063"/>
      <c r="FH84" s="397">
        <f>IF(FF84=0,0,(FG84-FF84)/FF84*100)</f>
        <v>0</v>
      </c>
      <c r="FI84" s="2063"/>
      <c r="FJ84" s="2063"/>
      <c r="FK84" s="397">
        <f>IF(FI84=0,0,(FJ84-FI84)/FI84*100)</f>
        <v>0</v>
      </c>
      <c r="FL84" s="2063"/>
      <c r="FM84" s="2063"/>
      <c r="FN84" s="397">
        <f>IF(FL84=0,0,(FM84-FL84)/FL84*100)</f>
        <v>0</v>
      </c>
      <c r="FO84" s="2063"/>
      <c r="FP84" s="2063"/>
      <c r="FQ84" s="397">
        <f>IF(FO84=0,0,(FP84-FO84)/FO84*100)</f>
        <v>0</v>
      </c>
      <c r="FR84" s="2063"/>
      <c r="FS84" s="2063"/>
      <c r="FT84" s="397">
        <f>IF(FR84=0,0,(FS84-FR84)/FR84*100)</f>
        <v>0</v>
      </c>
      <c r="FU84" s="2063"/>
      <c r="FV84" s="2063"/>
      <c r="FW84" s="397">
        <f>IF(FU84=0,0,(FV84-FU84)/FU84*100)</f>
        <v>0</v>
      </c>
      <c r="FX84" s="497"/>
      <c r="FY84" s="497"/>
      <c r="FZ84" s="1181" t="s">
        <v>2107</v>
      </c>
      <c r="GA84" s="1181"/>
      <c r="GB84" s="1181"/>
      <c r="GC84" s="1181"/>
      <c r="GD84" s="1181"/>
    </row>
    <row s="2065" customFormat="1" customHeight="1" ht="16.5">
      <c r="A85" s="360"/>
      <c r="B85" s="961" cm="1" t="str">
        <f t="array" ref="B85:B85">B84</f>
        <v>true</v>
      </c>
      <c r="C85" s="1322" t="s">
        <v>2108</v>
      </c>
      <c r="D85" s="1291" t="s">
        <v>2109</v>
      </c>
      <c r="E85" s="794">
        <v>17.1</v>
      </c>
      <c r="F85" s="919" cm="1" t="str">
        <f t="array" ref="F85:F85">OFFSET(G85,-1,-1)</f>
        <v>1</v>
      </c>
      <c r="G85" s="360"/>
      <c r="H85" s="210" t="s">
        <v>493</v>
      </c>
      <c r="I85" s="210" t="s">
        <v>2110</v>
      </c>
      <c r="J85" s="1312" t="s">
        <v>2089</v>
      </c>
      <c r="K85" s="1312" cm="1" t="str">
        <f t="array" ref="K85:K85">OFFSET(J85,-1,1)</f>
        <v>ТЭ.42.26824396.0004</v>
      </c>
      <c r="L85" s="1312"/>
      <c r="M85" s="1312" t="s">
        <v>1724</v>
      </c>
      <c r="N85" s="1312" t="s">
        <v>2111</v>
      </c>
      <c r="O85" s="1313" t="s">
        <v>2112</v>
      </c>
      <c r="P85" s="1312"/>
      <c r="Q85" s="1312"/>
      <c r="R85" s="360"/>
      <c r="S85" s="360"/>
      <c r="T85" s="805" cm="1" t="str">
        <f t="array" ref="T85:T85">T84</f>
        <v>true</v>
      </c>
      <c r="U85" s="360"/>
      <c r="V85" s="360"/>
      <c r="W85" s="360"/>
      <c r="X85" s="360"/>
      <c r="Y85" s="360"/>
      <c r="Z85" s="360"/>
      <c r="AA85" s="360"/>
      <c r="AB85" s="1351" t="s">
        <v>2113</v>
      </c>
      <c r="AC85" s="361" t="s">
        <v>895</v>
      </c>
      <c r="AD85" s="2060">
        <f>IF(tax_system="ОСНО",AD79*Сценарии!AE$26,AD79)</f>
        <v>4870.3498</v>
      </c>
      <c r="AE85" s="2060">
        <f>IF(tax_system="ОСНО",AE79*Сценарии!AO$26,AE79)</f>
        <v>4870.3498</v>
      </c>
      <c r="AF85" s="363">
        <f>IF(AD85=0,0,(AE85-AD85)/AD85*100)</f>
        <v>0</v>
      </c>
      <c r="AG85" s="362">
        <f>IF(tax_system="ОСНО",AG79*Сценарии!AF$26,AG79)</f>
        <v>12441.7701620373</v>
      </c>
      <c r="AH85" s="362">
        <f>IF(tax_system="ОСНО",AH79*Сценарии!AP$26,AH79)</f>
        <v>5422.2656</v>
      </c>
      <c r="AI85" s="363">
        <f>IF(AG85=0,0,(AH85-AG85)/AG85*100)</f>
        <v>-56.4188573701146</v>
      </c>
      <c r="AJ85" s="362">
        <f>IF(tax_system="ОСНО",AJ79*Сценарии!AG$26,AJ79)</f>
        <v>12441.7701620369</v>
      </c>
      <c r="AK85" s="362">
        <f>IF(tax_system="ОСНО",AK79*Сценарии!AQ$26,AK79)</f>
        <v>10053.2884542887</v>
      </c>
      <c r="AL85" s="363">
        <f>IF(AJ85=0,0,(AK85-AJ85)/AJ85*100)</f>
        <v>-19.1972820317489</v>
      </c>
      <c r="AM85" s="362">
        <f>IF(tax_system="ОСНО",AM79*Сценарии!AH$26,AM79)</f>
        <v>13287.6152682426</v>
      </c>
      <c r="AN85" s="362">
        <f>IF(tax_system="ОСНО",AN79*Сценарии!AR$26,AN79)</f>
        <v>10053.2884542887</v>
      </c>
      <c r="AO85" s="363">
        <f>IF(AM85=0,0,(AN85-AM85)/AM85*100)</f>
        <v>-24.3409125615184</v>
      </c>
      <c r="AP85" s="362">
        <f>IF(tax_system="ОСНО",AP79*Сценарии!AI$26,AP79)</f>
        <v>13287.6152682426</v>
      </c>
      <c r="AQ85" s="362">
        <f>IF(tax_system="ОСНО",AQ79*Сценарии!AS$26,AQ79)</f>
        <v>10743.2655088289</v>
      </c>
      <c r="AR85" s="363">
        <f>IF(AP85=0,0,(AQ85-AP85)/AP85*100)</f>
        <v>-19.1482798685081</v>
      </c>
      <c r="AS85" s="2060">
        <f>IF(tax_system="ОСНО",AS79*Сценарии!AJ$26,AS79)</f>
        <v>0</v>
      </c>
      <c r="AT85" s="2060">
        <f>IF(tax_system="ОСНО",AT79*Сценарии!AT$26,AT79)</f>
        <v>0</v>
      </c>
      <c r="AU85" s="363">
        <f>IF(AS85=0,0,(AT85-AS85)/AS85*100)</f>
        <v>0</v>
      </c>
      <c r="AV85" s="2060">
        <f>IF(tax_system="ОСНО",AV79*Сценарии!AK$26,AV79)</f>
        <v>0</v>
      </c>
      <c r="AW85" s="2060">
        <f>IF(tax_system="ОСНО",AW79*Сценарии!AU$26,AW79)</f>
        <v>0</v>
      </c>
      <c r="AX85" s="363">
        <f>IF(AV85=0,0,(AW85-AV85)/AV85*100)</f>
        <v>0</v>
      </c>
      <c r="AY85" s="2060">
        <f>IF(tax_system="ОСНО",AY79*Сценарии!AL$26,AY79)</f>
        <v>0</v>
      </c>
      <c r="AZ85" s="2060">
        <f>IF(tax_system="ОСНО",AZ79*Сценарии!AV$26,AZ79)</f>
        <v>0</v>
      </c>
      <c r="BA85" s="363">
        <f>IF(AY85=0,0,(AZ85-AY85)/AY85*100)</f>
        <v>0</v>
      </c>
      <c r="BB85" s="2060">
        <f>IF(tax_system="ОСНО",BB79*Сценарии!AM$26,BB79)</f>
        <v>0</v>
      </c>
      <c r="BC85" s="2060">
        <f>IF(tax_system="ОСНО",BC79*Сценарии!AW$26,BC79)</f>
        <v>0</v>
      </c>
      <c r="BD85" s="363">
        <f>IF(BB85=0,0,(BC85-BB85)/BB85*100)</f>
        <v>0</v>
      </c>
      <c r="BE85" s="2060">
        <f>IF(tax_system="ОСНО",BE79*Сценарии!AN$26,BE79)</f>
        <v>0</v>
      </c>
      <c r="BF85" s="2060">
        <f>IF(tax_system="ОСНО",BF79*Сценарии!AX$26,BF79)</f>
        <v>0</v>
      </c>
      <c r="BG85" s="363">
        <f>IF(BE85=0,0,(BF85-BE85)/BE85*100)</f>
        <v>0</v>
      </c>
      <c r="BH85" s="2060"/>
      <c r="BI85" s="2060"/>
      <c r="BJ85" s="363">
        <f>IF(BH85=0,0,(BI85-BH85)/BH85*100)</f>
        <v>0</v>
      </c>
      <c r="BK85" s="2060"/>
      <c r="BL85" s="2060"/>
      <c r="BM85" s="363">
        <f>IF(BK85=0,0,(BL85-BK85)/BK85*100)</f>
        <v>0</v>
      </c>
      <c r="BN85" s="2060"/>
      <c r="BO85" s="2060"/>
      <c r="BP85" s="363">
        <f>IF(BN85=0,0,(BO85-BN85)/BN85*100)</f>
        <v>0</v>
      </c>
      <c r="BQ85" s="2060"/>
      <c r="BR85" s="2060"/>
      <c r="BS85" s="363">
        <f>IF(BQ85=0,0,(BR85-BQ85)/BQ85*100)</f>
        <v>0</v>
      </c>
      <c r="BT85" s="2060"/>
      <c r="BU85" s="2060"/>
      <c r="BV85" s="363">
        <f>IF(BT85=0,0,(BU85-BT85)/BT85*100)</f>
        <v>0</v>
      </c>
      <c r="BW85" s="2060"/>
      <c r="BX85" s="2060"/>
      <c r="BY85" s="363">
        <f>IF(BW85=0,0,(BX85-BW85)/BW85*100)</f>
        <v>0</v>
      </c>
      <c r="BZ85" s="2060"/>
      <c r="CA85" s="2060"/>
      <c r="CB85" s="363">
        <f>IF(BZ85=0,0,(CA85-BZ85)/BZ85*100)</f>
        <v>0</v>
      </c>
      <c r="CC85" s="2060"/>
      <c r="CD85" s="2060"/>
      <c r="CE85" s="363">
        <f>IF(CC85=0,0,(CD85-CC85)/CC85*100)</f>
        <v>0</v>
      </c>
      <c r="CF85" s="2060"/>
      <c r="CG85" s="2060"/>
      <c r="CH85" s="363">
        <f>IF(CF85=0,0,(CG85-CF85)/CF85*100)</f>
        <v>0</v>
      </c>
      <c r="CI85" s="2060"/>
      <c r="CJ85" s="2060"/>
      <c r="CK85" s="363">
        <f>IF(CI85=0,0,(CJ85-CI85)/CI85*100)</f>
        <v>0</v>
      </c>
      <c r="CL85" s="2060"/>
      <c r="CM85" s="2060"/>
      <c r="CN85" s="363">
        <f>IF(CL85=0,0,(CM85-CL85)/CL85*100)</f>
        <v>0</v>
      </c>
      <c r="CO85" s="2060"/>
      <c r="CP85" s="2060"/>
      <c r="CQ85" s="363">
        <f>IF(CO85=0,0,(CP85-CO85)/CO85*100)</f>
        <v>0</v>
      </c>
      <c r="CR85" s="2060"/>
      <c r="CS85" s="2060"/>
      <c r="CT85" s="363">
        <f>IF(CR85=0,0,(CS85-CR85)/CR85*100)</f>
        <v>0</v>
      </c>
      <c r="CU85" s="2060"/>
      <c r="CV85" s="2060"/>
      <c r="CW85" s="363">
        <f>IF(CU85=0,0,(CV85-CU85)/CU85*100)</f>
        <v>0</v>
      </c>
      <c r="CX85" s="2060"/>
      <c r="CY85" s="2060"/>
      <c r="CZ85" s="363">
        <f>IF(CX85=0,0,(CY85-CX85)/CX85*100)</f>
        <v>0</v>
      </c>
      <c r="DA85" s="2060"/>
      <c r="DB85" s="2060"/>
      <c r="DC85" s="363">
        <f>IF(DA85=0,0,(DB85-DA85)/DA85*100)</f>
        <v>0</v>
      </c>
      <c r="DD85" s="2060"/>
      <c r="DE85" s="2060"/>
      <c r="DF85" s="363">
        <f>IF(DD85=0,0,(DE85-DD85)/DD85*100)</f>
        <v>0</v>
      </c>
      <c r="DG85" s="2060"/>
      <c r="DH85" s="2060"/>
      <c r="DI85" s="363">
        <f>IF(DG85=0,0,(DH85-DG85)/DG85*100)</f>
        <v>0</v>
      </c>
      <c r="DJ85" s="2060"/>
      <c r="DK85" s="2060"/>
      <c r="DL85" s="363">
        <f>IF(DJ85=0,0,(DK85-DJ85)/DJ85*100)</f>
        <v>0</v>
      </c>
      <c r="DM85" s="2060"/>
      <c r="DN85" s="2060"/>
      <c r="DO85" s="363">
        <f>IF(DM85=0,0,(DN85-DM85)/DM85*100)</f>
        <v>0</v>
      </c>
      <c r="DP85" s="2060"/>
      <c r="DQ85" s="2060"/>
      <c r="DR85" s="363">
        <f>IF(DP85=0,0,(DQ85-DP85)/DP85*100)</f>
        <v>0</v>
      </c>
      <c r="DS85" s="2060"/>
      <c r="DT85" s="2060"/>
      <c r="DU85" s="363">
        <f>IF(DS85=0,0,(DT85-DS85)/DS85*100)</f>
        <v>0</v>
      </c>
      <c r="DV85" s="2060"/>
      <c r="DW85" s="2060"/>
      <c r="DX85" s="363">
        <f>IF(DV85=0,0,(DW85-DV85)/DV85*100)</f>
        <v>0</v>
      </c>
      <c r="DY85" s="2060"/>
      <c r="DZ85" s="2060"/>
      <c r="EA85" s="363">
        <f>IF(DY85=0,0,(DZ85-DY85)/DY85*100)</f>
        <v>0</v>
      </c>
      <c r="EB85" s="2060"/>
      <c r="EC85" s="2060"/>
      <c r="ED85" s="363">
        <f>IF(EB85=0,0,(EC85-EB85)/EB85*100)</f>
        <v>0</v>
      </c>
      <c r="EE85" s="2060"/>
      <c r="EF85" s="2060"/>
      <c r="EG85" s="363">
        <f>IF(EE85=0,0,(EF85-EE85)/EE85*100)</f>
        <v>0</v>
      </c>
      <c r="EH85" s="2060"/>
      <c r="EI85" s="2060"/>
      <c r="EJ85" s="363">
        <f>IF(EH85=0,0,(EI85-EH85)/EH85*100)</f>
        <v>0</v>
      </c>
      <c r="EK85" s="2060"/>
      <c r="EL85" s="2060"/>
      <c r="EM85" s="363">
        <f>IF(EK85=0,0,(EL85-EK85)/EK85*100)</f>
        <v>0</v>
      </c>
      <c r="EN85" s="2060"/>
      <c r="EO85" s="2060"/>
      <c r="EP85" s="363">
        <f>IF(EN85=0,0,(EO85-EN85)/EN85*100)</f>
        <v>0</v>
      </c>
      <c r="EQ85" s="2060"/>
      <c r="ER85" s="2060"/>
      <c r="ES85" s="363">
        <f>IF(EQ85=0,0,(ER85-EQ85)/EQ85*100)</f>
        <v>0</v>
      </c>
      <c r="ET85" s="2060"/>
      <c r="EU85" s="2060"/>
      <c r="EV85" s="363">
        <f>IF(ET85=0,0,(EU85-ET85)/ET85*100)</f>
        <v>0</v>
      </c>
      <c r="EW85" s="2060"/>
      <c r="EX85" s="2060"/>
      <c r="EY85" s="363">
        <f>IF(EW85=0,0,(EX85-EW85)/EW85*100)</f>
        <v>0</v>
      </c>
      <c r="EZ85" s="2060"/>
      <c r="FA85" s="2060"/>
      <c r="FB85" s="363">
        <f>IF(EZ85=0,0,(FA85-EZ85)/EZ85*100)</f>
        <v>0</v>
      </c>
      <c r="FC85" s="2060"/>
      <c r="FD85" s="2060"/>
      <c r="FE85" s="363">
        <f>IF(FC85=0,0,(FD85-FC85)/FC85*100)</f>
        <v>0</v>
      </c>
      <c r="FF85" s="2060"/>
      <c r="FG85" s="2060"/>
      <c r="FH85" s="363">
        <f>IF(FF85=0,0,(FG85-FF85)/FF85*100)</f>
        <v>0</v>
      </c>
      <c r="FI85" s="2060"/>
      <c r="FJ85" s="2060"/>
      <c r="FK85" s="363">
        <f>IF(FI85=0,0,(FJ85-FI85)/FI85*100)</f>
        <v>0</v>
      </c>
      <c r="FL85" s="2060"/>
      <c r="FM85" s="2060"/>
      <c r="FN85" s="363">
        <f>IF(FL85=0,0,(FM85-FL85)/FL85*100)</f>
        <v>0</v>
      </c>
      <c r="FO85" s="2060"/>
      <c r="FP85" s="2060"/>
      <c r="FQ85" s="363">
        <f>IF(FO85=0,0,(FP85-FO85)/FO85*100)</f>
        <v>0</v>
      </c>
      <c r="FR85" s="2060"/>
      <c r="FS85" s="2060"/>
      <c r="FT85" s="363">
        <f>IF(FR85=0,0,(FS85-FR85)/FR85*100)</f>
        <v>0</v>
      </c>
      <c r="FU85" s="2060"/>
      <c r="FV85" s="2060"/>
      <c r="FW85" s="363">
        <f>IF(FU85=0,0,(FV85-FU85)/FU85*100)</f>
        <v>0</v>
      </c>
      <c r="FX85" s="360"/>
      <c r="FY85" s="360"/>
      <c r="FZ85" s="1181" t="s">
        <v>2114</v>
      </c>
      <c r="GA85" s="1181"/>
      <c r="GB85" s="1181"/>
      <c r="GC85" s="1181"/>
      <c r="GD85" s="1181"/>
    </row>
    <row s="2066" customFormat="1" customHeight="1" ht="16.5">
      <c r="A86" s="360"/>
      <c r="B86" s="961" cm="1" t="str">
        <f t="array" ref="B86:B86">B85</f>
        <v>true</v>
      </c>
      <c r="C86" s="1322" t="s">
        <v>2108</v>
      </c>
      <c r="D86" s="1291" t="s">
        <v>2109</v>
      </c>
      <c r="E86" s="794">
        <v>17.1</v>
      </c>
      <c r="F86" s="919" cm="1" t="str">
        <f t="array" ref="F86:F86">OFFSET(G86,-1,-1)</f>
        <v>1</v>
      </c>
      <c r="G86" s="360"/>
      <c r="H86" s="210" t="s">
        <v>493</v>
      </c>
      <c r="I86" s="210" t="s">
        <v>2115</v>
      </c>
      <c r="J86" s="1312" t="s">
        <v>2089</v>
      </c>
      <c r="K86" s="1312" cm="1" t="str">
        <f t="array" ref="K86:K86">OFFSET(J86,-1,1)</f>
        <v>ТЭ.42.26824396.0004</v>
      </c>
      <c r="L86" s="1312"/>
      <c r="M86" s="1312" t="s">
        <v>1733</v>
      </c>
      <c r="N86" s="1312" t="s">
        <v>2111</v>
      </c>
      <c r="O86" s="1313" t="s">
        <v>2112</v>
      </c>
      <c r="P86" s="1312"/>
      <c r="Q86" s="1312"/>
      <c r="R86" s="360"/>
      <c r="S86" s="360"/>
      <c r="T86" s="805" cm="1" t="str">
        <f t="array" ref="T86:T86">T85</f>
        <v>true</v>
      </c>
      <c r="U86" s="360"/>
      <c r="V86" s="360"/>
      <c r="W86" s="360"/>
      <c r="X86" s="360"/>
      <c r="Y86" s="360"/>
      <c r="Z86" s="360"/>
      <c r="AA86" s="360"/>
      <c r="AB86" s="1351" t="s">
        <v>2116</v>
      </c>
      <c r="AC86" s="361" t="s">
        <v>895</v>
      </c>
      <c r="AD86" s="2060">
        <f>IF(tax_system="ОСНО",AD80*Сценарии!AE$26,AD80)</f>
        <v>15408.539</v>
      </c>
      <c r="AE86" s="2060">
        <f>IF(tax_system="ОСНО",AE80*Сценарии!AO$26,AE80)</f>
        <v>5422.2656</v>
      </c>
      <c r="AF86" s="363">
        <f>IF(AD86=0,0,(AE86-AD86)/AD86*100)</f>
        <v>-64.8099952889758</v>
      </c>
      <c r="AG86" s="362">
        <f>IF(tax_system="ОСНО",AG80*Сценарии!AF$26,AG80)</f>
        <v>12441.7701620369</v>
      </c>
      <c r="AH86" s="362">
        <f>IF(tax_system="ОСНО",AH80*Сценарии!AP$26,AH80)</f>
        <v>23730.0643170633</v>
      </c>
      <c r="AI86" s="363">
        <f>IF(AG86=0,0,(AH86-AG86)/AG86*100)</f>
        <v>90.7290040565927</v>
      </c>
      <c r="AJ86" s="362">
        <f>IF(tax_system="ОСНО",AJ80*Сценарии!AG$26,AJ80)</f>
        <v>14159.2503519418</v>
      </c>
      <c r="AK86" s="362">
        <f>IF(tax_system="ОСНО",AK80*Сценарии!AQ$26,AK80)</f>
        <v>10053.2884542887</v>
      </c>
      <c r="AL86" s="363">
        <f>IF(AJ86=0,0,(AK86-AJ86)/AJ86*100)</f>
        <v>-28.9984412705155</v>
      </c>
      <c r="AM86" s="362">
        <f>IF(tax_system="ОСНО",AM80*Сценарии!AH$26,AM80)</f>
        <v>13287.6152682426</v>
      </c>
      <c r="AN86" s="362">
        <f>IF(tax_system="ОСНО",AN80*Сценарии!AR$26,AN80)</f>
        <v>11402.4448050553</v>
      </c>
      <c r="AO86" s="363">
        <f>IF(AM86=0,0,(AN86-AM86)/AM86*100)</f>
        <v>-14.1874250957044</v>
      </c>
      <c r="AP86" s="362">
        <f>IF(tax_system="ОСНО",AP80*Сценарии!AI$26,AP80)</f>
        <v>15059.4524881808</v>
      </c>
      <c r="AQ86" s="362">
        <f>IF(tax_system="ОСНО",AQ80*Сценарии!AS$26,AQ80)</f>
        <v>10743.2655088288</v>
      </c>
      <c r="AR86" s="363">
        <f>IF(AP86=0,0,(AQ86-AP86)/AP86*100)</f>
        <v>-28.6609820824462</v>
      </c>
      <c r="AS86" s="2060">
        <f>IF(tax_system="ОСНО",AS80*Сценарии!AJ$26,AS80)</f>
        <v>0</v>
      </c>
      <c r="AT86" s="2060">
        <f>IF(tax_system="ОСНО",AT80*Сценарии!AT$26,AT80)</f>
        <v>0</v>
      </c>
      <c r="AU86" s="363">
        <f>IF(AS86=0,0,(AT86-AS86)/AS86*100)</f>
        <v>0</v>
      </c>
      <c r="AV86" s="2060">
        <f>IF(tax_system="ОСНО",AV80*Сценарии!AK$26,AV80)</f>
        <v>0</v>
      </c>
      <c r="AW86" s="2060">
        <f>IF(tax_system="ОСНО",AW80*Сценарии!AU$26,AW80)</f>
        <v>0</v>
      </c>
      <c r="AX86" s="363">
        <f>IF(AV86=0,0,(AW86-AV86)/AV86*100)</f>
        <v>0</v>
      </c>
      <c r="AY86" s="2060">
        <f>IF(tax_system="ОСНО",AY80*Сценарии!AL$26,AY80)</f>
        <v>0</v>
      </c>
      <c r="AZ86" s="2060">
        <f>IF(tax_system="ОСНО",AZ80*Сценарии!AV$26,AZ80)</f>
        <v>0</v>
      </c>
      <c r="BA86" s="363">
        <f>IF(AY86=0,0,(AZ86-AY86)/AY86*100)</f>
        <v>0</v>
      </c>
      <c r="BB86" s="2060">
        <f>IF(tax_system="ОСНО",BB80*Сценарии!AM$26,BB80)</f>
        <v>0</v>
      </c>
      <c r="BC86" s="2060">
        <f>IF(tax_system="ОСНО",BC80*Сценарии!AW$26,BC80)</f>
        <v>0</v>
      </c>
      <c r="BD86" s="363">
        <f>IF(BB86=0,0,(BC86-BB86)/BB86*100)</f>
        <v>0</v>
      </c>
      <c r="BE86" s="2060">
        <f>IF(tax_system="ОСНО",BE80*Сценарии!AN$26,BE80)</f>
        <v>0</v>
      </c>
      <c r="BF86" s="2060">
        <f>IF(tax_system="ОСНО",BF80*Сценарии!AX$26,BF80)</f>
        <v>0</v>
      </c>
      <c r="BG86" s="363">
        <f>IF(BE86=0,0,(BF86-BE86)/BE86*100)</f>
        <v>0</v>
      </c>
      <c r="BH86" s="2060"/>
      <c r="BI86" s="2060"/>
      <c r="BJ86" s="363">
        <f>IF(BH86=0,0,(BI86-BH86)/BH86*100)</f>
        <v>0</v>
      </c>
      <c r="BK86" s="2060"/>
      <c r="BL86" s="2060"/>
      <c r="BM86" s="363">
        <f>IF(BK86=0,0,(BL86-BK86)/BK86*100)</f>
        <v>0</v>
      </c>
      <c r="BN86" s="2060"/>
      <c r="BO86" s="2060"/>
      <c r="BP86" s="363">
        <f>IF(BN86=0,0,(BO86-BN86)/BN86*100)</f>
        <v>0</v>
      </c>
      <c r="BQ86" s="2060"/>
      <c r="BR86" s="2060"/>
      <c r="BS86" s="363">
        <f>IF(BQ86=0,0,(BR86-BQ86)/BQ86*100)</f>
        <v>0</v>
      </c>
      <c r="BT86" s="2060"/>
      <c r="BU86" s="2060"/>
      <c r="BV86" s="363">
        <f>IF(BT86=0,0,(BU86-BT86)/BT86*100)</f>
        <v>0</v>
      </c>
      <c r="BW86" s="2060"/>
      <c r="BX86" s="2060"/>
      <c r="BY86" s="363">
        <f>IF(BW86=0,0,(BX86-BW86)/BW86*100)</f>
        <v>0</v>
      </c>
      <c r="BZ86" s="2060"/>
      <c r="CA86" s="2060"/>
      <c r="CB86" s="363">
        <f>IF(BZ86=0,0,(CA86-BZ86)/BZ86*100)</f>
        <v>0</v>
      </c>
      <c r="CC86" s="2060"/>
      <c r="CD86" s="2060"/>
      <c r="CE86" s="363">
        <f>IF(CC86=0,0,(CD86-CC86)/CC86*100)</f>
        <v>0</v>
      </c>
      <c r="CF86" s="2060"/>
      <c r="CG86" s="2060"/>
      <c r="CH86" s="363">
        <f>IF(CF86=0,0,(CG86-CF86)/CF86*100)</f>
        <v>0</v>
      </c>
      <c r="CI86" s="2060"/>
      <c r="CJ86" s="2060"/>
      <c r="CK86" s="363">
        <f>IF(CI86=0,0,(CJ86-CI86)/CI86*100)</f>
        <v>0</v>
      </c>
      <c r="CL86" s="2060"/>
      <c r="CM86" s="2060"/>
      <c r="CN86" s="363">
        <f>IF(CL86=0,0,(CM86-CL86)/CL86*100)</f>
        <v>0</v>
      </c>
      <c r="CO86" s="2060"/>
      <c r="CP86" s="2060"/>
      <c r="CQ86" s="363">
        <f>IF(CO86=0,0,(CP86-CO86)/CO86*100)</f>
        <v>0</v>
      </c>
      <c r="CR86" s="2060"/>
      <c r="CS86" s="2060"/>
      <c r="CT86" s="363">
        <f>IF(CR86=0,0,(CS86-CR86)/CR86*100)</f>
        <v>0</v>
      </c>
      <c r="CU86" s="2060"/>
      <c r="CV86" s="2060"/>
      <c r="CW86" s="363">
        <f>IF(CU86=0,0,(CV86-CU86)/CU86*100)</f>
        <v>0</v>
      </c>
      <c r="CX86" s="2060"/>
      <c r="CY86" s="2060"/>
      <c r="CZ86" s="363">
        <f>IF(CX86=0,0,(CY86-CX86)/CX86*100)</f>
        <v>0</v>
      </c>
      <c r="DA86" s="2060"/>
      <c r="DB86" s="2060"/>
      <c r="DC86" s="363">
        <f>IF(DA86=0,0,(DB86-DA86)/DA86*100)</f>
        <v>0</v>
      </c>
      <c r="DD86" s="2060"/>
      <c r="DE86" s="2060"/>
      <c r="DF86" s="363">
        <f>IF(DD86=0,0,(DE86-DD86)/DD86*100)</f>
        <v>0</v>
      </c>
      <c r="DG86" s="2060"/>
      <c r="DH86" s="2060"/>
      <c r="DI86" s="363">
        <f>IF(DG86=0,0,(DH86-DG86)/DG86*100)</f>
        <v>0</v>
      </c>
      <c r="DJ86" s="2060"/>
      <c r="DK86" s="2060"/>
      <c r="DL86" s="363">
        <f>IF(DJ86=0,0,(DK86-DJ86)/DJ86*100)</f>
        <v>0</v>
      </c>
      <c r="DM86" s="2060"/>
      <c r="DN86" s="2060"/>
      <c r="DO86" s="363">
        <f>IF(DM86=0,0,(DN86-DM86)/DM86*100)</f>
        <v>0</v>
      </c>
      <c r="DP86" s="2060"/>
      <c r="DQ86" s="2060"/>
      <c r="DR86" s="363">
        <f>IF(DP86=0,0,(DQ86-DP86)/DP86*100)</f>
        <v>0</v>
      </c>
      <c r="DS86" s="2060"/>
      <c r="DT86" s="2060"/>
      <c r="DU86" s="363">
        <f>IF(DS86=0,0,(DT86-DS86)/DS86*100)</f>
        <v>0</v>
      </c>
      <c r="DV86" s="2060"/>
      <c r="DW86" s="2060"/>
      <c r="DX86" s="363">
        <f>IF(DV86=0,0,(DW86-DV86)/DV86*100)</f>
        <v>0</v>
      </c>
      <c r="DY86" s="2060"/>
      <c r="DZ86" s="2060"/>
      <c r="EA86" s="363">
        <f>IF(DY86=0,0,(DZ86-DY86)/DY86*100)</f>
        <v>0</v>
      </c>
      <c r="EB86" s="2060"/>
      <c r="EC86" s="2060"/>
      <c r="ED86" s="363">
        <f>IF(EB86=0,0,(EC86-EB86)/EB86*100)</f>
        <v>0</v>
      </c>
      <c r="EE86" s="2060"/>
      <c r="EF86" s="2060"/>
      <c r="EG86" s="363">
        <f>IF(EE86=0,0,(EF86-EE86)/EE86*100)</f>
        <v>0</v>
      </c>
      <c r="EH86" s="2060"/>
      <c r="EI86" s="2060"/>
      <c r="EJ86" s="363">
        <f>IF(EH86=0,0,(EI86-EH86)/EH86*100)</f>
        <v>0</v>
      </c>
      <c r="EK86" s="2060"/>
      <c r="EL86" s="2060"/>
      <c r="EM86" s="363">
        <f>IF(EK86=0,0,(EL86-EK86)/EK86*100)</f>
        <v>0</v>
      </c>
      <c r="EN86" s="2060"/>
      <c r="EO86" s="2060"/>
      <c r="EP86" s="363">
        <f>IF(EN86=0,0,(EO86-EN86)/EN86*100)</f>
        <v>0</v>
      </c>
      <c r="EQ86" s="2060"/>
      <c r="ER86" s="2060"/>
      <c r="ES86" s="363">
        <f>IF(EQ86=0,0,(ER86-EQ86)/EQ86*100)</f>
        <v>0</v>
      </c>
      <c r="ET86" s="2060"/>
      <c r="EU86" s="2060"/>
      <c r="EV86" s="363">
        <f>IF(ET86=0,0,(EU86-ET86)/ET86*100)</f>
        <v>0</v>
      </c>
      <c r="EW86" s="2060"/>
      <c r="EX86" s="2060"/>
      <c r="EY86" s="363">
        <f>IF(EW86=0,0,(EX86-EW86)/EW86*100)</f>
        <v>0</v>
      </c>
      <c r="EZ86" s="2060"/>
      <c r="FA86" s="2060"/>
      <c r="FB86" s="363">
        <f>IF(EZ86=0,0,(FA86-EZ86)/EZ86*100)</f>
        <v>0</v>
      </c>
      <c r="FC86" s="2060"/>
      <c r="FD86" s="2060"/>
      <c r="FE86" s="363">
        <f>IF(FC86=0,0,(FD86-FC86)/FC86*100)</f>
        <v>0</v>
      </c>
      <c r="FF86" s="2060"/>
      <c r="FG86" s="2060"/>
      <c r="FH86" s="363">
        <f>IF(FF86=0,0,(FG86-FF86)/FF86*100)</f>
        <v>0</v>
      </c>
      <c r="FI86" s="2060"/>
      <c r="FJ86" s="2060"/>
      <c r="FK86" s="363">
        <f>IF(FI86=0,0,(FJ86-FI86)/FI86*100)</f>
        <v>0</v>
      </c>
      <c r="FL86" s="2060"/>
      <c r="FM86" s="2060"/>
      <c r="FN86" s="363">
        <f>IF(FL86=0,0,(FM86-FL86)/FL86*100)</f>
        <v>0</v>
      </c>
      <c r="FO86" s="2060"/>
      <c r="FP86" s="2060"/>
      <c r="FQ86" s="363">
        <f>IF(FO86=0,0,(FP86-FO86)/FO86*100)</f>
        <v>0</v>
      </c>
      <c r="FR86" s="2060"/>
      <c r="FS86" s="2060"/>
      <c r="FT86" s="363">
        <f>IF(FR86=0,0,(FS86-FR86)/FR86*100)</f>
        <v>0</v>
      </c>
      <c r="FU86" s="2060"/>
      <c r="FV86" s="2060"/>
      <c r="FW86" s="363">
        <f>IF(FU86=0,0,(FV86-FU86)/FU86*100)</f>
        <v>0</v>
      </c>
      <c r="FX86" s="360"/>
      <c r="FY86" s="360"/>
      <c r="FZ86" s="1181" t="s">
        <v>2117</v>
      </c>
      <c r="GA86" s="1181"/>
      <c r="GB86" s="1181"/>
      <c r="GC86" s="1181"/>
      <c r="GD86" s="1181"/>
    </row>
    <row s="1619" customFormat="1" customHeight="1" ht="16.5">
      <c r="A87" s="1461"/>
      <c r="B87" s="961" cm="1" t="str">
        <f t="array" ref="B87:B87">B86</f>
        <v>true</v>
      </c>
      <c r="C87" s="1322" t="s">
        <v>1739</v>
      </c>
      <c r="D87" s="1291" t="s">
        <v>1740</v>
      </c>
      <c r="E87" s="794">
        <v>17.1</v>
      </c>
      <c r="F87" s="919" cm="1" t="str">
        <f t="array" ref="F87:F87">OFFSET(G87,-1,-1)</f>
        <v>1</v>
      </c>
      <c r="G87" s="497"/>
      <c r="H87" s="210" t="s">
        <v>496</v>
      </c>
      <c r="I87" s="210" t="s">
        <v>2118</v>
      </c>
      <c r="J87" s="1312" t="s">
        <v>2089</v>
      </c>
      <c r="K87" s="1312" cm="1" t="str">
        <f t="array" ref="K87:K87">OFFSET(J87,-1,1)</f>
        <v>ТЭ.42.26824396.0004</v>
      </c>
      <c r="L87" s="1312" t="s">
        <v>2099</v>
      </c>
      <c r="M87" s="1312"/>
      <c r="N87" s="1312" t="s">
        <v>2111</v>
      </c>
      <c r="O87" s="1313" t="s">
        <v>2112</v>
      </c>
      <c r="P87" s="1312"/>
      <c r="Q87" s="1312"/>
      <c r="R87" s="925"/>
      <c r="S87" s="497"/>
      <c r="T87" s="805" cm="1" t="str">
        <f t="array" ref="T87:T87">T86</f>
        <v>true</v>
      </c>
      <c r="U87" s="1461"/>
      <c r="V87" s="1461"/>
      <c r="W87" s="1461"/>
      <c r="X87" s="1461"/>
      <c r="Y87" s="1461"/>
      <c r="Z87" s="1461"/>
      <c r="AA87" s="497"/>
      <c r="AB87" s="1057" t="s">
        <v>2100</v>
      </c>
      <c r="AC87" s="169" t="s">
        <v>490</v>
      </c>
      <c r="AD87" s="1041">
        <f>IF(AD85=0,0,AD86/AD85)</f>
        <v>3.16374380337117</v>
      </c>
      <c r="AE87" s="1041">
        <f>IF(AE85=0,0,AE86/AE85)</f>
        <v>1.11332159345105</v>
      </c>
      <c r="AF87" s="397"/>
      <c r="AG87" s="1041">
        <f>IF(AG85=0,0,AG86/AG85)</f>
        <v>0.99999999999997</v>
      </c>
      <c r="AH87" s="1041">
        <f>IF(AH85=0,0,AH86/AH85)</f>
        <v>4.37641127669277</v>
      </c>
      <c r="AI87" s="397"/>
      <c r="AJ87" s="1041">
        <f>IF(AJ85=0,0,AJ86/AJ85)</f>
        <v>1.1380414657671</v>
      </c>
      <c r="AK87" s="1041">
        <f>IF(AK85=0,0,AK86/AK85)</f>
        <v>1</v>
      </c>
      <c r="AL87" s="397"/>
      <c r="AM87" s="1041">
        <f>IF(AM85=0,0,AM86/AM85)</f>
        <v>1</v>
      </c>
      <c r="AN87" s="1041">
        <f>IF(AN85=0,0,AN86/AN85)</f>
        <v>1.1342005013485</v>
      </c>
      <c r="AO87" s="397"/>
      <c r="AP87" s="1041">
        <f>IF(AP85=0,0,AP86/AP85)</f>
        <v>1.13334501219138</v>
      </c>
      <c r="AQ87" s="1041">
        <f>IF(AQ85=0,0,AQ86/AQ85)</f>
        <v>0.99999999999999</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2119</v>
      </c>
      <c r="GA87" s="1181"/>
      <c r="GB87" s="1181"/>
      <c r="GC87" s="1181"/>
      <c r="GD87" s="1181"/>
    </row>
    <row s="1619" customFormat="1" customHeight="1" ht="16.5">
      <c r="A88" s="1461"/>
      <c r="B88" s="961" cm="1" t="str">
        <f t="array" ref="B88:B88">B87</f>
        <v>true</v>
      </c>
      <c r="C88" s="1322" t="s">
        <v>1721</v>
      </c>
      <c r="D88" s="1291" t="s">
        <v>1722</v>
      </c>
      <c r="E88" s="794">
        <v>17.1</v>
      </c>
      <c r="F88" s="919" cm="1" t="str">
        <f t="array" ref="F88:F88">OFFSET(G88,-1,-1)</f>
        <v>1</v>
      </c>
      <c r="G88" s="190" t="s">
        <v>2120</v>
      </c>
      <c r="H88" s="210" t="s">
        <v>503</v>
      </c>
      <c r="I88" s="210" t="s">
        <v>2118</v>
      </c>
      <c r="J88" s="1312" t="s">
        <v>2089</v>
      </c>
      <c r="K88" s="1312" cm="1" t="str">
        <f t="array" ref="K88:K88">OFFSET(J88,-1,1)</f>
        <v>ТЭ.42.26824396.0004</v>
      </c>
      <c r="L88" s="1312" t="s">
        <v>2103</v>
      </c>
      <c r="M88" s="1312"/>
      <c r="N88" s="1312" t="s">
        <v>2111</v>
      </c>
      <c r="O88" s="1313" t="s">
        <v>2112</v>
      </c>
      <c r="P88" s="1312"/>
      <c r="Q88" s="1312"/>
      <c r="R88" s="925"/>
      <c r="S88" s="497"/>
      <c r="T88" s="805" cm="1" t="str">
        <f t="array" ref="T88:T88">T87</f>
        <v>true</v>
      </c>
      <c r="U88" s="1461"/>
      <c r="V88" s="1461"/>
      <c r="W88" s="1461"/>
      <c r="X88" s="1461"/>
      <c r="Y88" s="1461"/>
      <c r="Z88" s="1461"/>
      <c r="AA88" s="497"/>
      <c r="AB88" s="1057" t="s">
        <v>2121</v>
      </c>
      <c r="AC88" s="169" t="s">
        <v>591</v>
      </c>
      <c r="AD88" s="1785">
        <f>_xlfn.SUMIFS('Баланс Пр'!AI$27:AI$233,'Баланс Пр'!$F$27:$F$233,$F88,'Баланс Пр'!$AB$27:$AB$233,"9.1.2.3")</f>
        <v>1037</v>
      </c>
      <c r="AE88" s="1785">
        <f>_xlfn.SUMIFS('Баланс Пр'!AS$27:AS$233,'Баланс Пр'!$F$27:$F$233,$F88,'Баланс Пр'!$AB$27:$AB$233,"9.1.2.3")</f>
        <v>1037</v>
      </c>
      <c r="AF88" s="397">
        <f>IF(AD88=0,0,(AE88-AD88)/AD88*100)</f>
        <v>0</v>
      </c>
      <c r="AG88" s="308">
        <f>_xlfn.SUMIFS('Баланс Пр'!AJ$27:AJ$233,'Баланс Пр'!$F$27:$F$233,$F88,'Баланс Пр'!$AB$27:$AB$233,"9.1.2.3")</f>
        <v>1037</v>
      </c>
      <c r="AH88" s="308">
        <f>_xlfn.SUMIFS('Баланс Пр'!AT$27:AT$233,'Баланс Пр'!$F$27:$F$233,$F88,'Баланс Пр'!$AB$27:$AB$233,"9.1.2.3")</f>
        <v>1037</v>
      </c>
      <c r="AI88" s="397">
        <f>IF(AG88=0,0,(AH88-AG88)/AG88*100)</f>
        <v>0</v>
      </c>
      <c r="AJ88" s="308">
        <f>_xlfn.SUMIFS('Баланс Пр'!AK$27:AK$233,'Баланс Пр'!$F$27:$F$233,$F88,'Баланс Пр'!$AB$27:$AB$233,"9.1.2.3")</f>
        <v>1037</v>
      </c>
      <c r="AK88" s="308">
        <f>_xlfn.SUMIFS('Баланс Пр'!AU$27:AU$233,'Баланс Пр'!$F$27:$F$233,$F88,'Баланс Пр'!$AB$27:$AB$233,"9.1.2.3")</f>
        <v>1037</v>
      </c>
      <c r="AL88" s="397">
        <f>IF(AJ88=0,0,(AK88-AJ88)/AJ88*100)</f>
        <v>0</v>
      </c>
      <c r="AM88" s="308">
        <f>_xlfn.SUMIFS('Баланс Пр'!AL$27:AL$233,'Баланс Пр'!$F$27:$F$233,$F88,'Баланс Пр'!$AB$27:$AB$233,"9.1.2.3")</f>
        <v>1037</v>
      </c>
      <c r="AN88" s="308">
        <f>_xlfn.SUMIFS('Баланс Пр'!AV$27:AV$233,'Баланс Пр'!$F$27:$F$233,$F88,'Баланс Пр'!$AB$27:$AB$233,"9.1.2.3")</f>
        <v>1037</v>
      </c>
      <c r="AO88" s="397">
        <f>IF(AM88=0,0,(AN88-AM88)/AM88*100)</f>
        <v>0</v>
      </c>
      <c r="AP88" s="308">
        <f>_xlfn.SUMIFS('Баланс Пр'!AM$27:AM$233,'Баланс Пр'!$F$27:$F$233,$F88,'Баланс Пр'!$AB$27:$AB$233,"9.1.2.3")</f>
        <v>1037</v>
      </c>
      <c r="AQ88" s="308">
        <f>_xlfn.SUMIFS('Баланс Пр'!AW$27:AW$233,'Баланс Пр'!$F$27:$F$233,$F88,'Баланс Пр'!$AB$27:$AB$233,"9.1.2.3")</f>
        <v>1037</v>
      </c>
      <c r="AR88" s="397">
        <f>IF(AP88=0,0,(AQ88-AP88)/AP88*100)</f>
        <v>0</v>
      </c>
      <c r="AS88" s="1785">
        <f>_xlfn.SUMIFS('Баланс Пр'!AN$27:AN$233,'Баланс Пр'!$F$27:$F$233,$F88,'Баланс Пр'!$AB$27:$AB$233,"9.1.2.3")</f>
        <v>1037</v>
      </c>
      <c r="AT88" s="1785">
        <f>_xlfn.SUMIFS('Баланс Пр'!AX$27:AX$233,'Баланс Пр'!$F$27:$F$233,$F88,'Баланс Пр'!$AB$27:$AB$233,"9.1.2.3")</f>
        <v>0</v>
      </c>
      <c r="AU88" s="397">
        <f>IF(AS88=0,0,(AT88-AS88)/AS88*100)</f>
        <v>-100</v>
      </c>
      <c r="AV88" s="1785">
        <f>_xlfn.SUMIFS('Баланс Пр'!AO$27:AO$233,'Баланс Пр'!$F$27:$F$233,$F88,'Баланс Пр'!$AB$27:$AB$233,"9.1.2.3")</f>
        <v>1037</v>
      </c>
      <c r="AW88" s="1785">
        <f>_xlfn.SUMIFS('Баланс Пр'!AY$27:AY$233,'Баланс Пр'!$F$27:$F$233,$F88,'Баланс Пр'!$AB$27:$AB$233,"9.1.2.3")</f>
        <v>0</v>
      </c>
      <c r="AX88" s="397">
        <f>IF(AV88=0,0,(AW88-AV88)/AV88*100)</f>
        <v>-100</v>
      </c>
      <c r="AY88" s="1785">
        <f>_xlfn.SUMIFS('Баланс Пр'!AP$27:AP$233,'Баланс Пр'!$F$27:$F$233,$F88,'Баланс Пр'!$AB$27:$AB$233,"9.1.2.3")</f>
        <v>1037</v>
      </c>
      <c r="AZ88" s="1785">
        <f>_xlfn.SUMIFS('Баланс Пр'!AZ$27:AZ$233,'Баланс Пр'!$F$27:$F$233,$F88,'Баланс Пр'!$AB$27:$AB$233,"9.1.2.3")</f>
        <v>0</v>
      </c>
      <c r="BA88" s="397">
        <f>IF(AY88=0,0,(AZ88-AY88)/AY88*100)</f>
        <v>-100</v>
      </c>
      <c r="BB88" s="1785">
        <f>_xlfn.SUMIFS('Баланс Пр'!AQ$27:AQ$233,'Баланс Пр'!$F$27:$F$233,$F88,'Баланс Пр'!$AB$27:$AB$233,"9.1.2.3")</f>
        <v>1037</v>
      </c>
      <c r="BC88" s="1785">
        <f>_xlfn.SUMIFS('Баланс Пр'!BA$27:BA$233,'Баланс Пр'!$F$27:$F$233,$F88,'Баланс Пр'!$AB$27:$AB$233,"9.1.2.3")</f>
        <v>0</v>
      </c>
      <c r="BD88" s="397">
        <f>IF(BB88=0,0,(BC88-BB88)/BB88*100)</f>
        <v>-100</v>
      </c>
      <c r="BE88" s="1785">
        <f>_xlfn.SUMIFS('Баланс Пр'!AR$27:AR$233,'Баланс Пр'!$F$27:$F$233,$F88,'Баланс Пр'!$AB$27:$AB$233,"9.1.2.3")</f>
        <v>1037</v>
      </c>
      <c r="BF88" s="1785">
        <f>_xlfn.SUMIFS('Баланс Пр'!BB$27:BB$233,'Баланс Пр'!$F$27:$F$233,$F88,'Баланс Пр'!$AB$27:$AB$233,"9.1.2.3")</f>
        <v>0</v>
      </c>
      <c r="BG88" s="397">
        <f>IF(BE88=0,0,(BF88-BE88)/BE88*100)</f>
        <v>-100</v>
      </c>
      <c r="BH88" s="2063">
        <f>SUM(BH89:BH90)</f>
        <v>0</v>
      </c>
      <c r="BI88" s="2063">
        <f>SUM(BI89:BI90)</f>
        <v>0</v>
      </c>
      <c r="BJ88" s="397">
        <f>IF(BH88=0,0,(BI88-BH88)/BH88*100)</f>
        <v>0</v>
      </c>
      <c r="BK88" s="2063">
        <f>SUM(BK89:BK90)</f>
        <v>0</v>
      </c>
      <c r="BL88" s="2063">
        <f>SUM(BL89:BL90)</f>
        <v>0</v>
      </c>
      <c r="BM88" s="397">
        <f>IF(BK88=0,0,(BL88-BK88)/BK88*100)</f>
        <v>0</v>
      </c>
      <c r="BN88" s="2063">
        <f>SUM(BN89:BN90)</f>
        <v>0</v>
      </c>
      <c r="BO88" s="2063">
        <f>SUM(BO89:BO90)</f>
        <v>0</v>
      </c>
      <c r="BP88" s="397">
        <f>IF(BN88=0,0,(BO88-BN88)/BN88*100)</f>
        <v>0</v>
      </c>
      <c r="BQ88" s="2063">
        <f>SUM(BQ89:BQ90)</f>
        <v>0</v>
      </c>
      <c r="BR88" s="2063">
        <f>SUM(BR89:BR90)</f>
        <v>0</v>
      </c>
      <c r="BS88" s="397">
        <f>IF(BQ88=0,0,(BR88-BQ88)/BQ88*100)</f>
        <v>0</v>
      </c>
      <c r="BT88" s="2063">
        <f>SUM(BT89:BT90)</f>
        <v>0</v>
      </c>
      <c r="BU88" s="2063">
        <f>SUM(BU89:BU90)</f>
        <v>0</v>
      </c>
      <c r="BV88" s="397">
        <f>IF(BT88=0,0,(BU88-BT88)/BT88*100)</f>
        <v>0</v>
      </c>
      <c r="BW88" s="2063">
        <f>SUM(BW89:BW90)</f>
        <v>0</v>
      </c>
      <c r="BX88" s="2063">
        <f>SUM(BX89:BX90)</f>
        <v>0</v>
      </c>
      <c r="BY88" s="397">
        <f>IF(BW88=0,0,(BX88-BW88)/BW88*100)</f>
        <v>0</v>
      </c>
      <c r="BZ88" s="2063">
        <f>SUM(BZ89:BZ90)</f>
        <v>0</v>
      </c>
      <c r="CA88" s="2063">
        <f>SUM(CA89:CA90)</f>
        <v>0</v>
      </c>
      <c r="CB88" s="397">
        <f>IF(BZ88=0,0,(CA88-BZ88)/BZ88*100)</f>
        <v>0</v>
      </c>
      <c r="CC88" s="2063">
        <f>SUM(CC89:CC90)</f>
        <v>0</v>
      </c>
      <c r="CD88" s="2063">
        <f>SUM(CD89:CD90)</f>
        <v>0</v>
      </c>
      <c r="CE88" s="397">
        <f>IF(CC88=0,0,(CD88-CC88)/CC88*100)</f>
        <v>0</v>
      </c>
      <c r="CF88" s="2063">
        <f>SUM(CF89:CF90)</f>
        <v>0</v>
      </c>
      <c r="CG88" s="2063">
        <f>SUM(CG89:CG90)</f>
        <v>0</v>
      </c>
      <c r="CH88" s="397">
        <f>IF(CF88=0,0,(CG88-CF88)/CF88*100)</f>
        <v>0</v>
      </c>
      <c r="CI88" s="2063">
        <f>SUM(CI89:CI90)</f>
        <v>0</v>
      </c>
      <c r="CJ88" s="2063">
        <f>SUM(CJ89:CJ90)</f>
        <v>0</v>
      </c>
      <c r="CK88" s="397">
        <f>IF(CI88=0,0,(CJ88-CI88)/CI88*100)</f>
        <v>0</v>
      </c>
      <c r="CL88" s="2063">
        <f>SUM(CL89:CL90)</f>
        <v>0</v>
      </c>
      <c r="CM88" s="2063">
        <f>SUM(CM89:CM90)</f>
        <v>0</v>
      </c>
      <c r="CN88" s="397">
        <f>IF(CL88=0,0,(CM88-CL88)/CL88*100)</f>
        <v>0</v>
      </c>
      <c r="CO88" s="2063">
        <f>SUM(CO89:CO90)</f>
        <v>0</v>
      </c>
      <c r="CP88" s="2063">
        <f>SUM(CP89:CP90)</f>
        <v>0</v>
      </c>
      <c r="CQ88" s="397">
        <f>IF(CO88=0,0,(CP88-CO88)/CO88*100)</f>
        <v>0</v>
      </c>
      <c r="CR88" s="2063">
        <f>SUM(CR89:CR90)</f>
        <v>0</v>
      </c>
      <c r="CS88" s="2063">
        <f>SUM(CS89:CS90)</f>
        <v>0</v>
      </c>
      <c r="CT88" s="397">
        <f>IF(CR88=0,0,(CS88-CR88)/CR88*100)</f>
        <v>0</v>
      </c>
      <c r="CU88" s="2063">
        <f>SUM(CU89:CU90)</f>
        <v>0</v>
      </c>
      <c r="CV88" s="2063">
        <f>SUM(CV89:CV90)</f>
        <v>0</v>
      </c>
      <c r="CW88" s="397">
        <f>IF(CU88=0,0,(CV88-CU88)/CU88*100)</f>
        <v>0</v>
      </c>
      <c r="CX88" s="2063">
        <f>SUM(CX89:CX90)</f>
        <v>0</v>
      </c>
      <c r="CY88" s="2063">
        <f>SUM(CY89:CY90)</f>
        <v>0</v>
      </c>
      <c r="CZ88" s="397">
        <f>IF(CX88=0,0,(CY88-CX88)/CX88*100)</f>
        <v>0</v>
      </c>
      <c r="DA88" s="2063">
        <f>SUM(DA89:DA90)</f>
        <v>0</v>
      </c>
      <c r="DB88" s="2063">
        <f>SUM(DB89:DB90)</f>
        <v>0</v>
      </c>
      <c r="DC88" s="397">
        <f>IF(DA88=0,0,(DB88-DA88)/DA88*100)</f>
        <v>0</v>
      </c>
      <c r="DD88" s="2063">
        <f>SUM(DD89:DD90)</f>
        <v>0</v>
      </c>
      <c r="DE88" s="2063">
        <f>SUM(DE89:DE90)</f>
        <v>0</v>
      </c>
      <c r="DF88" s="397">
        <f>IF(DD88=0,0,(DE88-DD88)/DD88*100)</f>
        <v>0</v>
      </c>
      <c r="DG88" s="2063">
        <f>SUM(DG89:DG90)</f>
        <v>0</v>
      </c>
      <c r="DH88" s="2063">
        <f>SUM(DH89:DH90)</f>
        <v>0</v>
      </c>
      <c r="DI88" s="397">
        <f>IF(DG88=0,0,(DH88-DG88)/DG88*100)</f>
        <v>0</v>
      </c>
      <c r="DJ88" s="2063">
        <f>SUM(DJ89:DJ90)</f>
        <v>0</v>
      </c>
      <c r="DK88" s="2063">
        <f>SUM(DK89:DK90)</f>
        <v>0</v>
      </c>
      <c r="DL88" s="397">
        <f>IF(DJ88=0,0,(DK88-DJ88)/DJ88*100)</f>
        <v>0</v>
      </c>
      <c r="DM88" s="2063">
        <f>SUM(DM89:DM90)</f>
        <v>0</v>
      </c>
      <c r="DN88" s="2063">
        <f>SUM(DN89:DN90)</f>
        <v>0</v>
      </c>
      <c r="DO88" s="397">
        <f>IF(DM88=0,0,(DN88-DM88)/DM88*100)</f>
        <v>0</v>
      </c>
      <c r="DP88" s="2063">
        <f>SUM(DP89:DP90)</f>
        <v>0</v>
      </c>
      <c r="DQ88" s="2063">
        <f>SUM(DQ89:DQ90)</f>
        <v>0</v>
      </c>
      <c r="DR88" s="397">
        <f>IF(DP88=0,0,(DQ88-DP88)/DP88*100)</f>
        <v>0</v>
      </c>
      <c r="DS88" s="2063">
        <f>SUM(DS89:DS90)</f>
        <v>0</v>
      </c>
      <c r="DT88" s="2063">
        <f>SUM(DT89:DT90)</f>
        <v>0</v>
      </c>
      <c r="DU88" s="397">
        <f>IF(DS88=0,0,(DT88-DS88)/DS88*100)</f>
        <v>0</v>
      </c>
      <c r="DV88" s="2063">
        <f>SUM(DV89:DV90)</f>
        <v>0</v>
      </c>
      <c r="DW88" s="2063">
        <f>SUM(DW89:DW90)</f>
        <v>0</v>
      </c>
      <c r="DX88" s="397">
        <f>IF(DV88=0,0,(DW88-DV88)/DV88*100)</f>
        <v>0</v>
      </c>
      <c r="DY88" s="2063">
        <f>SUM(DY89:DY90)</f>
        <v>0</v>
      </c>
      <c r="DZ88" s="2063">
        <f>SUM(DZ89:DZ90)</f>
        <v>0</v>
      </c>
      <c r="EA88" s="397">
        <f>IF(DY88=0,0,(DZ88-DY88)/DY88*100)</f>
        <v>0</v>
      </c>
      <c r="EB88" s="2063">
        <f>SUM(EB89:EB90)</f>
        <v>0</v>
      </c>
      <c r="EC88" s="2063">
        <f>SUM(EC89:EC90)</f>
        <v>0</v>
      </c>
      <c r="ED88" s="397">
        <f>IF(EB88=0,0,(EC88-EB88)/EB88*100)</f>
        <v>0</v>
      </c>
      <c r="EE88" s="2063">
        <f>SUM(EE89:EE90)</f>
        <v>0</v>
      </c>
      <c r="EF88" s="2063">
        <f>SUM(EF89:EF90)</f>
        <v>0</v>
      </c>
      <c r="EG88" s="397">
        <f>IF(EE88=0,0,(EF88-EE88)/EE88*100)</f>
        <v>0</v>
      </c>
      <c r="EH88" s="2063">
        <f>SUM(EH89:EH90)</f>
        <v>0</v>
      </c>
      <c r="EI88" s="2063">
        <f>SUM(EI89:EI90)</f>
        <v>0</v>
      </c>
      <c r="EJ88" s="397">
        <f>IF(EH88=0,0,(EI88-EH88)/EH88*100)</f>
        <v>0</v>
      </c>
      <c r="EK88" s="2063">
        <f>SUM(EK89:EK90)</f>
        <v>0</v>
      </c>
      <c r="EL88" s="2063">
        <f>SUM(EL89:EL90)</f>
        <v>0</v>
      </c>
      <c r="EM88" s="397">
        <f>IF(EK88=0,0,(EL88-EK88)/EK88*100)</f>
        <v>0</v>
      </c>
      <c r="EN88" s="2063">
        <f>SUM(EN89:EN90)</f>
        <v>0</v>
      </c>
      <c r="EO88" s="2063">
        <f>SUM(EO89:EO90)</f>
        <v>0</v>
      </c>
      <c r="EP88" s="397">
        <f>IF(EN88=0,0,(EO88-EN88)/EN88*100)</f>
        <v>0</v>
      </c>
      <c r="EQ88" s="2063">
        <f>SUM(EQ89:EQ90)</f>
        <v>0</v>
      </c>
      <c r="ER88" s="2063">
        <f>SUM(ER89:ER90)</f>
        <v>0</v>
      </c>
      <c r="ES88" s="397">
        <f>IF(EQ88=0,0,(ER88-EQ88)/EQ88*100)</f>
        <v>0</v>
      </c>
      <c r="ET88" s="2063">
        <f>SUM(ET89:ET90)</f>
        <v>0</v>
      </c>
      <c r="EU88" s="2063">
        <f>SUM(EU89:EU90)</f>
        <v>0</v>
      </c>
      <c r="EV88" s="397">
        <f>IF(ET88=0,0,(EU88-ET88)/ET88*100)</f>
        <v>0</v>
      </c>
      <c r="EW88" s="2063">
        <f>SUM(EW89:EW90)</f>
        <v>0</v>
      </c>
      <c r="EX88" s="2063">
        <f>SUM(EX89:EX90)</f>
        <v>0</v>
      </c>
      <c r="EY88" s="397">
        <f>IF(EW88=0,0,(EX88-EW88)/EW88*100)</f>
        <v>0</v>
      </c>
      <c r="EZ88" s="2063">
        <f>SUM(EZ89:EZ90)</f>
        <v>0</v>
      </c>
      <c r="FA88" s="2063">
        <f>SUM(FA89:FA90)</f>
        <v>0</v>
      </c>
      <c r="FB88" s="397">
        <f>IF(EZ88=0,0,(FA88-EZ88)/EZ88*100)</f>
        <v>0</v>
      </c>
      <c r="FC88" s="2063">
        <f>SUM(FC89:FC90)</f>
        <v>0</v>
      </c>
      <c r="FD88" s="2063">
        <f>SUM(FD89:FD90)</f>
        <v>0</v>
      </c>
      <c r="FE88" s="397">
        <f>IF(FC88=0,0,(FD88-FC88)/FC88*100)</f>
        <v>0</v>
      </c>
      <c r="FF88" s="2063">
        <f>SUM(FF89:FF90)</f>
        <v>0</v>
      </c>
      <c r="FG88" s="2063">
        <f>SUM(FG89:FG90)</f>
        <v>0</v>
      </c>
      <c r="FH88" s="397">
        <f>IF(FF88=0,0,(FG88-FF88)/FF88*100)</f>
        <v>0</v>
      </c>
      <c r="FI88" s="2063">
        <f>SUM(FI89:FI90)</f>
        <v>0</v>
      </c>
      <c r="FJ88" s="2063">
        <f>SUM(FJ89:FJ90)</f>
        <v>0</v>
      </c>
      <c r="FK88" s="397">
        <f>IF(FI88=0,0,(FJ88-FI88)/FI88*100)</f>
        <v>0</v>
      </c>
      <c r="FL88" s="2063">
        <f>SUM(FL89:FL90)</f>
        <v>0</v>
      </c>
      <c r="FM88" s="2063">
        <f>SUM(FM89:FM90)</f>
        <v>0</v>
      </c>
      <c r="FN88" s="397">
        <f>IF(FL88=0,0,(FM88-FL88)/FL88*100)</f>
        <v>0</v>
      </c>
      <c r="FO88" s="2063">
        <f>SUM(FO89:FO90)</f>
        <v>0</v>
      </c>
      <c r="FP88" s="2063">
        <f>SUM(FP89:FP90)</f>
        <v>0</v>
      </c>
      <c r="FQ88" s="397">
        <f>IF(FO88=0,0,(FP88-FO88)/FO88*100)</f>
        <v>0</v>
      </c>
      <c r="FR88" s="2063">
        <f>SUM(FR89:FR90)</f>
        <v>0</v>
      </c>
      <c r="FS88" s="2063">
        <f>SUM(FS89:FS90)</f>
        <v>0</v>
      </c>
      <c r="FT88" s="397">
        <f>IF(FR88=0,0,(FS88-FR88)/FR88*100)</f>
        <v>0</v>
      </c>
      <c r="FU88" s="2063">
        <f>SUM(FU89:FU90)</f>
        <v>0</v>
      </c>
      <c r="FV88" s="2063">
        <f>SUM(FV89:FV90)</f>
        <v>0</v>
      </c>
      <c r="FW88" s="397">
        <f>IF(FU88=0,0,(FV88-FU88)/FU88*100)</f>
        <v>0</v>
      </c>
      <c r="FX88" s="497"/>
      <c r="FY88" s="497"/>
      <c r="FZ88" s="1181" t="s">
        <v>2122</v>
      </c>
      <c r="GA88" s="1181"/>
      <c r="GB88" s="1181"/>
      <c r="GC88" s="1181"/>
      <c r="GD88" s="1181"/>
    </row>
    <row s="1619" customFormat="1" customHeight="1" ht="16.5">
      <c r="A89" s="1461"/>
      <c r="B89" s="961" cm="1" t="str">
        <f t="array" ref="B89:B89">B88</f>
        <v>true</v>
      </c>
      <c r="C89" s="1322" t="s">
        <v>1721</v>
      </c>
      <c r="D89" s="1291" t="s">
        <v>1722</v>
      </c>
      <c r="E89" s="794">
        <v>17.1</v>
      </c>
      <c r="F89" s="919" cm="1" t="str">
        <f t="array" ref="F89:F89">OFFSET(G89,-1,-1)</f>
        <v>1</v>
      </c>
      <c r="G89" s="497"/>
      <c r="H89" s="497"/>
      <c r="I89" s="497"/>
      <c r="J89" s="1312" t="s">
        <v>2089</v>
      </c>
      <c r="K89" s="1312" cm="1" t="str">
        <f t="array" ref="K89:K89">OFFSET(J89,-1,1)</f>
        <v>ТЭ.42.26824396.0004</v>
      </c>
      <c r="L89" s="1312" t="s">
        <v>2103</v>
      </c>
      <c r="M89" s="1312" t="s">
        <v>1724</v>
      </c>
      <c r="N89" s="1312" t="s">
        <v>2111</v>
      </c>
      <c r="O89" s="1313" t="s">
        <v>2112</v>
      </c>
      <c r="P89" s="1312"/>
      <c r="Q89" s="1312"/>
      <c r="R89" s="925"/>
      <c r="S89" s="497"/>
      <c r="T89" s="805" cm="1" t="str">
        <f t="array" ref="T89:T89">T88</f>
        <v>true</v>
      </c>
      <c r="U89" s="1461"/>
      <c r="V89" s="1461"/>
      <c r="W89" s="1461"/>
      <c r="X89" s="1461"/>
      <c r="Y89" s="1461"/>
      <c r="Z89" s="1461"/>
      <c r="AA89" s="497"/>
      <c r="AB89" s="273" t="s">
        <v>2123</v>
      </c>
      <c r="AC89" s="675" t="s">
        <v>591</v>
      </c>
      <c r="AD89" s="1876"/>
      <c r="AE89" s="1876"/>
      <c r="AF89" s="690">
        <f>IF(AD89=0,0,(AE89-AD89)/AD89*100)</f>
        <v>0</v>
      </c>
      <c r="AG89" s="378"/>
      <c r="AH89" s="378"/>
      <c r="AI89" s="690">
        <f>IF(AG89=0,0,(AH89-AG89)/AG89*100)</f>
        <v>0</v>
      </c>
      <c r="AJ89" s="378"/>
      <c r="AK89" s="378"/>
      <c r="AL89" s="690">
        <f>IF(AJ89=0,0,(AK89-AJ89)/AJ89*100)</f>
        <v>0</v>
      </c>
      <c r="AM89" s="378"/>
      <c r="AN89" s="378"/>
      <c r="AO89" s="690">
        <f>IF(AM89=0,0,(AN89-AM89)/AM89*100)</f>
        <v>0</v>
      </c>
      <c r="AP89" s="378"/>
      <c r="AQ89" s="378"/>
      <c r="AR89" s="690">
        <f>IF(AP89=0,0,(AQ89-AP89)/AP89*100)</f>
        <v>0</v>
      </c>
      <c r="AS89" s="1876"/>
      <c r="AT89" s="1876"/>
      <c r="AU89" s="690">
        <f>IF(AS89=0,0,(AT89-AS89)/AS89*100)</f>
        <v>0</v>
      </c>
      <c r="AV89" s="1876"/>
      <c r="AW89" s="1876"/>
      <c r="AX89" s="690">
        <f>IF(AV89=0,0,(AW89-AV89)/AV89*100)</f>
        <v>0</v>
      </c>
      <c r="AY89" s="1876"/>
      <c r="AZ89" s="1876"/>
      <c r="BA89" s="690">
        <f>IF(AY89=0,0,(AZ89-AY89)/AY89*100)</f>
        <v>0</v>
      </c>
      <c r="BB89" s="1876"/>
      <c r="BC89" s="1876"/>
      <c r="BD89" s="690">
        <f>IF(BB89=0,0,(BC89-BB89)/BB89*100)</f>
        <v>0</v>
      </c>
      <c r="BE89" s="1876"/>
      <c r="BF89" s="1876"/>
      <c r="BG89" s="690">
        <f>IF(BE89=0,0,(BF89-BE89)/BE89*100)</f>
        <v>0</v>
      </c>
      <c r="BH89" s="1876"/>
      <c r="BI89" s="1876"/>
      <c r="BJ89" s="690">
        <f>IF(BH89=0,0,(BI89-BH89)/BH89*100)</f>
        <v>0</v>
      </c>
      <c r="BK89" s="1876"/>
      <c r="BL89" s="1876"/>
      <c r="BM89" s="690">
        <f>IF(BK89=0,0,(BL89-BK89)/BK89*100)</f>
        <v>0</v>
      </c>
      <c r="BN89" s="1876"/>
      <c r="BO89" s="1876"/>
      <c r="BP89" s="690">
        <f>IF(BN89=0,0,(BO89-BN89)/BN89*100)</f>
        <v>0</v>
      </c>
      <c r="BQ89" s="1876"/>
      <c r="BR89" s="1876"/>
      <c r="BS89" s="690">
        <f>IF(BQ89=0,0,(BR89-BQ89)/BQ89*100)</f>
        <v>0</v>
      </c>
      <c r="BT89" s="1876"/>
      <c r="BU89" s="1876"/>
      <c r="BV89" s="690">
        <f>IF(BT89=0,0,(BU89-BT89)/BT89*100)</f>
        <v>0</v>
      </c>
      <c r="BW89" s="1876"/>
      <c r="BX89" s="1876"/>
      <c r="BY89" s="690">
        <f>IF(BW89=0,0,(BX89-BW89)/BW89*100)</f>
        <v>0</v>
      </c>
      <c r="BZ89" s="1876"/>
      <c r="CA89" s="1876"/>
      <c r="CB89" s="690">
        <f>IF(BZ89=0,0,(CA89-BZ89)/BZ89*100)</f>
        <v>0</v>
      </c>
      <c r="CC89" s="1876"/>
      <c r="CD89" s="1876"/>
      <c r="CE89" s="690">
        <f>IF(CC89=0,0,(CD89-CC89)/CC89*100)</f>
        <v>0</v>
      </c>
      <c r="CF89" s="1876"/>
      <c r="CG89" s="1876"/>
      <c r="CH89" s="690">
        <f>IF(CF89=0,0,(CG89-CF89)/CF89*100)</f>
        <v>0</v>
      </c>
      <c r="CI89" s="1876"/>
      <c r="CJ89" s="1876"/>
      <c r="CK89" s="690">
        <f>IF(CI89=0,0,(CJ89-CI89)/CI89*100)</f>
        <v>0</v>
      </c>
      <c r="CL89" s="1876"/>
      <c r="CM89" s="1876"/>
      <c r="CN89" s="690">
        <f>IF(CL89=0,0,(CM89-CL89)/CL89*100)</f>
        <v>0</v>
      </c>
      <c r="CO89" s="1876"/>
      <c r="CP89" s="1876"/>
      <c r="CQ89" s="690">
        <f>IF(CO89=0,0,(CP89-CO89)/CO89*100)</f>
        <v>0</v>
      </c>
      <c r="CR89" s="1876"/>
      <c r="CS89" s="1876"/>
      <c r="CT89" s="690">
        <f>IF(CR89=0,0,(CS89-CR89)/CR89*100)</f>
        <v>0</v>
      </c>
      <c r="CU89" s="1876"/>
      <c r="CV89" s="1876"/>
      <c r="CW89" s="690">
        <f>IF(CU89=0,0,(CV89-CU89)/CU89*100)</f>
        <v>0</v>
      </c>
      <c r="CX89" s="1876"/>
      <c r="CY89" s="1876"/>
      <c r="CZ89" s="690">
        <f>IF(CX89=0,0,(CY89-CX89)/CX89*100)</f>
        <v>0</v>
      </c>
      <c r="DA89" s="1876"/>
      <c r="DB89" s="1876"/>
      <c r="DC89" s="690">
        <f>IF(DA89=0,0,(DB89-DA89)/DA89*100)</f>
        <v>0</v>
      </c>
      <c r="DD89" s="1876"/>
      <c r="DE89" s="1876"/>
      <c r="DF89" s="690">
        <f>IF(DD89=0,0,(DE89-DD89)/DD89*100)</f>
        <v>0</v>
      </c>
      <c r="DG89" s="1876"/>
      <c r="DH89" s="1876"/>
      <c r="DI89" s="690">
        <f>IF(DG89=0,0,(DH89-DG89)/DG89*100)</f>
        <v>0</v>
      </c>
      <c r="DJ89" s="1876"/>
      <c r="DK89" s="1876"/>
      <c r="DL89" s="690">
        <f>IF(DJ89=0,0,(DK89-DJ89)/DJ89*100)</f>
        <v>0</v>
      </c>
      <c r="DM89" s="1876"/>
      <c r="DN89" s="1876"/>
      <c r="DO89" s="690">
        <f>IF(DM89=0,0,(DN89-DM89)/DM89*100)</f>
        <v>0</v>
      </c>
      <c r="DP89" s="1876"/>
      <c r="DQ89" s="1876"/>
      <c r="DR89" s="690">
        <f>IF(DP89=0,0,(DQ89-DP89)/DP89*100)</f>
        <v>0</v>
      </c>
      <c r="DS89" s="1876"/>
      <c r="DT89" s="1876"/>
      <c r="DU89" s="690">
        <f>IF(DS89=0,0,(DT89-DS89)/DS89*100)</f>
        <v>0</v>
      </c>
      <c r="DV89" s="1876"/>
      <c r="DW89" s="1876"/>
      <c r="DX89" s="690">
        <f>IF(DV89=0,0,(DW89-DV89)/DV89*100)</f>
        <v>0</v>
      </c>
      <c r="DY89" s="1876"/>
      <c r="DZ89" s="1876"/>
      <c r="EA89" s="690">
        <f>IF(DY89=0,0,(DZ89-DY89)/DY89*100)</f>
        <v>0</v>
      </c>
      <c r="EB89" s="1876"/>
      <c r="EC89" s="1876"/>
      <c r="ED89" s="690">
        <f>IF(EB89=0,0,(EC89-EB89)/EB89*100)</f>
        <v>0</v>
      </c>
      <c r="EE89" s="1876"/>
      <c r="EF89" s="1876"/>
      <c r="EG89" s="690">
        <f>IF(EE89=0,0,(EF89-EE89)/EE89*100)</f>
        <v>0</v>
      </c>
      <c r="EH89" s="1876"/>
      <c r="EI89" s="1876"/>
      <c r="EJ89" s="690">
        <f>IF(EH89=0,0,(EI89-EH89)/EH89*100)</f>
        <v>0</v>
      </c>
      <c r="EK89" s="1876"/>
      <c r="EL89" s="1876"/>
      <c r="EM89" s="690">
        <f>IF(EK89=0,0,(EL89-EK89)/EK89*100)</f>
        <v>0</v>
      </c>
      <c r="EN89" s="1876"/>
      <c r="EO89" s="1876"/>
      <c r="EP89" s="690">
        <f>IF(EN89=0,0,(EO89-EN89)/EN89*100)</f>
        <v>0</v>
      </c>
      <c r="EQ89" s="1876"/>
      <c r="ER89" s="1876"/>
      <c r="ES89" s="690">
        <f>IF(EQ89=0,0,(ER89-EQ89)/EQ89*100)</f>
        <v>0</v>
      </c>
      <c r="ET89" s="1876"/>
      <c r="EU89" s="1876"/>
      <c r="EV89" s="690">
        <f>IF(ET89=0,0,(EU89-ET89)/ET89*100)</f>
        <v>0</v>
      </c>
      <c r="EW89" s="1876"/>
      <c r="EX89" s="1876"/>
      <c r="EY89" s="690">
        <f>IF(EW89=0,0,(EX89-EW89)/EW89*100)</f>
        <v>0</v>
      </c>
      <c r="EZ89" s="1876"/>
      <c r="FA89" s="1876"/>
      <c r="FB89" s="690">
        <f>IF(EZ89=0,0,(FA89-EZ89)/EZ89*100)</f>
        <v>0</v>
      </c>
      <c r="FC89" s="1876"/>
      <c r="FD89" s="1876"/>
      <c r="FE89" s="690">
        <f>IF(FC89=0,0,(FD89-FC89)/FC89*100)</f>
        <v>0</v>
      </c>
      <c r="FF89" s="1876"/>
      <c r="FG89" s="1876"/>
      <c r="FH89" s="690">
        <f>IF(FF89=0,0,(FG89-FF89)/FF89*100)</f>
        <v>0</v>
      </c>
      <c r="FI89" s="1876"/>
      <c r="FJ89" s="1876"/>
      <c r="FK89" s="690">
        <f>IF(FI89=0,0,(FJ89-FI89)/FI89*100)</f>
        <v>0</v>
      </c>
      <c r="FL89" s="1876"/>
      <c r="FM89" s="1876"/>
      <c r="FN89" s="690">
        <f>IF(FL89=0,0,(FM89-FL89)/FL89*100)</f>
        <v>0</v>
      </c>
      <c r="FO89" s="1876"/>
      <c r="FP89" s="1876"/>
      <c r="FQ89" s="690">
        <f>IF(FO89=0,0,(FP89-FO89)/FO89*100)</f>
        <v>0</v>
      </c>
      <c r="FR89" s="1876"/>
      <c r="FS89" s="1876"/>
      <c r="FT89" s="690">
        <f>IF(FR89=0,0,(FS89-FR89)/FR89*100)</f>
        <v>0</v>
      </c>
      <c r="FU89" s="1876"/>
      <c r="FV89" s="1876"/>
      <c r="FW89" s="690">
        <f>IF(FU89=0,0,(FV89-FU89)/FU89*100)</f>
        <v>0</v>
      </c>
      <c r="FX89" s="497"/>
      <c r="FY89" s="497"/>
      <c r="FZ89" s="1181" t="s">
        <v>2124</v>
      </c>
      <c r="GA89" s="1181"/>
      <c r="GB89" s="1181"/>
      <c r="GC89" s="1181"/>
      <c r="GD89" s="1181"/>
    </row>
    <row s="1619" customFormat="1" customHeight="1" ht="16.5">
      <c r="A90" s="1461"/>
      <c r="B90" s="961" cm="1" t="str">
        <f t="array" ref="B90:B90">B89</f>
        <v>true</v>
      </c>
      <c r="C90" s="1322" t="s">
        <v>1721</v>
      </c>
      <c r="D90" s="1291" t="s">
        <v>1722</v>
      </c>
      <c r="E90" s="794">
        <v>17.1</v>
      </c>
      <c r="F90" s="919" cm="1" t="str">
        <f t="array" ref="F90:F90">OFFSET(G90,-1,-1)</f>
        <v>1</v>
      </c>
      <c r="G90" s="497"/>
      <c r="H90" s="497"/>
      <c r="I90" s="497"/>
      <c r="J90" s="1312" t="s">
        <v>2089</v>
      </c>
      <c r="K90" s="1312" cm="1" t="str">
        <f t="array" ref="K90:K90">OFFSET(J90,-1,1)</f>
        <v>ТЭ.42.26824396.0004</v>
      </c>
      <c r="L90" s="1312" t="s">
        <v>2103</v>
      </c>
      <c r="M90" s="1312" t="s">
        <v>1733</v>
      </c>
      <c r="N90" s="1312" t="s">
        <v>2111</v>
      </c>
      <c r="O90" s="1313" t="s">
        <v>2112</v>
      </c>
      <c r="P90" s="1312"/>
      <c r="Q90" s="1312"/>
      <c r="R90" s="925"/>
      <c r="S90" s="497"/>
      <c r="T90" s="805" cm="1" t="str">
        <f t="array" ref="T90:T90">T89</f>
        <v>true</v>
      </c>
      <c r="U90" s="1461"/>
      <c r="V90" s="1461"/>
      <c r="W90" s="1461"/>
      <c r="X90" s="1461"/>
      <c r="Y90" s="1461"/>
      <c r="Z90" s="1461"/>
      <c r="AA90" s="497"/>
      <c r="AB90" s="273" t="s">
        <v>2125</v>
      </c>
      <c r="AC90" s="675" t="s">
        <v>591</v>
      </c>
      <c r="AD90" s="1876"/>
      <c r="AE90" s="1876"/>
      <c r="AF90" s="690">
        <f>IF(AD90=0,0,(AE90-AD90)/AD90*100)</f>
        <v>0</v>
      </c>
      <c r="AG90" s="378"/>
      <c r="AH90" s="378"/>
      <c r="AI90" s="690">
        <f>IF(AG90=0,0,(AH90-AG90)/AG90*100)</f>
        <v>0</v>
      </c>
      <c r="AJ90" s="378"/>
      <c r="AK90" s="378"/>
      <c r="AL90" s="690">
        <f>IF(AJ90=0,0,(AK90-AJ90)/AJ90*100)</f>
        <v>0</v>
      </c>
      <c r="AM90" s="378"/>
      <c r="AN90" s="378"/>
      <c r="AO90" s="690">
        <f>IF(AM90=0,0,(AN90-AM90)/AM90*100)</f>
        <v>0</v>
      </c>
      <c r="AP90" s="378"/>
      <c r="AQ90" s="378"/>
      <c r="AR90" s="690">
        <f>IF(AP90=0,0,(AQ90-AP90)/AP90*100)</f>
        <v>0</v>
      </c>
      <c r="AS90" s="1876"/>
      <c r="AT90" s="1876"/>
      <c r="AU90" s="690">
        <f>IF(AS90=0,0,(AT90-AS90)/AS90*100)</f>
        <v>0</v>
      </c>
      <c r="AV90" s="1876"/>
      <c r="AW90" s="1876"/>
      <c r="AX90" s="690">
        <f>IF(AV90=0,0,(AW90-AV90)/AV90*100)</f>
        <v>0</v>
      </c>
      <c r="AY90" s="1876"/>
      <c r="AZ90" s="1876"/>
      <c r="BA90" s="690">
        <f>IF(AY90=0,0,(AZ90-AY90)/AY90*100)</f>
        <v>0</v>
      </c>
      <c r="BB90" s="1876"/>
      <c r="BC90" s="1876"/>
      <c r="BD90" s="690">
        <f>IF(BB90=0,0,(BC90-BB90)/BB90*100)</f>
        <v>0</v>
      </c>
      <c r="BE90" s="1876"/>
      <c r="BF90" s="1876"/>
      <c r="BG90" s="690">
        <f>IF(BE90=0,0,(BF90-BE90)/BE90*100)</f>
        <v>0</v>
      </c>
      <c r="BH90" s="1876"/>
      <c r="BI90" s="1876"/>
      <c r="BJ90" s="690">
        <f>IF(BH90=0,0,(BI90-BH90)/BH90*100)</f>
        <v>0</v>
      </c>
      <c r="BK90" s="1876"/>
      <c r="BL90" s="1876"/>
      <c r="BM90" s="690">
        <f>IF(BK90=0,0,(BL90-BK90)/BK90*100)</f>
        <v>0</v>
      </c>
      <c r="BN90" s="1876"/>
      <c r="BO90" s="1876"/>
      <c r="BP90" s="690">
        <f>IF(BN90=0,0,(BO90-BN90)/BN90*100)</f>
        <v>0</v>
      </c>
      <c r="BQ90" s="1876"/>
      <c r="BR90" s="1876"/>
      <c r="BS90" s="690">
        <f>IF(BQ90=0,0,(BR90-BQ90)/BQ90*100)</f>
        <v>0</v>
      </c>
      <c r="BT90" s="1876"/>
      <c r="BU90" s="1876"/>
      <c r="BV90" s="690">
        <f>IF(BT90=0,0,(BU90-BT90)/BT90*100)</f>
        <v>0</v>
      </c>
      <c r="BW90" s="1876"/>
      <c r="BX90" s="1876"/>
      <c r="BY90" s="690">
        <f>IF(BW90=0,0,(BX90-BW90)/BW90*100)</f>
        <v>0</v>
      </c>
      <c r="BZ90" s="1876"/>
      <c r="CA90" s="1876"/>
      <c r="CB90" s="690">
        <f>IF(BZ90=0,0,(CA90-BZ90)/BZ90*100)</f>
        <v>0</v>
      </c>
      <c r="CC90" s="1876"/>
      <c r="CD90" s="1876"/>
      <c r="CE90" s="690">
        <f>IF(CC90=0,0,(CD90-CC90)/CC90*100)</f>
        <v>0</v>
      </c>
      <c r="CF90" s="1876"/>
      <c r="CG90" s="1876"/>
      <c r="CH90" s="690">
        <f>IF(CF90=0,0,(CG90-CF90)/CF90*100)</f>
        <v>0</v>
      </c>
      <c r="CI90" s="1876"/>
      <c r="CJ90" s="1876"/>
      <c r="CK90" s="690">
        <f>IF(CI90=0,0,(CJ90-CI90)/CI90*100)</f>
        <v>0</v>
      </c>
      <c r="CL90" s="1876"/>
      <c r="CM90" s="1876"/>
      <c r="CN90" s="690">
        <f>IF(CL90=0,0,(CM90-CL90)/CL90*100)</f>
        <v>0</v>
      </c>
      <c r="CO90" s="1876"/>
      <c r="CP90" s="1876"/>
      <c r="CQ90" s="690">
        <f>IF(CO90=0,0,(CP90-CO90)/CO90*100)</f>
        <v>0</v>
      </c>
      <c r="CR90" s="1876"/>
      <c r="CS90" s="1876"/>
      <c r="CT90" s="690">
        <f>IF(CR90=0,0,(CS90-CR90)/CR90*100)</f>
        <v>0</v>
      </c>
      <c r="CU90" s="1876"/>
      <c r="CV90" s="1876"/>
      <c r="CW90" s="690">
        <f>IF(CU90=0,0,(CV90-CU90)/CU90*100)</f>
        <v>0</v>
      </c>
      <c r="CX90" s="1876"/>
      <c r="CY90" s="1876"/>
      <c r="CZ90" s="690">
        <f>IF(CX90=0,0,(CY90-CX90)/CX90*100)</f>
        <v>0</v>
      </c>
      <c r="DA90" s="1876"/>
      <c r="DB90" s="1876"/>
      <c r="DC90" s="690">
        <f>IF(DA90=0,0,(DB90-DA90)/DA90*100)</f>
        <v>0</v>
      </c>
      <c r="DD90" s="1876"/>
      <c r="DE90" s="1876"/>
      <c r="DF90" s="690">
        <f>IF(DD90=0,0,(DE90-DD90)/DD90*100)</f>
        <v>0</v>
      </c>
      <c r="DG90" s="1876"/>
      <c r="DH90" s="1876"/>
      <c r="DI90" s="690">
        <f>IF(DG90=0,0,(DH90-DG90)/DG90*100)</f>
        <v>0</v>
      </c>
      <c r="DJ90" s="1876"/>
      <c r="DK90" s="1876"/>
      <c r="DL90" s="690">
        <f>IF(DJ90=0,0,(DK90-DJ90)/DJ90*100)</f>
        <v>0</v>
      </c>
      <c r="DM90" s="1876"/>
      <c r="DN90" s="1876"/>
      <c r="DO90" s="690">
        <f>IF(DM90=0,0,(DN90-DM90)/DM90*100)</f>
        <v>0</v>
      </c>
      <c r="DP90" s="1876"/>
      <c r="DQ90" s="1876"/>
      <c r="DR90" s="690">
        <f>IF(DP90=0,0,(DQ90-DP90)/DP90*100)</f>
        <v>0</v>
      </c>
      <c r="DS90" s="1876"/>
      <c r="DT90" s="1876"/>
      <c r="DU90" s="690">
        <f>IF(DS90=0,0,(DT90-DS90)/DS90*100)</f>
        <v>0</v>
      </c>
      <c r="DV90" s="1876"/>
      <c r="DW90" s="1876"/>
      <c r="DX90" s="690">
        <f>IF(DV90=0,0,(DW90-DV90)/DV90*100)</f>
        <v>0</v>
      </c>
      <c r="DY90" s="1876"/>
      <c r="DZ90" s="1876"/>
      <c r="EA90" s="690">
        <f>IF(DY90=0,0,(DZ90-DY90)/DY90*100)</f>
        <v>0</v>
      </c>
      <c r="EB90" s="1876"/>
      <c r="EC90" s="1876"/>
      <c r="ED90" s="690">
        <f>IF(EB90=0,0,(EC90-EB90)/EB90*100)</f>
        <v>0</v>
      </c>
      <c r="EE90" s="1876"/>
      <c r="EF90" s="1876"/>
      <c r="EG90" s="690">
        <f>IF(EE90=0,0,(EF90-EE90)/EE90*100)</f>
        <v>0</v>
      </c>
      <c r="EH90" s="1876"/>
      <c r="EI90" s="1876"/>
      <c r="EJ90" s="690">
        <f>IF(EH90=0,0,(EI90-EH90)/EH90*100)</f>
        <v>0</v>
      </c>
      <c r="EK90" s="1876"/>
      <c r="EL90" s="1876"/>
      <c r="EM90" s="690">
        <f>IF(EK90=0,0,(EL90-EK90)/EK90*100)</f>
        <v>0</v>
      </c>
      <c r="EN90" s="1876"/>
      <c r="EO90" s="1876"/>
      <c r="EP90" s="690">
        <f>IF(EN90=0,0,(EO90-EN90)/EN90*100)</f>
        <v>0</v>
      </c>
      <c r="EQ90" s="1876"/>
      <c r="ER90" s="1876"/>
      <c r="ES90" s="690">
        <f>IF(EQ90=0,0,(ER90-EQ90)/EQ90*100)</f>
        <v>0</v>
      </c>
      <c r="ET90" s="1876"/>
      <c r="EU90" s="1876"/>
      <c r="EV90" s="690">
        <f>IF(ET90=0,0,(EU90-ET90)/ET90*100)</f>
        <v>0</v>
      </c>
      <c r="EW90" s="1876"/>
      <c r="EX90" s="1876"/>
      <c r="EY90" s="690">
        <f>IF(EW90=0,0,(EX90-EW90)/EW90*100)</f>
        <v>0</v>
      </c>
      <c r="EZ90" s="1876"/>
      <c r="FA90" s="1876"/>
      <c r="FB90" s="690">
        <f>IF(EZ90=0,0,(FA90-EZ90)/EZ90*100)</f>
        <v>0</v>
      </c>
      <c r="FC90" s="1876"/>
      <c r="FD90" s="1876"/>
      <c r="FE90" s="690">
        <f>IF(FC90=0,0,(FD90-FC90)/FC90*100)</f>
        <v>0</v>
      </c>
      <c r="FF90" s="1876"/>
      <c r="FG90" s="1876"/>
      <c r="FH90" s="690">
        <f>IF(FF90=0,0,(FG90-FF90)/FF90*100)</f>
        <v>0</v>
      </c>
      <c r="FI90" s="1876"/>
      <c r="FJ90" s="1876"/>
      <c r="FK90" s="690">
        <f>IF(FI90=0,0,(FJ90-FI90)/FI90*100)</f>
        <v>0</v>
      </c>
      <c r="FL90" s="1876"/>
      <c r="FM90" s="1876"/>
      <c r="FN90" s="690">
        <f>IF(FL90=0,0,(FM90-FL90)/FL90*100)</f>
        <v>0</v>
      </c>
      <c r="FO90" s="1876"/>
      <c r="FP90" s="1876"/>
      <c r="FQ90" s="690">
        <f>IF(FO90=0,0,(FP90-FO90)/FO90*100)</f>
        <v>0</v>
      </c>
      <c r="FR90" s="1876"/>
      <c r="FS90" s="1876"/>
      <c r="FT90" s="690">
        <f>IF(FR90=0,0,(FS90-FR90)/FR90*100)</f>
        <v>0</v>
      </c>
      <c r="FU90" s="1876"/>
      <c r="FV90" s="1876"/>
      <c r="FW90" s="690">
        <f>IF(FU90=0,0,(FV90-FU90)/FU90*100)</f>
        <v>0</v>
      </c>
      <c r="FX90" s="497"/>
      <c r="FY90" s="497"/>
      <c r="FZ90" s="1181" t="s">
        <v>2126</v>
      </c>
      <c r="GA90" s="1181"/>
      <c r="GB90" s="1181"/>
      <c r="GC90" s="1181"/>
      <c r="GD90" s="1181"/>
    </row>
    <row s="1387" customFormat="1" customHeight="1" ht="16.5" hidden="1">
      <c r="A91" s="1387"/>
      <c r="B91" s="961" cm="1" t="str">
        <f t="array" ref="B91:B91">OFFSET(A91,-1,1)</f>
        <v>true</v>
      </c>
      <c r="C91" s="1322" t="s">
        <v>2108</v>
      </c>
      <c r="D91" s="1291" t="s">
        <v>2109</v>
      </c>
      <c r="E91" s="794">
        <v>17.1</v>
      </c>
      <c r="F91" s="919" cm="1" t="str">
        <f t="array" ref="F91:F91">OFFSET(G91,-1,-1)</f>
        <v>1</v>
      </c>
      <c r="G91" s="1387"/>
      <c r="H91" s="1387"/>
      <c r="I91" s="1387"/>
      <c r="J91" s="1312" t="s">
        <v>2089</v>
      </c>
      <c r="K91" s="1312" cm="1" t="str">
        <f t="array" ref="K91:K91">OFFSET(J91,-1,1)</f>
        <v>ТЭ.42.26824396.0004</v>
      </c>
      <c r="L91" s="1312"/>
      <c r="M91" s="1312"/>
      <c r="N91" s="1312" t="s">
        <v>2111</v>
      </c>
      <c r="O91" s="1313" t="s">
        <v>2112</v>
      </c>
      <c r="P91" s="1312"/>
      <c r="Q91" s="1312" cm="1" t="str">
        <f t="array" ref="Q91:Q91">AB91</f>
        <v>0</v>
      </c>
      <c r="R91" s="1387"/>
      <c r="S91" s="1387"/>
      <c r="T91" s="805">
        <f>AND(OFFSET(S91,1,1),Y91&gt;0)</f>
        <v>0</v>
      </c>
      <c r="U91" s="1387"/>
      <c r="V91" s="1387"/>
      <c r="W91" s="172" t="s">
        <v>233</v>
      </c>
      <c r="X91" s="1387"/>
      <c r="Y91" s="172">
        <v>0</v>
      </c>
      <c r="Z91" s="1387"/>
      <c r="AA91" s="1412" t="s">
        <v>217</v>
      </c>
      <c r="AB91" s="146"/>
      <c r="AC91" s="675" t="s">
        <v>895</v>
      </c>
      <c r="AD91" s="113"/>
      <c r="AE91" s="113"/>
      <c r="AF91" s="690">
        <f>IF(AD91=0,0,(AE91-AD91)/AD91*100)</f>
        <v>0</v>
      </c>
      <c r="AG91" s="378"/>
      <c r="AH91" s="378"/>
      <c r="AI91" s="690">
        <f>IF(AG91=0,0,(AH91-AG91)/AG91*100)</f>
        <v>0</v>
      </c>
      <c r="AJ91" s="378"/>
      <c r="AK91" s="378"/>
      <c r="AL91" s="690">
        <f>IF(AJ91=0,0,(AK91-AJ91)/AJ91*100)</f>
        <v>0</v>
      </c>
      <c r="AM91" s="378"/>
      <c r="AN91" s="378"/>
      <c r="AO91" s="690">
        <f>IF(AM91=0,0,(AN91-AM91)/AM91*100)</f>
        <v>0</v>
      </c>
      <c r="AP91" s="378"/>
      <c r="AQ91" s="378"/>
      <c r="AR91" s="690">
        <f>IF(AP91=0,0,(AQ91-AP91)/AP91*100)</f>
        <v>0</v>
      </c>
      <c r="AS91" s="113"/>
      <c r="AT91" s="113"/>
      <c r="AU91" s="690">
        <f>IF(AS91=0,0,(AT91-AS91)/AS91*100)</f>
        <v>0</v>
      </c>
      <c r="AV91" s="113"/>
      <c r="AW91" s="113"/>
      <c r="AX91" s="690">
        <f>IF(AV91=0,0,(AW91-AV91)/AV91*100)</f>
        <v>0</v>
      </c>
      <c r="AY91" s="113"/>
      <c r="AZ91" s="113"/>
      <c r="BA91" s="690">
        <f>IF(AY91=0,0,(AZ91-AY91)/AY91*100)</f>
        <v>0</v>
      </c>
      <c r="BB91" s="113"/>
      <c r="BC91" s="113"/>
      <c r="BD91" s="690">
        <f>IF(BB91=0,0,(BC91-BB91)/BB91*100)</f>
        <v>0</v>
      </c>
      <c r="BE91" s="113"/>
      <c r="BF91" s="113"/>
      <c r="BG91" s="690">
        <f>IF(BE91=0,0,(BF91-BE91)/BE91*100)</f>
        <v>0</v>
      </c>
      <c r="BH91" s="113"/>
      <c r="BI91" s="113"/>
      <c r="BJ91" s="690">
        <f>IF(BH91=0,0,(BI91-BH91)/BH91*100)</f>
        <v>0</v>
      </c>
      <c r="BK91" s="113"/>
      <c r="BL91" s="113"/>
      <c r="BM91" s="690">
        <f>IF(BK91=0,0,(BL91-BK91)/BK91*100)</f>
        <v>0</v>
      </c>
      <c r="BN91" s="113"/>
      <c r="BO91" s="113"/>
      <c r="BP91" s="690">
        <f>IF(BN91=0,0,(BO91-BN91)/BN91*100)</f>
        <v>0</v>
      </c>
      <c r="BQ91" s="113"/>
      <c r="BR91" s="113"/>
      <c r="BS91" s="690">
        <f>IF(BQ91=0,0,(BR91-BQ91)/BQ91*100)</f>
        <v>0</v>
      </c>
      <c r="BT91" s="113"/>
      <c r="BU91" s="113"/>
      <c r="BV91" s="690">
        <f>IF(BT91=0,0,(BU91-BT91)/BT91*100)</f>
        <v>0</v>
      </c>
      <c r="BW91" s="113"/>
      <c r="BX91" s="113"/>
      <c r="BY91" s="690">
        <f>IF(BW91=0,0,(BX91-BW91)/BW91*100)</f>
        <v>0</v>
      </c>
      <c r="BZ91" s="113"/>
      <c r="CA91" s="113"/>
      <c r="CB91" s="690">
        <f>IF(BZ91=0,0,(CA91-BZ91)/BZ91*100)</f>
        <v>0</v>
      </c>
      <c r="CC91" s="113"/>
      <c r="CD91" s="113"/>
      <c r="CE91" s="690">
        <f>IF(CC91=0,0,(CD91-CC91)/CC91*100)</f>
        <v>0</v>
      </c>
      <c r="CF91" s="113"/>
      <c r="CG91" s="113"/>
      <c r="CH91" s="690">
        <f>IF(CF91=0,0,(CG91-CF91)/CF91*100)</f>
        <v>0</v>
      </c>
      <c r="CI91" s="113"/>
      <c r="CJ91" s="113"/>
      <c r="CK91" s="690">
        <f>IF(CI91=0,0,(CJ91-CI91)/CI91*100)</f>
        <v>0</v>
      </c>
      <c r="CL91" s="113"/>
      <c r="CM91" s="113"/>
      <c r="CN91" s="690">
        <f>IF(CL91=0,0,(CM91-CL91)/CL91*100)</f>
        <v>0</v>
      </c>
      <c r="CO91" s="113"/>
      <c r="CP91" s="113"/>
      <c r="CQ91" s="690">
        <f>IF(CO91=0,0,(CP91-CO91)/CO91*100)</f>
        <v>0</v>
      </c>
      <c r="CR91" s="113"/>
      <c r="CS91" s="113"/>
      <c r="CT91" s="690">
        <f>IF(CR91=0,0,(CS91-CR91)/CR91*100)</f>
        <v>0</v>
      </c>
      <c r="CU91" s="113"/>
      <c r="CV91" s="113"/>
      <c r="CW91" s="690">
        <f>IF(CU91=0,0,(CV91-CU91)/CU91*100)</f>
        <v>0</v>
      </c>
      <c r="CX91" s="113"/>
      <c r="CY91" s="113"/>
      <c r="CZ91" s="690">
        <f>IF(CX91=0,0,(CY91-CX91)/CX91*100)</f>
        <v>0</v>
      </c>
      <c r="DA91" s="113"/>
      <c r="DB91" s="113"/>
      <c r="DC91" s="690">
        <f>IF(DA91=0,0,(DB91-DA91)/DA91*100)</f>
        <v>0</v>
      </c>
      <c r="DD91" s="113"/>
      <c r="DE91" s="113"/>
      <c r="DF91" s="690">
        <f>IF(DD91=0,0,(DE91-DD91)/DD91*100)</f>
        <v>0</v>
      </c>
      <c r="DG91" s="113"/>
      <c r="DH91" s="113"/>
      <c r="DI91" s="690">
        <f>IF(DG91=0,0,(DH91-DG91)/DG91*100)</f>
        <v>0</v>
      </c>
      <c r="DJ91" s="113"/>
      <c r="DK91" s="113"/>
      <c r="DL91" s="690">
        <f>IF(DJ91=0,0,(DK91-DJ91)/DJ91*100)</f>
        <v>0</v>
      </c>
      <c r="DM91" s="113"/>
      <c r="DN91" s="113"/>
      <c r="DO91" s="690">
        <f>IF(DM91=0,0,(DN91-DM91)/DM91*100)</f>
        <v>0</v>
      </c>
      <c r="DP91" s="113"/>
      <c r="DQ91" s="113"/>
      <c r="DR91" s="690">
        <f>IF(DP91=0,0,(DQ91-DP91)/DP91*100)</f>
        <v>0</v>
      </c>
      <c r="DS91" s="113"/>
      <c r="DT91" s="113"/>
      <c r="DU91" s="690">
        <f>IF(DS91=0,0,(DT91-DS91)/DS91*100)</f>
        <v>0</v>
      </c>
      <c r="DV91" s="113"/>
      <c r="DW91" s="113"/>
      <c r="DX91" s="690">
        <f>IF(DV91=0,0,(DW91-DV91)/DV91*100)</f>
        <v>0</v>
      </c>
      <c r="DY91" s="113"/>
      <c r="DZ91" s="113"/>
      <c r="EA91" s="690">
        <f>IF(DY91=0,0,(DZ91-DY91)/DY91*100)</f>
        <v>0</v>
      </c>
      <c r="EB91" s="113"/>
      <c r="EC91" s="113"/>
      <c r="ED91" s="690">
        <f>IF(EB91=0,0,(EC91-EB91)/EB91*100)</f>
        <v>0</v>
      </c>
      <c r="EE91" s="113"/>
      <c r="EF91" s="113"/>
      <c r="EG91" s="690">
        <f>IF(EE91=0,0,(EF91-EE91)/EE91*100)</f>
        <v>0</v>
      </c>
      <c r="EH91" s="113"/>
      <c r="EI91" s="113"/>
      <c r="EJ91" s="690">
        <f>IF(EH91=0,0,(EI91-EH91)/EH91*100)</f>
        <v>0</v>
      </c>
      <c r="EK91" s="113"/>
      <c r="EL91" s="113"/>
      <c r="EM91" s="690">
        <f>IF(EK91=0,0,(EL91-EK91)/EK91*100)</f>
        <v>0</v>
      </c>
      <c r="EN91" s="113"/>
      <c r="EO91" s="113"/>
      <c r="EP91" s="690">
        <f>IF(EN91=0,0,(EO91-EN91)/EN91*100)</f>
        <v>0</v>
      </c>
      <c r="EQ91" s="113"/>
      <c r="ER91" s="113"/>
      <c r="ES91" s="690">
        <f>IF(EQ91=0,0,(ER91-EQ91)/EQ91*100)</f>
        <v>0</v>
      </c>
      <c r="ET91" s="113"/>
      <c r="EU91" s="113"/>
      <c r="EV91" s="690">
        <f>IF(ET91=0,0,(EU91-ET91)/ET91*100)</f>
        <v>0</v>
      </c>
      <c r="EW91" s="113"/>
      <c r="EX91" s="113"/>
      <c r="EY91" s="690">
        <f>IF(EW91=0,0,(EX91-EW91)/EW91*100)</f>
        <v>0</v>
      </c>
      <c r="EZ91" s="113"/>
      <c r="FA91" s="113"/>
      <c r="FB91" s="690">
        <f>IF(EZ91=0,0,(FA91-EZ91)/EZ91*100)</f>
        <v>0</v>
      </c>
      <c r="FC91" s="113"/>
      <c r="FD91" s="113"/>
      <c r="FE91" s="690">
        <f>IF(FC91=0,0,(FD91-FC91)/FC91*100)</f>
        <v>0</v>
      </c>
      <c r="FF91" s="113"/>
      <c r="FG91" s="113"/>
      <c r="FH91" s="690">
        <f>IF(FF91=0,0,(FG91-FF91)/FF91*100)</f>
        <v>0</v>
      </c>
      <c r="FI91" s="113"/>
      <c r="FJ91" s="113"/>
      <c r="FK91" s="690">
        <f>IF(FI91=0,0,(FJ91-FI91)/FI91*100)</f>
        <v>0</v>
      </c>
      <c r="FL91" s="113"/>
      <c r="FM91" s="113"/>
      <c r="FN91" s="690">
        <f>IF(FL91=0,0,(FM91-FL91)/FL91*100)</f>
        <v>0</v>
      </c>
      <c r="FO91" s="113"/>
      <c r="FP91" s="113"/>
      <c r="FQ91" s="690">
        <f>IF(FO91=0,0,(FP91-FO91)/FO91*100)</f>
        <v>0</v>
      </c>
      <c r="FR91" s="113"/>
      <c r="FS91" s="113"/>
      <c r="FT91" s="690">
        <f>IF(FR91=0,0,(FS91-FR91)/FR91*100)</f>
        <v>0</v>
      </c>
      <c r="FU91" s="113"/>
      <c r="FV91" s="113"/>
      <c r="FW91" s="690">
        <f>IF(FU91=0,0,(FV91-FU91)/FU91*100)</f>
        <v>0</v>
      </c>
      <c r="FX91" s="1387"/>
      <c r="FY91" s="1387"/>
      <c r="FZ91" s="1181" t="s">
        <v>2127</v>
      </c>
      <c r="GA91" s="1181" t="s">
        <v>2128</v>
      </c>
      <c r="GB91" s="1181" cm="1" t="str">
        <f t="array" ref="GB91:GB91">AB91</f>
        <v>0</v>
      </c>
      <c r="GC91" s="1181"/>
      <c r="GD91" s="1181" t="b">
        <v>1</v>
      </c>
    </row>
    <row s="1387" customFormat="1" customHeight="1" ht="16.5" hidden="1">
      <c r="A92" s="1387"/>
      <c r="B92" s="961" cm="1" t="str">
        <f t="array" ref="B92:B92">OFFSET(A92,-1,1)</f>
        <v>true</v>
      </c>
      <c r="C92" s="1322" t="s">
        <v>1721</v>
      </c>
      <c r="D92" s="1291" t="s">
        <v>1722</v>
      </c>
      <c r="E92" s="794">
        <v>17.1</v>
      </c>
      <c r="F92" s="919" cm="1" t="str">
        <f t="array" ref="F92:F92">OFFSET(G92,-1,-1)</f>
        <v>1</v>
      </c>
      <c r="G92" s="1387"/>
      <c r="H92" s="1387"/>
      <c r="I92" s="1387"/>
      <c r="J92" s="1312" t="s">
        <v>2089</v>
      </c>
      <c r="K92" s="1312" cm="1" t="str">
        <f t="array" ref="K92:K92">OFFSET(J92,-1,1)</f>
        <v>ТЭ.42.26824396.0004</v>
      </c>
      <c r="L92" s="1312" t="s">
        <v>2103</v>
      </c>
      <c r="M92" s="1312"/>
      <c r="N92" s="1312" t="s">
        <v>2111</v>
      </c>
      <c r="O92" s="1313" t="s">
        <v>2112</v>
      </c>
      <c r="P92" s="1312"/>
      <c r="Q92" s="1312" cm="1" t="str">
        <f t="array" ref="Q92:Q92">AB91</f>
        <v>0</v>
      </c>
      <c r="R92" s="1387"/>
      <c r="S92" s="1387"/>
      <c r="T92" s="805">
        <f>AND(OFFSET(S92,1,1),Y91&gt;0)</f>
        <v>0</v>
      </c>
      <c r="U92" s="1387"/>
      <c r="V92" s="1387"/>
      <c r="W92" s="1387"/>
      <c r="X92" s="1387"/>
      <c r="Y92" s="1387"/>
      <c r="Z92" s="1387"/>
      <c r="AA92" s="1412"/>
      <c r="AB92" s="1057" t="s">
        <v>2129</v>
      </c>
      <c r="AC92" s="675" t="s">
        <v>591</v>
      </c>
      <c r="AD92" s="113"/>
      <c r="AE92" s="113"/>
      <c r="AF92" s="690">
        <f>IF(AD92=0,0,(AE92-AD92)/AD92*100)</f>
        <v>0</v>
      </c>
      <c r="AG92" s="378"/>
      <c r="AH92" s="378"/>
      <c r="AI92" s="690">
        <f>IF(AG92=0,0,(AH92-AG92)/AG92*100)</f>
        <v>0</v>
      </c>
      <c r="AJ92" s="378"/>
      <c r="AK92" s="378"/>
      <c r="AL92" s="690">
        <f>IF(AJ92=0,0,(AK92-AJ92)/AJ92*100)</f>
        <v>0</v>
      </c>
      <c r="AM92" s="378"/>
      <c r="AN92" s="378"/>
      <c r="AO92" s="690">
        <f>IF(AM92=0,0,(AN92-AM92)/AM92*100)</f>
        <v>0</v>
      </c>
      <c r="AP92" s="378"/>
      <c r="AQ92" s="378"/>
      <c r="AR92" s="690">
        <f>IF(AP92=0,0,(AQ92-AP92)/AP92*100)</f>
        <v>0</v>
      </c>
      <c r="AS92" s="113"/>
      <c r="AT92" s="113"/>
      <c r="AU92" s="690">
        <f>IF(AS92=0,0,(AT92-AS92)/AS92*100)</f>
        <v>0</v>
      </c>
      <c r="AV92" s="113"/>
      <c r="AW92" s="113"/>
      <c r="AX92" s="690">
        <f>IF(AV92=0,0,(AW92-AV92)/AV92*100)</f>
        <v>0</v>
      </c>
      <c r="AY92" s="113"/>
      <c r="AZ92" s="113"/>
      <c r="BA92" s="690">
        <f>IF(AY92=0,0,(AZ92-AY92)/AY92*100)</f>
        <v>0</v>
      </c>
      <c r="BB92" s="113"/>
      <c r="BC92" s="113"/>
      <c r="BD92" s="690">
        <f>IF(BB92=0,0,(BC92-BB92)/BB92*100)</f>
        <v>0</v>
      </c>
      <c r="BE92" s="113"/>
      <c r="BF92" s="113"/>
      <c r="BG92" s="690">
        <f>IF(BE92=0,0,(BF92-BE92)/BE92*100)</f>
        <v>0</v>
      </c>
      <c r="BH92" s="113"/>
      <c r="BI92" s="113"/>
      <c r="BJ92" s="690">
        <f>IF(BH92=0,0,(BI92-BH92)/BH92*100)</f>
        <v>0</v>
      </c>
      <c r="BK92" s="113"/>
      <c r="BL92" s="113"/>
      <c r="BM92" s="690">
        <f>IF(BK92=0,0,(BL92-BK92)/BK92*100)</f>
        <v>0</v>
      </c>
      <c r="BN92" s="113"/>
      <c r="BO92" s="113"/>
      <c r="BP92" s="690">
        <f>IF(BN92=0,0,(BO92-BN92)/BN92*100)</f>
        <v>0</v>
      </c>
      <c r="BQ92" s="113"/>
      <c r="BR92" s="113"/>
      <c r="BS92" s="690">
        <f>IF(BQ92=0,0,(BR92-BQ92)/BQ92*100)</f>
        <v>0</v>
      </c>
      <c r="BT92" s="113"/>
      <c r="BU92" s="113"/>
      <c r="BV92" s="690">
        <f>IF(BT92=0,0,(BU92-BT92)/BT92*100)</f>
        <v>0</v>
      </c>
      <c r="BW92" s="113"/>
      <c r="BX92" s="113"/>
      <c r="BY92" s="690">
        <f>IF(BW92=0,0,(BX92-BW92)/BW92*100)</f>
        <v>0</v>
      </c>
      <c r="BZ92" s="113"/>
      <c r="CA92" s="113"/>
      <c r="CB92" s="690">
        <f>IF(BZ92=0,0,(CA92-BZ92)/BZ92*100)</f>
        <v>0</v>
      </c>
      <c r="CC92" s="113"/>
      <c r="CD92" s="113"/>
      <c r="CE92" s="690">
        <f>IF(CC92=0,0,(CD92-CC92)/CC92*100)</f>
        <v>0</v>
      </c>
      <c r="CF92" s="113"/>
      <c r="CG92" s="113"/>
      <c r="CH92" s="690">
        <f>IF(CF92=0,0,(CG92-CF92)/CF92*100)</f>
        <v>0</v>
      </c>
      <c r="CI92" s="113"/>
      <c r="CJ92" s="113"/>
      <c r="CK92" s="690">
        <f>IF(CI92=0,0,(CJ92-CI92)/CI92*100)</f>
        <v>0</v>
      </c>
      <c r="CL92" s="113"/>
      <c r="CM92" s="113"/>
      <c r="CN92" s="690">
        <f>IF(CL92=0,0,(CM92-CL92)/CL92*100)</f>
        <v>0</v>
      </c>
      <c r="CO92" s="113"/>
      <c r="CP92" s="113"/>
      <c r="CQ92" s="690">
        <f>IF(CO92=0,0,(CP92-CO92)/CO92*100)</f>
        <v>0</v>
      </c>
      <c r="CR92" s="113"/>
      <c r="CS92" s="113"/>
      <c r="CT92" s="690">
        <f>IF(CR92=0,0,(CS92-CR92)/CR92*100)</f>
        <v>0</v>
      </c>
      <c r="CU92" s="113"/>
      <c r="CV92" s="113"/>
      <c r="CW92" s="690">
        <f>IF(CU92=0,0,(CV92-CU92)/CU92*100)</f>
        <v>0</v>
      </c>
      <c r="CX92" s="113"/>
      <c r="CY92" s="113"/>
      <c r="CZ92" s="690">
        <f>IF(CX92=0,0,(CY92-CX92)/CX92*100)</f>
        <v>0</v>
      </c>
      <c r="DA92" s="113"/>
      <c r="DB92" s="113"/>
      <c r="DC92" s="690">
        <f>IF(DA92=0,0,(DB92-DA92)/DA92*100)</f>
        <v>0</v>
      </c>
      <c r="DD92" s="113"/>
      <c r="DE92" s="113"/>
      <c r="DF92" s="690">
        <f>IF(DD92=0,0,(DE92-DD92)/DD92*100)</f>
        <v>0</v>
      </c>
      <c r="DG92" s="113"/>
      <c r="DH92" s="113"/>
      <c r="DI92" s="690">
        <f>IF(DG92=0,0,(DH92-DG92)/DG92*100)</f>
        <v>0</v>
      </c>
      <c r="DJ92" s="113"/>
      <c r="DK92" s="113"/>
      <c r="DL92" s="690">
        <f>IF(DJ92=0,0,(DK92-DJ92)/DJ92*100)</f>
        <v>0</v>
      </c>
      <c r="DM92" s="113"/>
      <c r="DN92" s="113"/>
      <c r="DO92" s="690">
        <f>IF(DM92=0,0,(DN92-DM92)/DM92*100)</f>
        <v>0</v>
      </c>
      <c r="DP92" s="113"/>
      <c r="DQ92" s="113"/>
      <c r="DR92" s="690">
        <f>IF(DP92=0,0,(DQ92-DP92)/DP92*100)</f>
        <v>0</v>
      </c>
      <c r="DS92" s="113"/>
      <c r="DT92" s="113"/>
      <c r="DU92" s="690">
        <f>IF(DS92=0,0,(DT92-DS92)/DS92*100)</f>
        <v>0</v>
      </c>
      <c r="DV92" s="113"/>
      <c r="DW92" s="113"/>
      <c r="DX92" s="690">
        <f>IF(DV92=0,0,(DW92-DV92)/DV92*100)</f>
        <v>0</v>
      </c>
      <c r="DY92" s="113"/>
      <c r="DZ92" s="113"/>
      <c r="EA92" s="690">
        <f>IF(DY92=0,0,(DZ92-DY92)/DY92*100)</f>
        <v>0</v>
      </c>
      <c r="EB92" s="113"/>
      <c r="EC92" s="113"/>
      <c r="ED92" s="690">
        <f>IF(EB92=0,0,(EC92-EB92)/EB92*100)</f>
        <v>0</v>
      </c>
      <c r="EE92" s="113"/>
      <c r="EF92" s="113"/>
      <c r="EG92" s="690">
        <f>IF(EE92=0,0,(EF92-EE92)/EE92*100)</f>
        <v>0</v>
      </c>
      <c r="EH92" s="113"/>
      <c r="EI92" s="113"/>
      <c r="EJ92" s="690">
        <f>IF(EH92=0,0,(EI92-EH92)/EH92*100)</f>
        <v>0</v>
      </c>
      <c r="EK92" s="113"/>
      <c r="EL92" s="113"/>
      <c r="EM92" s="690">
        <f>IF(EK92=0,0,(EL92-EK92)/EK92*100)</f>
        <v>0</v>
      </c>
      <c r="EN92" s="113"/>
      <c r="EO92" s="113"/>
      <c r="EP92" s="690">
        <f>IF(EN92=0,0,(EO92-EN92)/EN92*100)</f>
        <v>0</v>
      </c>
      <c r="EQ92" s="113"/>
      <c r="ER92" s="113"/>
      <c r="ES92" s="690">
        <f>IF(EQ92=0,0,(ER92-EQ92)/EQ92*100)</f>
        <v>0</v>
      </c>
      <c r="ET92" s="113"/>
      <c r="EU92" s="113"/>
      <c r="EV92" s="690">
        <f>IF(ET92=0,0,(EU92-ET92)/ET92*100)</f>
        <v>0</v>
      </c>
      <c r="EW92" s="113"/>
      <c r="EX92" s="113"/>
      <c r="EY92" s="690">
        <f>IF(EW92=0,0,(EX92-EW92)/EW92*100)</f>
        <v>0</v>
      </c>
      <c r="EZ92" s="113"/>
      <c r="FA92" s="113"/>
      <c r="FB92" s="690">
        <f>IF(EZ92=0,0,(FA92-EZ92)/EZ92*100)</f>
        <v>0</v>
      </c>
      <c r="FC92" s="113"/>
      <c r="FD92" s="113"/>
      <c r="FE92" s="690">
        <f>IF(FC92=0,0,(FD92-FC92)/FC92*100)</f>
        <v>0</v>
      </c>
      <c r="FF92" s="113"/>
      <c r="FG92" s="113"/>
      <c r="FH92" s="690">
        <f>IF(FF92=0,0,(FG92-FF92)/FF92*100)</f>
        <v>0</v>
      </c>
      <c r="FI92" s="113"/>
      <c r="FJ92" s="113"/>
      <c r="FK92" s="690">
        <f>IF(FI92=0,0,(FJ92-FI92)/FI92*100)</f>
        <v>0</v>
      </c>
      <c r="FL92" s="113"/>
      <c r="FM92" s="113"/>
      <c r="FN92" s="690">
        <f>IF(FL92=0,0,(FM92-FL92)/FL92*100)</f>
        <v>0</v>
      </c>
      <c r="FO92" s="113"/>
      <c r="FP92" s="113"/>
      <c r="FQ92" s="690">
        <f>IF(FO92=0,0,(FP92-FO92)/FO92*100)</f>
        <v>0</v>
      </c>
      <c r="FR92" s="113"/>
      <c r="FS92" s="113"/>
      <c r="FT92" s="690">
        <f>IF(FR92=0,0,(FS92-FR92)/FR92*100)</f>
        <v>0</v>
      </c>
      <c r="FU92" s="113"/>
      <c r="FV92" s="113"/>
      <c r="FW92" s="690">
        <f>IF(FU92=0,0,(FV92-FU92)/FU92*100)</f>
        <v>0</v>
      </c>
      <c r="FX92" s="1387"/>
      <c r="FY92" s="1387"/>
      <c r="FZ92" s="1181" t="s">
        <v>2122</v>
      </c>
      <c r="GA92" s="1181" t="s">
        <v>2128</v>
      </c>
      <c r="GB92" s="1181" cm="1" t="str">
        <f t="array" ref="GB92:GB92">GB91</f>
        <v>0</v>
      </c>
      <c r="GC92" s="1181"/>
      <c r="GD92" s="1181"/>
    </row>
    <row s="1619"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ТЭ.42.26824396.0004</v>
      </c>
      <c r="L93" s="1314"/>
      <c r="M93" s="1314"/>
      <c r="N93" s="1314"/>
      <c r="O93" s="1314"/>
      <c r="P93" s="1314"/>
      <c r="Q93" s="1296"/>
      <c r="R93" s="925"/>
      <c r="S93" s="497"/>
      <c r="T93" s="805" cm="1" t="str">
        <f t="array" ref="T93:T93">T90</f>
        <v>true</v>
      </c>
      <c r="U93" s="1461"/>
      <c r="V93" s="1461"/>
      <c r="W93" s="1183" t="s">
        <v>2130</v>
      </c>
      <c r="X93" s="1461"/>
      <c r="Y93" s="1461"/>
      <c r="Z93" s="1461"/>
      <c r="AA93" s="497"/>
      <c r="AB93" s="897" t="s">
        <v>235</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2128</v>
      </c>
      <c r="GD93" s="1181"/>
    </row>
    <row s="1619"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ТЭ.42.26824396.0004</v>
      </c>
      <c r="L94" s="1314"/>
      <c r="M94" s="1314"/>
      <c r="N94" s="1314"/>
      <c r="O94" s="1314"/>
      <c r="P94" s="1314"/>
      <c r="Q94" s="1296"/>
      <c r="R94" s="925"/>
      <c r="S94" s="497"/>
      <c r="T94" s="805">
        <f>AND(F94&gt;0,G74="двухставочный")</f>
        <v>0</v>
      </c>
      <c r="U94" s="1461"/>
      <c r="V94" s="1461"/>
      <c r="W94" s="1461"/>
      <c r="X94" s="1461"/>
      <c r="Y94" s="1461"/>
      <c r="Z94" s="1461"/>
      <c r="AA94" s="497"/>
      <c r="AB94" s="745" t="s">
        <v>2131</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19"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ТЭ.42.26824396.0004</v>
      </c>
      <c r="L95" s="1314"/>
      <c r="M95" s="1314"/>
      <c r="N95" s="1314"/>
      <c r="O95" s="1314"/>
      <c r="P95" s="1314"/>
      <c r="Q95" s="1296"/>
      <c r="R95" s="925"/>
      <c r="S95" s="497"/>
      <c r="T95" s="805" cm="1" t="str">
        <f t="array" ref="T95:T95">T94</f>
        <v>false</v>
      </c>
      <c r="U95" s="1461"/>
      <c r="V95" s="1461"/>
      <c r="W95" s="1461"/>
      <c r="X95" s="1461"/>
      <c r="Y95" s="1461"/>
      <c r="Z95" s="1461"/>
      <c r="AA95" s="497"/>
      <c r="AB95" s="1351" t="s">
        <v>2132</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19" customFormat="1" customHeight="1" ht="15" hidden="1">
      <c r="A96" s="1461"/>
      <c r="B96" s="961" cm="1" t="str">
        <f t="array" ref="B96:B96">B95</f>
        <v>false</v>
      </c>
      <c r="C96" s="1322" t="s">
        <v>2133</v>
      </c>
      <c r="D96" s="1291" t="s">
        <v>2134</v>
      </c>
      <c r="E96" s="794">
        <v>15.8</v>
      </c>
      <c r="F96" s="919" cm="1" t="str">
        <f t="array" ref="F96:F96">OFFSET(G96,-1,-1)</f>
        <v>1</v>
      </c>
      <c r="G96" s="736" t="s">
        <v>1729</v>
      </c>
      <c r="H96" s="210" t="s">
        <v>2135</v>
      </c>
      <c r="I96" s="210" t="s">
        <v>2088</v>
      </c>
      <c r="J96" s="1312"/>
      <c r="K96" s="1312" cm="1" t="str">
        <f t="array" ref="K96:K96">OFFSET(J96,-1,1)</f>
        <v>ТЭ.42.26824396.0004</v>
      </c>
      <c r="L96" s="1312"/>
      <c r="M96" s="1312" t="s">
        <v>1724</v>
      </c>
      <c r="N96" s="1312" t="s">
        <v>2091</v>
      </c>
      <c r="O96" s="1313" t="s">
        <v>2092</v>
      </c>
      <c r="P96" s="1312" t="s">
        <v>2136</v>
      </c>
      <c r="Q96" s="1312"/>
      <c r="R96" s="925"/>
      <c r="S96" s="497"/>
      <c r="T96" s="805" cm="1" t="str">
        <f t="array" ref="T96:T96">T95</f>
        <v>false</v>
      </c>
      <c r="U96" s="1461"/>
      <c r="V96" s="1461"/>
      <c r="W96" s="1461"/>
      <c r="X96" s="1461"/>
      <c r="Y96" s="1461"/>
      <c r="Z96" s="1461"/>
      <c r="AA96" s="497"/>
      <c r="AB96" s="273" t="s">
        <v>2137</v>
      </c>
      <c r="AC96" s="169" t="s">
        <v>895</v>
      </c>
      <c r="AD96" s="66">
        <f>IF(method_reg="Метод экономически обоснованных расходов",_xlfn.SUMIFS('Калькуляция (4.6)'!AJ$25:AJ$229,'Калькуляция (4.6)'!$F$25:$F$229,$F96,'Калькуляция (4.6)'!$G$25:$G$229,$G96),IF(method_reg="Метод сравнения аналогов",_xlfn.SUMIFS(INDEX('Калькуляция (МСА)'!$AE$25:$BC$109,,MATCH(AD$8,'Калькуляция (МСА)'!$AE$8:$BC$8,0)),'Калькуляция (МСА)'!$F$25:$F$109,$F96,'Калькуляция (МСА)'!$G$25:$G$109,$G96),_xlfn.SUMIFS(INDEX('Калькуляция (5.9)'!$AJ$25:$BC$192,,MATCH(AD$8,'Калькуляция (5.9)'!$AJ$8:$BC$8,0)),'Калькуляция (5.9)'!$F$25:$F$192,$F96,'Калькуляция (5.9)'!$G$25:$G$192,$G96)))</f>
        <v>3992.09</v>
      </c>
      <c r="AE96" s="66">
        <f>IF(method_reg="Метод экономически обоснованных расходов",_xlfn.SUMIFS('Калькуляция (4.6)'!AK$25:AK$229,'Калькуляция (4.6)'!$F$25:$F$229,$F96,'Калькуляция (4.6)'!$G$25:$G$229,$G96),IF(method_reg="Метод сравнения аналогов",_xlfn.SUMIFS(INDEX('Калькуляция (МСА)'!$AE$25:$BC$109,,MATCH(AE$8,'Калькуляция (МСА)'!$AE$8:$BC$8,0)),'Калькуляция (МСА)'!$F$25:$F$109,$F96,'Калькуляция (МСА)'!$G$25:$G$109,$G96),_xlfn.SUMIFS(INDEX('Калькуляция (5.9)'!$AJ$25:$BC$192,,MATCH(AE$8,'Калькуляция (5.9)'!$AJ$8:$BC$8,0)),'Калькуляция (5.9)'!$F$25:$F$192,$F96,'Калькуляция (5.9)'!$G$25:$G$192,$G96)))</f>
        <v>3992.09</v>
      </c>
      <c r="AF96" s="365">
        <f>IF(AD96=0,0,(AE96-AD96)/AD96*100)</f>
        <v>0</v>
      </c>
      <c r="AG96" s="366">
        <f>IF(method_reg="Метод сравнения аналогов",_xlfn.SUMIFS(INDEX('Калькуляция (МСА)'!$AE$25:$BC$109,,MATCH(AG$8,'Калькуляция (МСА)'!$AE$8:$BC$8,0)),'Калькуляция (МСА)'!$F$25:$F$109,$F96,'Калькуляция (МСА)'!$G$25:$G$109,$G96),_xlfn.SUMIFS(INDEX('Калькуляция (5.9)'!$AJ$25:$BC$192,,MATCH(AG$8,'Калькуляция (5.9)'!$AJ$8:$BC$8,0)),'Калькуляция (5.9)'!$F$25:$F$192,$F96,'Калькуляция (5.9)'!$G$25:$G$192,$G96))</f>
        <v>10198.172263965</v>
      </c>
      <c r="AH96" s="366">
        <f>IF(method_reg="Метод сравнения аналогов",_xlfn.SUMIFS(INDEX('Калькуляция (МСА)'!$AE$25:$BC$109,,MATCH(AH$8,'Калькуляция (МСА)'!$AE$8:$BC$8,0)),'Калькуляция (МСА)'!$F$25:$F$109,$F96,'Калькуляция (МСА)'!$G$25:$G$109,$G96),_xlfn.SUMIFS(INDEX('Калькуляция (5.9)'!$AJ$25:$BC$192,,MATCH(AH$8,'Калькуляция (5.9)'!$AJ$8:$BC$8,0)),'Калькуляция (5.9)'!$F$25:$F$192,$F96,'Калькуляция (5.9)'!$G$25:$G$192,$G96))</f>
        <v>4444.48</v>
      </c>
      <c r="AI96" s="365">
        <f>IF(AG96=0,0,(AH96-AG96)/AG96*100)</f>
        <v>-56.4188573701146</v>
      </c>
      <c r="AJ96" s="366">
        <f>IF(method_reg="Метод сравнения аналогов",_xlfn.SUMIFS(INDEX('Калькуляция (МСА)'!$AE$25:$BC$109,,MATCH(AJ$8,'Калькуляция (МСА)'!$AE$8:$BC$8,0)),'Калькуляция (МСА)'!$F$25:$F$109,$F96,'Калькуляция (МСА)'!$G$25:$G$109,$G96),_xlfn.SUMIFS(INDEX('Калькуляция (5.9)'!$AJ$25:$BC$192,,MATCH(AJ$8,'Калькуляция (5.9)'!$AJ$8:$BC$8,0)),'Калькуляция (5.9)'!$F$25:$F$192,$F96,'Калькуляция (5.9)'!$G$25:$G$192,$G96))</f>
        <v>10198.1722639647</v>
      </c>
      <c r="AK96" s="366">
        <f>IF(method_reg="Метод сравнения аналогов",_xlfn.SUMIFS(INDEX('Калькуляция (МСА)'!$AE$25:$BC$109,,MATCH(AK$8,'Калькуляция (МСА)'!$AE$8:$BC$8,0)),'Калькуляция (МСА)'!$F$25:$F$109,$F96,'Калькуляция (МСА)'!$G$25:$G$109,$G96),_xlfn.SUMIFS(INDEX('Калькуляция (5.9)'!$AJ$25:$BC$192,,MATCH(AK$8,'Калькуляция (5.9)'!$AJ$8:$BC$8,0)),'Калькуляция (5.9)'!$F$25:$F$192,$F96,'Калькуляция (5.9)'!$G$25:$G$192,$G96))</f>
        <v>8240.40037236781</v>
      </c>
      <c r="AL96" s="365">
        <f>IF(AJ96=0,0,(AK96-AJ96)/AJ96*100)</f>
        <v>-19.1972820317488</v>
      </c>
      <c r="AM96" s="366">
        <f>IF(method_reg="Метод сравнения аналогов",_xlfn.SUMIFS(INDEX('Калькуляция (МСА)'!$AE$25:$BC$109,,MATCH(AM$8,'Калькуляция (МСА)'!$AE$8:$BC$8,0)),'Калькуляция (МСА)'!$F$25:$F$109,$F96,'Калькуляция (МСА)'!$G$25:$G$109,$G96),_xlfn.SUMIFS(INDEX('Калькуляция (5.9)'!$AJ$25:$BC$192,,MATCH(AM$8,'Калькуляция (5.9)'!$AJ$8:$BC$8,0)),'Калькуляция (5.9)'!$F$25:$F$192,$F96,'Калькуляция (5.9)'!$G$25:$G$192,$G96))</f>
        <v>10891.487924789</v>
      </c>
      <c r="AN96" s="366">
        <f>IF(method_reg="Метод сравнения аналогов",_xlfn.SUMIFS(INDEX('Калькуляция (МСА)'!$AE$25:$BC$109,,MATCH(AN$8,'Калькуляция (МСА)'!$AE$8:$BC$8,0)),'Калькуляция (МСА)'!$F$25:$F$109,$F96,'Калькуляция (МСА)'!$G$25:$G$109,$G96),_xlfn.SUMIFS(INDEX('Калькуляция (5.9)'!$AJ$25:$BC$192,,MATCH(AN$8,'Калькуляция (5.9)'!$AJ$8:$BC$8,0)),'Калькуляция (5.9)'!$F$25:$F$192,$F96,'Калькуляция (5.9)'!$G$25:$G$192,$G96))</f>
        <v>8240.40037236781</v>
      </c>
      <c r="AO96" s="365">
        <f>IF(AM96=0,0,(AN96-AM96)/AM96*100)</f>
        <v>-24.3409125615181</v>
      </c>
      <c r="AP96" s="366">
        <f>IF(method_reg="Метод сравнения аналогов",_xlfn.SUMIFS(INDEX('Калькуляция (МСА)'!$AE$25:$BC$109,,MATCH(AP$8,'Калькуляция (МСА)'!$AE$8:$BC$8,0)),'Калькуляция (МСА)'!$F$25:$F$109,$F96,'Калькуляция (МСА)'!$G$25:$G$109,$G96),_xlfn.SUMIFS(INDEX('Калькуляция (5.9)'!$AJ$25:$BC$192,,MATCH(AP$8,'Калькуляция (5.9)'!$AJ$8:$BC$8,0)),'Калькуляция (5.9)'!$F$25:$F$192,$F96,'Калькуляция (5.9)'!$G$25:$G$192,$G96))</f>
        <v>10891.487924789</v>
      </c>
      <c r="AQ96" s="366">
        <f>IF(method_reg="Метод сравнения аналогов",_xlfn.SUMIFS(INDEX('Калькуляция (МСА)'!$AE$25:$BC$109,,MATCH(AQ$8,'Калькуляция (МСА)'!$AE$8:$BC$8,0)),'Калькуляция (МСА)'!$F$25:$F$109,$F96,'Калькуляция (МСА)'!$G$25:$G$109,$G96),_xlfn.SUMIFS(INDEX('Калькуляция (5.9)'!$AJ$25:$BC$192,,MATCH(AQ$8,'Калькуляция (5.9)'!$AJ$8:$BC$8,0)),'Калькуляция (5.9)'!$F$25:$F$192,$F96,'Калькуляция (5.9)'!$G$25:$G$192,$G96))</f>
        <v>8805.95533510562</v>
      </c>
      <c r="AR96" s="365">
        <f>IF(AP96=0,0,(AQ96-AP96)/AP96*100)</f>
        <v>-19.1482798685083</v>
      </c>
      <c r="AS96" s="66">
        <f>IF(method_reg="Метод сравнения аналогов",_xlfn.SUMIFS(INDEX('Калькуляция (МСА)'!$AE$25:$BC$109,,MATCH(AS$8,'Калькуляция (МСА)'!$AE$8:$BC$8,0)),'Калькуляция (МСА)'!$F$25:$F$109,$F96,'Калькуляция (МСА)'!$G$25:$G$109,$G96),_xlfn.SUMIFS(INDEX('Калькуляция (5.9)'!$AJ$25:$BC$192,,MATCH(AS$8,'Калькуляция (5.9)'!$AJ$8:$BC$8,0)),'Калькуляция (5.9)'!$F$25:$F$192,$F96,'Калькуляция (5.9)'!$G$25:$G$192,$G96))</f>
        <v>2400.45285593701</v>
      </c>
      <c r="AT96" s="66">
        <f>IF(method_reg="Метод сравнения аналогов",_xlfn.SUMIFS(INDEX('Калькуляция (МСА)'!$AE$25:$BC$109,,MATCH(AT$8,'Калькуляция (МСА)'!$AE$8:$BC$8,0)),'Калькуляция (МСА)'!$F$25:$F$109,$F96,'Калькуляция (МСА)'!$G$25:$G$109,$G96),_xlfn.SUMIFS(INDEX('Калькуляция (5.9)'!$AJ$25:$BC$192,,MATCH(AT$8,'Калькуляция (5.9)'!$AJ$8:$BC$8,0)),'Калькуляция (5.9)'!$F$25:$F$192,$F96,'Калькуляция (5.9)'!$G$25:$G$192,$G96))</f>
        <v>0</v>
      </c>
      <c r="AU96" s="365">
        <f>IF(AS96=0,0,(AT96-AS96)/AS96*100)</f>
        <v>-100</v>
      </c>
      <c r="AV96" s="66">
        <f>IF(method_reg="Метод сравнения аналогов",_xlfn.SUMIFS(INDEX('Калькуляция (МСА)'!$AE$25:$BC$109,,MATCH(AV$8,'Калькуляция (МСА)'!$AE$8:$BC$8,0)),'Калькуляция (МСА)'!$F$25:$F$109,$F96,'Калькуляция (МСА)'!$G$25:$G$109,$G96),_xlfn.SUMIFS(INDEX('Калькуляция (5.9)'!$AJ$25:$BC$192,,MATCH(AV$8,'Калькуляция (5.9)'!$AJ$8:$BC$8,0)),'Калькуляция (5.9)'!$F$25:$F$192,$F96,'Калькуляция (5.9)'!$G$25:$G$192,$G96))</f>
        <v>2376.44832737764</v>
      </c>
      <c r="AW96" s="66">
        <f>IF(method_reg="Метод сравнения аналогов",_xlfn.SUMIFS(INDEX('Калькуляция (МСА)'!$AE$25:$BC$109,,MATCH(AW$8,'Калькуляция (МСА)'!$AE$8:$BC$8,0)),'Калькуляция (МСА)'!$F$25:$F$109,$F96,'Калькуляция (МСА)'!$G$25:$G$109,$G96),_xlfn.SUMIFS(INDEX('Калькуляция (5.9)'!$AJ$25:$BC$192,,MATCH(AW$8,'Калькуляция (5.9)'!$AJ$8:$BC$8,0)),'Калькуляция (5.9)'!$F$25:$F$192,$F96,'Калькуляция (5.9)'!$G$25:$G$192,$G96))</f>
        <v>0</v>
      </c>
      <c r="AX96" s="365">
        <f>IF(AV96=0,0,(AW96-AV96)/AV96*100)</f>
        <v>-100</v>
      </c>
      <c r="AY96" s="66">
        <f>IF(method_reg="Метод сравнения аналогов",_xlfn.SUMIFS(INDEX('Калькуляция (МСА)'!$AE$25:$BC$109,,MATCH(AY$8,'Калькуляция (МСА)'!$AE$8:$BC$8,0)),'Калькуляция (МСА)'!$F$25:$F$109,$F96,'Калькуляция (МСА)'!$G$25:$G$109,$G96),_xlfn.SUMIFS(INDEX('Калькуляция (5.9)'!$AJ$25:$BC$192,,MATCH(AY$8,'Калькуляция (5.9)'!$AJ$8:$BC$8,0)),'Калькуляция (5.9)'!$F$25:$F$192,$F96,'Калькуляция (5.9)'!$G$25:$G$192,$G96))</f>
        <v>2352.68384410387</v>
      </c>
      <c r="AZ96" s="66">
        <f>IF(method_reg="Метод сравнения аналогов",_xlfn.SUMIFS(INDEX('Калькуляция (МСА)'!$AE$25:$BC$109,,MATCH(AZ$8,'Калькуляция (МСА)'!$AE$8:$BC$8,0)),'Калькуляция (МСА)'!$F$25:$F$109,$F96,'Калькуляция (МСА)'!$G$25:$G$109,$G96),_xlfn.SUMIFS(INDEX('Калькуляция (5.9)'!$AJ$25:$BC$192,,MATCH(AZ$8,'Калькуляция (5.9)'!$AJ$8:$BC$8,0)),'Калькуляция (5.9)'!$F$25:$F$192,$F96,'Калькуляция (5.9)'!$G$25:$G$192,$G96))</f>
        <v>0</v>
      </c>
      <c r="BA96" s="365">
        <f>IF(AY96=0,0,(AZ96-AY96)/AY96*100)</f>
        <v>-100</v>
      </c>
      <c r="BB96" s="66">
        <f>IF(method_reg="Метод сравнения аналогов",_xlfn.SUMIFS(INDEX('Калькуляция (МСА)'!$AE$25:$BC$109,,MATCH(BB$8,'Калькуляция (МСА)'!$AE$8:$BC$8,0)),'Калькуляция (МСА)'!$F$25:$F$109,$F96,'Калькуляция (МСА)'!$G$25:$G$109,$G96),_xlfn.SUMIFS(INDEX('Калькуляция (5.9)'!$AJ$25:$BC$192,,MATCH(BB$8,'Калькуляция (5.9)'!$AJ$8:$BC$8,0)),'Калькуляция (5.9)'!$F$25:$F$192,$F96,'Калькуляция (5.9)'!$G$25:$G$192,$G96))</f>
        <v>2329.15700566283</v>
      </c>
      <c r="BC96" s="66">
        <f>IF(method_reg="Метод сравнения аналогов",_xlfn.SUMIFS(INDEX('Калькуляция (МСА)'!$AE$25:$BC$109,,MATCH(BC$8,'Калькуляция (МСА)'!$AE$8:$BC$8,0)),'Калькуляция (МСА)'!$F$25:$F$109,$F96,'Калькуляция (МСА)'!$G$25:$G$109,$G96),_xlfn.SUMIFS(INDEX('Калькуляция (5.9)'!$AJ$25:$BC$192,,MATCH(BC$8,'Калькуляция (5.9)'!$AJ$8:$BC$8,0)),'Калькуляция (5.9)'!$F$25:$F$192,$F96,'Калькуляция (5.9)'!$G$25:$G$192,$G96))</f>
        <v>0</v>
      </c>
      <c r="BD96" s="365">
        <f>IF(BB96=0,0,(BC96-BB96)/BB96*100)</f>
        <v>-100</v>
      </c>
      <c r="BE96" s="66">
        <f>IF(method_reg="Метод сравнения аналогов",_xlfn.SUMIFS(INDEX('Калькуляция (МСА)'!$AE$25:$BC$109,,MATCH(BE$8,'Калькуляция (МСА)'!$AE$8:$BC$8,0)),'Калькуляция (МСА)'!$F$25:$F$109,$F96,'Калькуляция (МСА)'!$G$25:$G$109,$G96),_xlfn.SUMIFS(INDEX('Калькуляция (5.9)'!$AJ$25:$BC$192,,MATCH(BE$8,'Калькуляция (5.9)'!$AJ$8:$BC$8,0)),'Калькуляция (5.9)'!$F$25:$F$192,$F96,'Калькуляция (5.9)'!$G$25:$G$192,$G96))</f>
        <v>2305.8654356062</v>
      </c>
      <c r="BF96" s="66">
        <f>IF(method_reg="Метод сравнения аналогов",_xlfn.SUMIFS(INDEX('Калькуляция (МСА)'!$AE$25:$BC$109,,MATCH(BF$8,'Калькуляция (МСА)'!$AE$8:$BC$8,0)),'Калькуляция (МСА)'!$F$25:$F$109,$F96,'Калькуляция (МСА)'!$G$25:$G$109,$G96),_xlfn.SUMIFS(INDEX('Калькуляция (5.9)'!$AJ$25:$BC$192,,MATCH(BF$8,'Калькуляция (5.9)'!$AJ$8:$BC$8,0)),'Калькуляция (5.9)'!$F$25:$F$192,$F96,'Калькуляция (5.9)'!$G$25:$G$192,$G96))</f>
        <v>0</v>
      </c>
      <c r="BG96" s="365">
        <f>IF(BE96=0,0,(BF96-BE96)/BE96*100)</f>
        <v>-100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2138</v>
      </c>
      <c r="GA96" s="1181"/>
      <c r="GB96" s="1181"/>
      <c r="GC96" s="1181"/>
      <c r="GD96" s="1181"/>
    </row>
    <row s="1619" customFormat="1" customHeight="1" ht="15" hidden="1">
      <c r="A97" s="1461"/>
      <c r="B97" s="961" cm="1" t="str">
        <f t="array" ref="B97:B97">B96</f>
        <v>false</v>
      </c>
      <c r="C97" s="1322" t="s">
        <v>2139</v>
      </c>
      <c r="D97" s="1291" t="s">
        <v>2140</v>
      </c>
      <c r="E97" s="794">
        <v>15.8</v>
      </c>
      <c r="F97" s="919" cm="1" t="str">
        <f t="array" ref="F97:F97">OFFSET(G97,-1,-1)</f>
        <v>1</v>
      </c>
      <c r="G97" s="736" t="s">
        <v>1762</v>
      </c>
      <c r="H97" s="210" t="s">
        <v>2141</v>
      </c>
      <c r="I97" s="210" t="s">
        <v>2088</v>
      </c>
      <c r="J97" s="1312"/>
      <c r="K97" s="1312" cm="1" t="str">
        <f t="array" ref="K97:K97">OFFSET(J97,-1,1)</f>
        <v>ТЭ.42.26824396.0004</v>
      </c>
      <c r="L97" s="1312"/>
      <c r="M97" s="1312" t="s">
        <v>1724</v>
      </c>
      <c r="N97" s="1312" t="s">
        <v>2091</v>
      </c>
      <c r="O97" s="1313" t="s">
        <v>2092</v>
      </c>
      <c r="P97" s="1312" t="s">
        <v>2142</v>
      </c>
      <c r="Q97" s="1312"/>
      <c r="R97" s="925"/>
      <c r="S97" s="497"/>
      <c r="T97" s="805" cm="1" t="str">
        <f t="array" ref="T97:T97">T96</f>
        <v>false</v>
      </c>
      <c r="U97" s="1461"/>
      <c r="V97" s="1461"/>
      <c r="W97" s="1461"/>
      <c r="X97" s="1461"/>
      <c r="Y97" s="1461"/>
      <c r="Z97" s="1461"/>
      <c r="AA97" s="497"/>
      <c r="AB97" s="273" t="s">
        <v>2143</v>
      </c>
      <c r="AC97" s="169" t="s">
        <v>895</v>
      </c>
      <c r="AD97" s="66">
        <f>IF(method_reg="Метод экономически обоснованных расходов",_xlfn.SUMIFS('Калькуляция (4.6)'!AJ$25:AJ$229,'Калькуляция (4.6)'!$F$25:$F$229,$F97,'Калькуляция (4.6)'!$G$25:$G$229,$G97),IF(method_reg="Метод сравнения аналогов",_xlfn.SUMIFS(INDEX('Калькуляция (МСА)'!$AE$25:$BC$109,,MATCH(AD$8,'Калькуляция (МСА)'!$AE$8:$BC$8,0)),'Калькуляция (МСА)'!$F$25:$F$109,$F97,'Калькуляция (МСА)'!$G$25:$G$109,$G97),_xlfn.SUMIFS(INDEX('Калькуляция (5.9)'!$AJ$25:$BC$192,,MATCH(AD$8,'Калькуляция (5.9)'!$AJ$8:$BC$8,0)),'Калькуляция (5.9)'!$F$25:$F$192,$F97,'Калькуляция (5.9)'!$G$25:$G$192,$G97)))</f>
        <v>0</v>
      </c>
      <c r="AE97" s="66">
        <f>IF(method_reg="Метод экономически обоснованных расходов",_xlfn.SUMIFS('Калькуляция (4.6)'!AK$25:AK$229,'Калькуляция (4.6)'!$F$25:$F$229,$F97,'Калькуляция (4.6)'!$G$25:$G$229,$G97),IF(method_reg="Метод сравнения аналогов",_xlfn.SUMIFS(INDEX('Калькуляция (МСА)'!$AE$25:$BC$109,,MATCH(AE$8,'Калькуляция (МСА)'!$AE$8:$BC$8,0)),'Калькуляция (МСА)'!$F$25:$F$109,$F97,'Калькуляция (МСА)'!$G$25:$G$109,$G97),_xlfn.SUMIFS(INDEX('Калькуляция (5.9)'!$AJ$25:$BC$192,,MATCH(AE$8,'Калькуляция (5.9)'!$AJ$8:$BC$8,0)),'Калькуляция (5.9)'!$F$25:$F$192,$F97,'Калькуляция (5.9)'!$G$25:$G$192,$G97)))</f>
        <v>0</v>
      </c>
      <c r="AF97" s="365">
        <f>IF(AD97=0,0,(AE97-AD97)/AD97*100)</f>
        <v>0</v>
      </c>
      <c r="AG97" s="366">
        <f>IF(method_reg="Метод сравнения аналогов",_xlfn.SUMIFS(INDEX('Калькуляция (МСА)'!$AE$25:$BC$109,,MATCH(AG$8,'Калькуляция (МСА)'!$AE$8:$BC$8,0)),'Калькуляция (МСА)'!$F$25:$F$109,$F97,'Калькуляция (МСА)'!$G$25:$G$109,$G97),_xlfn.SUMIFS(INDEX('Калькуляция (5.9)'!$AJ$25:$BC$192,,MATCH(AG$8,'Калькуляция (5.9)'!$AJ$8:$BC$8,0)),'Калькуляция (5.9)'!$F$25:$F$192,$F97,'Калькуляция (5.9)'!$G$25:$G$192,$G97))</f>
        <v>3456.9332</v>
      </c>
      <c r="AH97" s="366">
        <f>IF(method_reg="Метод сравнения аналогов",_xlfn.SUMIFS(INDEX('Калькуляция (МСА)'!$AE$25:$BC$109,,MATCH(AH$8,'Калькуляция (МСА)'!$AE$8:$BC$8,0)),'Калькуляция (МСА)'!$F$25:$F$109,$F97,'Калькуляция (МСА)'!$G$25:$G$109,$G97),_xlfn.SUMIFS(INDEX('Калькуляция (5.9)'!$AJ$25:$BC$192,,MATCH(AH$8,'Калькуляция (5.9)'!$AJ$8:$BC$8,0)),'Калькуляция (5.9)'!$F$25:$F$192,$F97,'Калькуляция (5.9)'!$G$25:$G$192,$G97))</f>
        <v>2956.00280997541</v>
      </c>
      <c r="AI97" s="365">
        <f>IF(AG97=0,0,(AH97-AG97)/AG97*100)</f>
        <v>-14.4906008026013</v>
      </c>
      <c r="AJ97" s="366">
        <f>IF(method_reg="Метод сравнения аналогов",_xlfn.SUMIFS(INDEX('Калькуляция (МСА)'!$AE$25:$BC$109,,MATCH(AJ$8,'Калькуляция (МСА)'!$AE$8:$BC$8,0)),'Калькуляция (МСА)'!$F$25:$F$109,$F97,'Калькуляция (МСА)'!$G$25:$G$109,$G97),_xlfn.SUMIFS(INDEX('Калькуляция (5.9)'!$AJ$25:$BC$192,,MATCH(AJ$8,'Калькуляция (5.9)'!$AJ$8:$BC$8,0)),'Калькуляция (5.9)'!$F$25:$F$192,$F97,'Калькуляция (5.9)'!$G$25:$G$192,$G97))</f>
        <v>3456.9332</v>
      </c>
      <c r="AK97" s="366">
        <f>IF(method_reg="Метод сравнения аналогов",_xlfn.SUMIFS(INDEX('Калькуляция (МСА)'!$AE$25:$BC$109,,MATCH(AK$8,'Калькуляция (МСА)'!$AE$8:$BC$8,0)),'Калькуляция (МСА)'!$F$25:$F$109,$F97,'Калькуляция (МСА)'!$G$25:$G$109,$G97),_xlfn.SUMIFS(INDEX('Калькуляция (5.9)'!$AJ$25:$BC$192,,MATCH(AK$8,'Калькуляция (5.9)'!$AJ$8:$BC$8,0)),'Калькуляция (5.9)'!$F$25:$F$192,$F97,'Калькуляция (5.9)'!$G$25:$G$192,$G97))</f>
        <v>2956.00280997541</v>
      </c>
      <c r="AL97" s="365">
        <f>IF(AJ97=0,0,(AK97-AJ97)/AJ97*100)</f>
        <v>-14.4906008026013</v>
      </c>
      <c r="AM97" s="366">
        <f>IF(method_reg="Метод сравнения аналогов",_xlfn.SUMIFS(INDEX('Калькуляция (МСА)'!$AE$25:$BC$109,,MATCH(AM$8,'Калькуляция (МСА)'!$AE$8:$BC$8,0)),'Калькуляция (МСА)'!$F$25:$F$109,$F97,'Калькуляция (МСА)'!$G$25:$G$109,$G97),_xlfn.SUMIFS(INDEX('Калькуляция (5.9)'!$AJ$25:$BC$192,,MATCH(AM$8,'Калькуляция (5.9)'!$AJ$8:$BC$8,0)),'Калькуляция (5.9)'!$F$25:$F$192,$F97,'Калькуляция (5.9)'!$G$25:$G$192,$G97))</f>
        <v>3723.35715</v>
      </c>
      <c r="AN97" s="366">
        <f>IF(method_reg="Метод сравнения аналогов",_xlfn.SUMIFS(INDEX('Калькуляция (МСА)'!$AE$25:$BC$109,,MATCH(AN$8,'Калькуляция (МСА)'!$AE$8:$BC$8,0)),'Калькуляция (МСА)'!$F$25:$F$109,$F97,'Калькуляция (МСА)'!$G$25:$G$109,$G97),_xlfn.SUMIFS(INDEX('Калькуляция (5.9)'!$AJ$25:$BC$192,,MATCH(AN$8,'Калькуляция (5.9)'!$AJ$8:$BC$8,0)),'Калькуляция (5.9)'!$F$25:$F$192,$F97,'Калькуляция (5.9)'!$G$25:$G$192,$G97))</f>
        <v>3117.78011942396</v>
      </c>
      <c r="AO97" s="365">
        <f>IF(AM97=0,0,(AN97-AM97)/AM97*100)</f>
        <v>-16.2642745828463</v>
      </c>
      <c r="AP97" s="366">
        <f>IF(method_reg="Метод сравнения аналогов",_xlfn.SUMIFS(INDEX('Калькуляция (МСА)'!$AE$25:$BC$109,,MATCH(AP$8,'Калькуляция (МСА)'!$AE$8:$BC$8,0)),'Калькуляция (МСА)'!$F$25:$F$109,$F97,'Калькуляция (МСА)'!$G$25:$G$109,$G97),_xlfn.SUMIFS(INDEX('Калькуляция (5.9)'!$AJ$25:$BC$192,,MATCH(AP$8,'Калькуляция (5.9)'!$AJ$8:$BC$8,0)),'Калькуляция (5.9)'!$F$25:$F$192,$F97,'Калькуляция (5.9)'!$G$25:$G$192,$G97))</f>
        <v>3723.35715</v>
      </c>
      <c r="AQ97" s="366">
        <f>IF(method_reg="Метод сравнения аналогов",_xlfn.SUMIFS(INDEX('Калькуляция (МСА)'!$AE$25:$BC$109,,MATCH(AQ$8,'Калькуляция (МСА)'!$AE$8:$BC$8,0)),'Калькуляция (МСА)'!$F$25:$F$109,$F97,'Калькуляция (МСА)'!$G$25:$G$109,$G97),_xlfn.SUMIFS(INDEX('Калькуляция (5.9)'!$AJ$25:$BC$192,,MATCH(AQ$8,'Калькуляция (5.9)'!$AJ$8:$BC$8,0)),'Калькуляция (5.9)'!$F$25:$F$192,$F97,'Калькуляция (5.9)'!$G$25:$G$192,$G97))</f>
        <v>3117.78011942393</v>
      </c>
      <c r="AR97" s="365">
        <f>IF(AP97=0,0,(AQ97-AP97)/AP97*100)</f>
        <v>-16.2642745828471</v>
      </c>
      <c r="AS97" s="66">
        <f>IF(method_reg="Метод сравнения аналогов",_xlfn.SUMIFS(INDEX('Калькуляция (МСА)'!$AE$25:$BC$109,,MATCH(AS$8,'Калькуляция (МСА)'!$AE$8:$BC$8,0)),'Калькуляция (МСА)'!$F$25:$F$109,$F97,'Калькуляция (МСА)'!$G$25:$G$109,$G97),_xlfn.SUMIFS(INDEX('Калькуляция (5.9)'!$AJ$25:$BC$192,,MATCH(AS$8,'Калькуляция (5.9)'!$AJ$8:$BC$8,0)),'Калькуляция (5.9)'!$F$25:$F$192,$F97,'Калькуляция (5.9)'!$G$25:$G$192,$G97))</f>
        <v>0</v>
      </c>
      <c r="AT97" s="66">
        <f>IF(method_reg="Метод сравнения аналогов",_xlfn.SUMIFS(INDEX('Калькуляция (МСА)'!$AE$25:$BC$109,,MATCH(AT$8,'Калькуляция (МСА)'!$AE$8:$BC$8,0)),'Калькуляция (МСА)'!$F$25:$F$109,$F97,'Калькуляция (МСА)'!$G$25:$G$109,$G97),_xlfn.SUMIFS(INDEX('Калькуляция (5.9)'!$AJ$25:$BC$192,,MATCH(AT$8,'Калькуляция (5.9)'!$AJ$8:$BC$8,0)),'Калькуляция (5.9)'!$F$25:$F$192,$F97,'Калькуляция (5.9)'!$G$25:$G$192,$G97))</f>
        <v>0</v>
      </c>
      <c r="AU97" s="365">
        <f>IF(AS97=0,0,(AT97-AS97)/AS97*100)</f>
        <v>0</v>
      </c>
      <c r="AV97" s="66">
        <f>IF(method_reg="Метод сравнения аналогов",_xlfn.SUMIFS(INDEX('Калькуляция (МСА)'!$AE$25:$BC$109,,MATCH(AV$8,'Калькуляция (МСА)'!$AE$8:$BC$8,0)),'Калькуляция (МСА)'!$F$25:$F$109,$F97,'Калькуляция (МСА)'!$G$25:$G$109,$G97),_xlfn.SUMIFS(INDEX('Калькуляция (5.9)'!$AJ$25:$BC$192,,MATCH(AV$8,'Калькуляция (5.9)'!$AJ$8:$BC$8,0)),'Калькуляция (5.9)'!$F$25:$F$192,$F97,'Калькуляция (5.9)'!$G$25:$G$192,$G97))</f>
        <v>0</v>
      </c>
      <c r="AW97" s="66">
        <f>IF(method_reg="Метод сравнения аналогов",_xlfn.SUMIFS(INDEX('Калькуляция (МСА)'!$AE$25:$BC$109,,MATCH(AW$8,'Калькуляция (МСА)'!$AE$8:$BC$8,0)),'Калькуляция (МСА)'!$F$25:$F$109,$F97,'Калькуляция (МСА)'!$G$25:$G$109,$G97),_xlfn.SUMIFS(INDEX('Калькуляция (5.9)'!$AJ$25:$BC$192,,MATCH(AW$8,'Калькуляция (5.9)'!$AJ$8:$BC$8,0)),'Калькуляция (5.9)'!$F$25:$F$192,$F97,'Калькуляция (5.9)'!$G$25:$G$192,$G97))</f>
        <v>0</v>
      </c>
      <c r="AX97" s="365">
        <f>IF(AV97=0,0,(AW97-AV97)/AV97*100)</f>
        <v>0</v>
      </c>
      <c r="AY97" s="66">
        <f>IF(method_reg="Метод сравнения аналогов",_xlfn.SUMIFS(INDEX('Калькуляция (МСА)'!$AE$25:$BC$109,,MATCH(AY$8,'Калькуляция (МСА)'!$AE$8:$BC$8,0)),'Калькуляция (МСА)'!$F$25:$F$109,$F97,'Калькуляция (МСА)'!$G$25:$G$109,$G97),_xlfn.SUMIFS(INDEX('Калькуляция (5.9)'!$AJ$25:$BC$192,,MATCH(AY$8,'Калькуляция (5.9)'!$AJ$8:$BC$8,0)),'Калькуляция (5.9)'!$F$25:$F$192,$F97,'Калькуляция (5.9)'!$G$25:$G$192,$G97))</f>
        <v>0</v>
      </c>
      <c r="AZ97" s="66">
        <f>IF(method_reg="Метод сравнения аналогов",_xlfn.SUMIFS(INDEX('Калькуляция (МСА)'!$AE$25:$BC$109,,MATCH(AZ$8,'Калькуляция (МСА)'!$AE$8:$BC$8,0)),'Калькуляция (МСА)'!$F$25:$F$109,$F97,'Калькуляция (МСА)'!$G$25:$G$109,$G97),_xlfn.SUMIFS(INDEX('Калькуляция (5.9)'!$AJ$25:$BC$192,,MATCH(AZ$8,'Калькуляция (5.9)'!$AJ$8:$BC$8,0)),'Калькуляция (5.9)'!$F$25:$F$192,$F97,'Калькуляция (5.9)'!$G$25:$G$192,$G97))</f>
        <v>0</v>
      </c>
      <c r="BA97" s="365">
        <f>IF(AY97=0,0,(AZ97-AY97)/AY97*100)</f>
        <v>0</v>
      </c>
      <c r="BB97" s="66">
        <f>IF(method_reg="Метод сравнения аналогов",_xlfn.SUMIFS(INDEX('Калькуляция (МСА)'!$AE$25:$BC$109,,MATCH(BB$8,'Калькуляция (МСА)'!$AE$8:$BC$8,0)),'Калькуляция (МСА)'!$F$25:$F$109,$F97,'Калькуляция (МСА)'!$G$25:$G$109,$G97),_xlfn.SUMIFS(INDEX('Калькуляция (5.9)'!$AJ$25:$BC$192,,MATCH(BB$8,'Калькуляция (5.9)'!$AJ$8:$BC$8,0)),'Калькуляция (5.9)'!$F$25:$F$192,$F97,'Калькуляция (5.9)'!$G$25:$G$192,$G97))</f>
        <v>0</v>
      </c>
      <c r="BC97" s="66">
        <f>IF(method_reg="Метод сравнения аналогов",_xlfn.SUMIFS(INDEX('Калькуляция (МСА)'!$AE$25:$BC$109,,MATCH(BC$8,'Калькуляция (МСА)'!$AE$8:$BC$8,0)),'Калькуляция (МСА)'!$F$25:$F$109,$F97,'Калькуляция (МСА)'!$G$25:$G$109,$G97),_xlfn.SUMIFS(INDEX('Калькуляция (5.9)'!$AJ$25:$BC$192,,MATCH(BC$8,'Калькуляция (5.9)'!$AJ$8:$BC$8,0)),'Калькуляция (5.9)'!$F$25:$F$192,$F97,'Калькуляция (5.9)'!$G$25:$G$192,$G97))</f>
        <v>0</v>
      </c>
      <c r="BD97" s="365">
        <f>IF(BB97=0,0,(BC97-BB97)/BB97*100)</f>
        <v>0</v>
      </c>
      <c r="BE97" s="66">
        <f>IF(method_reg="Метод сравнения аналогов",_xlfn.SUMIFS(INDEX('Калькуляция (МСА)'!$AE$25:$BC$109,,MATCH(BE$8,'Калькуляция (МСА)'!$AE$8:$BC$8,0)),'Калькуляция (МСА)'!$F$25:$F$109,$F97,'Калькуляция (МСА)'!$G$25:$G$109,$G97),_xlfn.SUMIFS(INDEX('Калькуляция (5.9)'!$AJ$25:$BC$192,,MATCH(BE$8,'Калькуляция (5.9)'!$AJ$8:$BC$8,0)),'Калькуляция (5.9)'!$F$25:$F$192,$F97,'Калькуляция (5.9)'!$G$25:$G$192,$G97))</f>
        <v>0</v>
      </c>
      <c r="BF97" s="66">
        <f>IF(method_reg="Метод сравнения аналогов",_xlfn.SUMIFS(INDEX('Калькуляция (МСА)'!$AE$25:$BC$109,,MATCH(BF$8,'Калькуляция (МСА)'!$AE$8:$BC$8,0)),'Калькуляция (МСА)'!$F$25:$F$109,$F97,'Калькуляция (МСА)'!$G$25:$G$109,$G97),_xlfn.SUMIFS(INDEX('Калькуляция (5.9)'!$AJ$25:$BC$192,,MATCH(BF$8,'Калькуляция (5.9)'!$AJ$8:$BC$8,0)),'Калькуляция (5.9)'!$F$25:$F$192,$F97,'Калькуляция (5.9)'!$G$25:$G$192,$G97))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2144</v>
      </c>
      <c r="GA97" s="1181"/>
      <c r="GB97" s="1181"/>
      <c r="GC97" s="1181"/>
      <c r="GD97" s="1181"/>
    </row>
    <row s="1619" customFormat="1" customHeight="1" ht="15" hidden="1">
      <c r="A98" s="1461"/>
      <c r="B98" s="961" cm="1" t="str">
        <f t="array" ref="B98:B98">B97</f>
        <v>false</v>
      </c>
      <c r="C98" s="1322" t="s">
        <v>1721</v>
      </c>
      <c r="D98" s="1291" t="s">
        <v>1722</v>
      </c>
      <c r="E98" s="794">
        <v>15.8</v>
      </c>
      <c r="F98" s="919" cm="1" t="str">
        <f t="array" ref="F98:F98">OFFSET(G98,-1,-1)</f>
        <v>1</v>
      </c>
      <c r="G98" s="190" t="s">
        <v>1723</v>
      </c>
      <c r="H98" s="210" t="s">
        <v>2145</v>
      </c>
      <c r="I98" s="210" t="s">
        <v>2088</v>
      </c>
      <c r="J98" s="1312"/>
      <c r="K98" s="1312" cm="1" t="str">
        <f t="array" ref="K98:K98">OFFSET(J98,-1,1)</f>
        <v>ТЭ.42.26824396.0004</v>
      </c>
      <c r="L98" s="1312"/>
      <c r="M98" s="1312" t="s">
        <v>1724</v>
      </c>
      <c r="N98" s="1312" t="s">
        <v>2091</v>
      </c>
      <c r="O98" s="1313" t="s">
        <v>2092</v>
      </c>
      <c r="P98" s="1312" t="s">
        <v>2146</v>
      </c>
      <c r="Q98" s="1312"/>
      <c r="R98" s="925"/>
      <c r="S98" s="497"/>
      <c r="T98" s="805" cm="1" t="str">
        <f t="array" ref="T98:T98">T97</f>
        <v>false</v>
      </c>
      <c r="U98" s="1461"/>
      <c r="V98" s="1461"/>
      <c r="W98" s="1461"/>
      <c r="X98" s="1461"/>
      <c r="Y98" s="1461"/>
      <c r="Z98" s="1461"/>
      <c r="AA98" s="497"/>
      <c r="AB98" s="273" t="s">
        <v>2147</v>
      </c>
      <c r="AC98" s="169" t="s">
        <v>591</v>
      </c>
      <c r="AD98" s="145">
        <f>IF(method_reg="Метод экономически обоснованных расходов",_xlfn.SUMIFS('Калькуляция (4.6)'!AJ$25:AJ$229,'Калькуляция (4.6)'!$F$25:$F$229,$F98,'Калькуляция (4.6)'!$G$25:$G$229,$G98),IF(method_reg="Метод сравнения аналогов",_xlfn.SUMIFS(INDEX('Калькуляция (МСА)'!$AE$25:$BC$109,,MATCH(AD$8,'Калькуляция (МСА)'!$AE$8:$BC$8,0)),'Калькуляция (МСА)'!$F$25:$F$109,$F98,'Калькуляция (МСА)'!$G$25:$G$109,$G98),_xlfn.SUMIFS(INDEX('Калькуляция (5.9)'!$AJ$25:$BC$192,,MATCH(AD$8,'Калькуляция (5.9)'!$AJ$8:$BC$8,0)),'Калькуляция (5.9)'!$F$25:$F$192,$F98,'Калькуляция (5.9)'!$G$25:$G$192,$G98)))</f>
        <v>1024</v>
      </c>
      <c r="AE98" s="145">
        <f>IF(method_reg="Метод экономически обоснованных расходов",_xlfn.SUMIFS('Калькуляция (4.6)'!AK$25:AK$229,'Калькуляция (4.6)'!$F$25:$F$229,$F98,'Калькуляция (4.6)'!$G$25:$G$229,$G98),IF(method_reg="Метод сравнения аналогов",_xlfn.SUMIFS(INDEX('Калькуляция (МСА)'!$AE$25:$BC$109,,MATCH(AE$8,'Калькуляция (МСА)'!$AE$8:$BC$8,0)),'Калькуляция (МСА)'!$F$25:$F$109,$F98,'Калькуляция (МСА)'!$G$25:$G$109,$G98),_xlfn.SUMIFS(INDEX('Калькуляция (5.9)'!$AJ$25:$BC$192,,MATCH(AE$8,'Калькуляция (5.9)'!$AJ$8:$BC$8,0)),'Калькуляция (5.9)'!$F$25:$F$192,$F98,'Калькуляция (5.9)'!$G$25:$G$192,$G98)))</f>
        <v>1024</v>
      </c>
      <c r="AF98" s="397">
        <f>IF(AD98=0,0,(AE98-AD98)/AD98*100)</f>
        <v>0</v>
      </c>
      <c r="AG98" s="413">
        <f>IF(method_reg="Метод сравнения аналогов",_xlfn.SUMIFS(INDEX('Калькуляция (МСА)'!$AE$25:$BC$109,,MATCH(AG$8,'Калькуляция (МСА)'!$AE$8:$BC$8,0)),'Калькуляция (МСА)'!$F$25:$F$109,$F98,'Калькуляция (МСА)'!$G$25:$G$109,$G98),_xlfn.SUMIFS(INDEX('Калькуляция (5.9)'!$AJ$25:$BC$192,,MATCH(AG$8,'Калькуляция (5.9)'!$AJ$8:$BC$8,0)),'Калькуляция (5.9)'!$F$25:$F$192,$F98,'Калькуляция (5.9)'!$G$25:$G$192,$G98))</f>
        <v>1024</v>
      </c>
      <c r="AH98" s="413">
        <f>IF(method_reg="Метод сравнения аналогов",_xlfn.SUMIFS(INDEX('Калькуляция (МСА)'!$AE$25:$BC$109,,MATCH(AH$8,'Калькуляция (МСА)'!$AE$8:$BC$8,0)),'Калькуляция (МСА)'!$F$25:$F$109,$F98,'Калькуляция (МСА)'!$G$25:$G$109,$G98),_xlfn.SUMIFS(INDEX('Калькуляция (5.9)'!$AJ$25:$BC$192,,MATCH(AH$8,'Калькуляция (5.9)'!$AJ$8:$BC$8,0)),'Калькуляция (5.9)'!$F$25:$F$192,$F98,'Калькуляция (5.9)'!$G$25:$G$192,$G98))</f>
        <v>1024</v>
      </c>
      <c r="AI98" s="397">
        <f>IF(AG98=0,0,(AH98-AG98)/AG98*100)</f>
        <v>0</v>
      </c>
      <c r="AJ98" s="413">
        <f>IF(method_reg="Метод сравнения аналогов",_xlfn.SUMIFS(INDEX('Калькуляция (МСА)'!$AE$25:$BC$109,,MATCH(AJ$8,'Калькуляция (МСА)'!$AE$8:$BC$8,0)),'Калькуляция (МСА)'!$F$25:$F$109,$F98,'Калькуляция (МСА)'!$G$25:$G$109,$G98),_xlfn.SUMIFS(INDEX('Калькуляция (5.9)'!$AJ$25:$BC$192,,MATCH(AJ$8,'Калькуляция (5.9)'!$AJ$8:$BC$8,0)),'Калькуляция (5.9)'!$F$25:$F$192,$F98,'Калькуляция (5.9)'!$G$25:$G$192,$G98))</f>
        <v>1024</v>
      </c>
      <c r="AK98" s="413">
        <f>IF(method_reg="Метод сравнения аналогов",_xlfn.SUMIFS(INDEX('Калькуляция (МСА)'!$AE$25:$BC$109,,MATCH(AK$8,'Калькуляция (МСА)'!$AE$8:$BC$8,0)),'Калькуляция (МСА)'!$F$25:$F$109,$F98,'Калькуляция (МСА)'!$G$25:$G$109,$G98),_xlfn.SUMIFS(INDEX('Калькуляция (5.9)'!$AJ$25:$BC$192,,MATCH(AK$8,'Калькуляция (5.9)'!$AJ$8:$BC$8,0)),'Калькуляция (5.9)'!$F$25:$F$192,$F98,'Калькуляция (5.9)'!$G$25:$G$192,$G98))</f>
        <v>1024</v>
      </c>
      <c r="AL98" s="397">
        <f>IF(AJ98=0,0,(AK98-AJ98)/AJ98*100)</f>
        <v>0</v>
      </c>
      <c r="AM98" s="413">
        <f>IF(method_reg="Метод сравнения аналогов",_xlfn.SUMIFS(INDEX('Калькуляция (МСА)'!$AE$25:$BC$109,,MATCH(AM$8,'Калькуляция (МСА)'!$AE$8:$BC$8,0)),'Калькуляция (МСА)'!$F$25:$F$109,$F98,'Калькуляция (МСА)'!$G$25:$G$109,$G98),_xlfn.SUMIFS(INDEX('Калькуляция (5.9)'!$AJ$25:$BC$192,,MATCH(AM$8,'Калькуляция (5.9)'!$AJ$8:$BC$8,0)),'Калькуляция (5.9)'!$F$25:$F$192,$F98,'Калькуляция (5.9)'!$G$25:$G$192,$G98))</f>
        <v>1024</v>
      </c>
      <c r="AN98" s="413">
        <f>IF(method_reg="Метод сравнения аналогов",_xlfn.SUMIFS(INDEX('Калькуляция (МСА)'!$AE$25:$BC$109,,MATCH(AN$8,'Калькуляция (МСА)'!$AE$8:$BC$8,0)),'Калькуляция (МСА)'!$F$25:$F$109,$F98,'Калькуляция (МСА)'!$G$25:$G$109,$G98),_xlfn.SUMIFS(INDEX('Калькуляция (5.9)'!$AJ$25:$BC$192,,MATCH(AN$8,'Калькуляция (5.9)'!$AJ$8:$BC$8,0)),'Калькуляция (5.9)'!$F$25:$F$192,$F98,'Калькуляция (5.9)'!$G$25:$G$192,$G98))</f>
        <v>1024</v>
      </c>
      <c r="AO98" s="397">
        <f>IF(AM98=0,0,(AN98-AM98)/AM98*100)</f>
        <v>0</v>
      </c>
      <c r="AP98" s="413">
        <f>IF(method_reg="Метод сравнения аналогов",_xlfn.SUMIFS(INDEX('Калькуляция (МСА)'!$AE$25:$BC$109,,MATCH(AP$8,'Калькуляция (МСА)'!$AE$8:$BC$8,0)),'Калькуляция (МСА)'!$F$25:$F$109,$F98,'Калькуляция (МСА)'!$G$25:$G$109,$G98),_xlfn.SUMIFS(INDEX('Калькуляция (5.9)'!$AJ$25:$BC$192,,MATCH(AP$8,'Калькуляция (5.9)'!$AJ$8:$BC$8,0)),'Калькуляция (5.9)'!$F$25:$F$192,$F98,'Калькуляция (5.9)'!$G$25:$G$192,$G98))</f>
        <v>1024</v>
      </c>
      <c r="AQ98" s="413">
        <f>IF(method_reg="Метод сравнения аналогов",_xlfn.SUMIFS(INDEX('Калькуляция (МСА)'!$AE$25:$BC$109,,MATCH(AQ$8,'Калькуляция (МСА)'!$AE$8:$BC$8,0)),'Калькуляция (МСА)'!$F$25:$F$109,$F98,'Калькуляция (МСА)'!$G$25:$G$109,$G98),_xlfn.SUMIFS(INDEX('Калькуляция (5.9)'!$AJ$25:$BC$192,,MATCH(AQ$8,'Калькуляция (5.9)'!$AJ$8:$BC$8,0)),'Калькуляция (5.9)'!$F$25:$F$192,$F98,'Калькуляция (5.9)'!$G$25:$G$192,$G98))</f>
        <v>1024</v>
      </c>
      <c r="AR98" s="397">
        <f>IF(AP98=0,0,(AQ98-AP98)/AP98*100)</f>
        <v>0</v>
      </c>
      <c r="AS98" s="145">
        <f>IF(method_reg="Метод сравнения аналогов",_xlfn.SUMIFS(INDEX('Калькуляция (МСА)'!$AE$25:$BC$109,,MATCH(AS$8,'Калькуляция (МСА)'!$AE$8:$BC$8,0)),'Калькуляция (МСА)'!$F$25:$F$109,$F98,'Калькуляция (МСА)'!$G$25:$G$109,$G98),_xlfn.SUMIFS(INDEX('Калькуляция (5.9)'!$AJ$25:$BC$192,,MATCH(AS$8,'Калькуляция (5.9)'!$AJ$8:$BC$8,0)),'Калькуляция (5.9)'!$F$25:$F$192,$F98,'Калькуляция (5.9)'!$G$25:$G$192,$G98))</f>
        <v>0</v>
      </c>
      <c r="AT98" s="145">
        <f>IF(method_reg="Метод сравнения аналогов",_xlfn.SUMIFS(INDEX('Калькуляция (МСА)'!$AE$25:$BC$109,,MATCH(AT$8,'Калькуляция (МСА)'!$AE$8:$BC$8,0)),'Калькуляция (МСА)'!$F$25:$F$109,$F98,'Калькуляция (МСА)'!$G$25:$G$109,$G98),_xlfn.SUMIFS(INDEX('Калькуляция (5.9)'!$AJ$25:$BC$192,,MATCH(AT$8,'Калькуляция (5.9)'!$AJ$8:$BC$8,0)),'Калькуляция (5.9)'!$F$25:$F$192,$F98,'Калькуляция (5.9)'!$G$25:$G$192,$G98))</f>
        <v>0</v>
      </c>
      <c r="AU98" s="397">
        <f>IF(AS98=0,0,(AT98-AS98)/AS98*100)</f>
        <v>0</v>
      </c>
      <c r="AV98" s="145">
        <f>IF(method_reg="Метод сравнения аналогов",_xlfn.SUMIFS(INDEX('Калькуляция (МСА)'!$AE$25:$BC$109,,MATCH(AV$8,'Калькуляция (МСА)'!$AE$8:$BC$8,0)),'Калькуляция (МСА)'!$F$25:$F$109,$F98,'Калькуляция (МСА)'!$G$25:$G$109,$G98),_xlfn.SUMIFS(INDEX('Калькуляция (5.9)'!$AJ$25:$BC$192,,MATCH(AV$8,'Калькуляция (5.9)'!$AJ$8:$BC$8,0)),'Калькуляция (5.9)'!$F$25:$F$192,$F98,'Калькуляция (5.9)'!$G$25:$G$192,$G98))</f>
        <v>0</v>
      </c>
      <c r="AW98" s="145">
        <f>IF(method_reg="Метод сравнения аналогов",_xlfn.SUMIFS(INDEX('Калькуляция (МСА)'!$AE$25:$BC$109,,MATCH(AW$8,'Калькуляция (МСА)'!$AE$8:$BC$8,0)),'Калькуляция (МСА)'!$F$25:$F$109,$F98,'Калькуляция (МСА)'!$G$25:$G$109,$G98),_xlfn.SUMIFS(INDEX('Калькуляция (5.9)'!$AJ$25:$BC$192,,MATCH(AW$8,'Калькуляция (5.9)'!$AJ$8:$BC$8,0)),'Калькуляция (5.9)'!$F$25:$F$192,$F98,'Калькуляция (5.9)'!$G$25:$G$192,$G98))</f>
        <v>0</v>
      </c>
      <c r="AX98" s="397">
        <f>IF(AV98=0,0,(AW98-AV98)/AV98*100)</f>
        <v>0</v>
      </c>
      <c r="AY98" s="145">
        <f>IF(method_reg="Метод сравнения аналогов",_xlfn.SUMIFS(INDEX('Калькуляция (МСА)'!$AE$25:$BC$109,,MATCH(AY$8,'Калькуляция (МСА)'!$AE$8:$BC$8,0)),'Калькуляция (МСА)'!$F$25:$F$109,$F98,'Калькуляция (МСА)'!$G$25:$G$109,$G98),_xlfn.SUMIFS(INDEX('Калькуляция (5.9)'!$AJ$25:$BC$192,,MATCH(AY$8,'Калькуляция (5.9)'!$AJ$8:$BC$8,0)),'Калькуляция (5.9)'!$F$25:$F$192,$F98,'Калькуляция (5.9)'!$G$25:$G$192,$G98))</f>
        <v>0</v>
      </c>
      <c r="AZ98" s="145">
        <f>IF(method_reg="Метод сравнения аналогов",_xlfn.SUMIFS(INDEX('Калькуляция (МСА)'!$AE$25:$BC$109,,MATCH(AZ$8,'Калькуляция (МСА)'!$AE$8:$BC$8,0)),'Калькуляция (МСА)'!$F$25:$F$109,$F98,'Калькуляция (МСА)'!$G$25:$G$109,$G98),_xlfn.SUMIFS(INDEX('Калькуляция (5.9)'!$AJ$25:$BC$192,,MATCH(AZ$8,'Калькуляция (5.9)'!$AJ$8:$BC$8,0)),'Калькуляция (5.9)'!$F$25:$F$192,$F98,'Калькуляция (5.9)'!$G$25:$G$192,$G98))</f>
        <v>0</v>
      </c>
      <c r="BA98" s="397">
        <f>IF(AY98=0,0,(AZ98-AY98)/AY98*100)</f>
        <v>0</v>
      </c>
      <c r="BB98" s="145">
        <f>IF(method_reg="Метод сравнения аналогов",_xlfn.SUMIFS(INDEX('Калькуляция (МСА)'!$AE$25:$BC$109,,MATCH(BB$8,'Калькуляция (МСА)'!$AE$8:$BC$8,0)),'Калькуляция (МСА)'!$F$25:$F$109,$F98,'Калькуляция (МСА)'!$G$25:$G$109,$G98),_xlfn.SUMIFS(INDEX('Калькуляция (5.9)'!$AJ$25:$BC$192,,MATCH(BB$8,'Калькуляция (5.9)'!$AJ$8:$BC$8,0)),'Калькуляция (5.9)'!$F$25:$F$192,$F98,'Калькуляция (5.9)'!$G$25:$G$192,$G98))</f>
        <v>0</v>
      </c>
      <c r="BC98" s="145">
        <f>IF(method_reg="Метод сравнения аналогов",_xlfn.SUMIFS(INDEX('Калькуляция (МСА)'!$AE$25:$BC$109,,MATCH(BC$8,'Калькуляция (МСА)'!$AE$8:$BC$8,0)),'Калькуляция (МСА)'!$F$25:$F$109,$F98,'Калькуляция (МСА)'!$G$25:$G$109,$G98),_xlfn.SUMIFS(INDEX('Калькуляция (5.9)'!$AJ$25:$BC$192,,MATCH(BC$8,'Калькуляция (5.9)'!$AJ$8:$BC$8,0)),'Калькуляция (5.9)'!$F$25:$F$192,$F98,'Калькуляция (5.9)'!$G$25:$G$192,$G98))</f>
        <v>0</v>
      </c>
      <c r="BD98" s="397">
        <f>IF(BB98=0,0,(BC98-BB98)/BB98*100)</f>
        <v>0</v>
      </c>
      <c r="BE98" s="145">
        <f>IF(method_reg="Метод сравнения аналогов",_xlfn.SUMIFS(INDEX('Калькуляция (МСА)'!$AE$25:$BC$109,,MATCH(BE$8,'Калькуляция (МСА)'!$AE$8:$BC$8,0)),'Калькуляция (МСА)'!$F$25:$F$109,$F98,'Калькуляция (МСА)'!$G$25:$G$109,$G98),_xlfn.SUMIFS(INDEX('Калькуляция (5.9)'!$AJ$25:$BC$192,,MATCH(BE$8,'Калькуляция (5.9)'!$AJ$8:$BC$8,0)),'Калькуляция (5.9)'!$F$25:$F$192,$F98,'Калькуляция (5.9)'!$G$25:$G$192,$G98))</f>
        <v>0</v>
      </c>
      <c r="BF98" s="145">
        <f>IF(method_reg="Метод сравнения аналогов",_xlfn.SUMIFS(INDEX('Калькуляция (МСА)'!$AE$25:$BC$109,,MATCH(BF$8,'Калькуляция (МСА)'!$AE$8:$BC$8,0)),'Калькуляция (МСА)'!$F$25:$F$109,$F98,'Калькуляция (МСА)'!$G$25:$G$109,$G98),_xlfn.SUMIFS(INDEX('Калькуляция (5.9)'!$AJ$25:$BC$192,,MATCH(BF$8,'Калькуляция (5.9)'!$AJ$8:$BC$8,0)),'Калькуляция (5.9)'!$F$25:$F$192,$F98,'Калькуляция (5.9)'!$G$25:$G$192,$G98))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2148</v>
      </c>
      <c r="GA98" s="1181"/>
      <c r="GB98" s="1181"/>
      <c r="GC98" s="1181"/>
      <c r="GD98" s="1181"/>
    </row>
    <row s="1619" customFormat="1" customHeight="1" ht="30" hidden="1">
      <c r="A99" s="1461"/>
      <c r="B99" s="961" cm="1" t="str">
        <f t="array" ref="B99:B99">B98</f>
        <v>false</v>
      </c>
      <c r="C99" s="1322" t="s">
        <v>1775</v>
      </c>
      <c r="D99" s="1291" t="s">
        <v>1776</v>
      </c>
      <c r="E99" s="794">
        <v>31.5</v>
      </c>
      <c r="F99" s="919" cm="1" t="str">
        <f t="array" ref="F99:F99">OFFSET(G99,-1,-1)</f>
        <v>1</v>
      </c>
      <c r="G99" s="736" t="s">
        <v>1777</v>
      </c>
      <c r="H99" s="210" t="s">
        <v>2149</v>
      </c>
      <c r="I99" s="210" t="s">
        <v>2088</v>
      </c>
      <c r="J99" s="1312"/>
      <c r="K99" s="1312" cm="1" t="str">
        <f t="array" ref="K99:K99">OFFSET(J99,-1,1)</f>
        <v>ТЭ.42.26824396.0004</v>
      </c>
      <c r="L99" s="1312"/>
      <c r="M99" s="1312" t="s">
        <v>1724</v>
      </c>
      <c r="N99" s="1312" t="s">
        <v>2091</v>
      </c>
      <c r="O99" s="1313" t="s">
        <v>2092</v>
      </c>
      <c r="P99" s="1312" t="s">
        <v>2150</v>
      </c>
      <c r="Q99" s="1312"/>
      <c r="R99" s="925"/>
      <c r="S99" s="497"/>
      <c r="T99" s="805" cm="1" t="str">
        <f t="array" ref="T99:T99">T98</f>
        <v>false</v>
      </c>
      <c r="U99" s="1461"/>
      <c r="V99" s="1461"/>
      <c r="W99" s="1461"/>
      <c r="X99" s="1461"/>
      <c r="Y99" s="1461"/>
      <c r="Z99" s="1461"/>
      <c r="AA99" s="497"/>
      <c r="AB99" s="273" t="s">
        <v>2151</v>
      </c>
      <c r="AC99" s="517" t="s">
        <v>1779</v>
      </c>
      <c r="AD99" s="66">
        <f>IF(method_reg="Метод экономически обоснованных расходов",_xlfn.SUMIFS('Калькуляция (4.6)'!AJ$25:AJ$229,'Калькуляция (4.6)'!$F$25:$F$229,$F99,'Калькуляция (4.6)'!$G$25:$G$229,$G99),IF(method_reg="Метод сравнения аналогов",_xlfn.SUMIFS(INDEX('Калькуляция (МСА)'!$AE$25:$BC$109,,MATCH(AD$8,'Калькуляция (МСА)'!$AE$8:$BC$8,0)),'Калькуляция (МСА)'!$F$25:$F$109,$F99,'Калькуляция (МСА)'!$G$25:$G$109,$G99),_xlfn.SUMIFS(INDEX('Калькуляция (5.9)'!$AJ$25:$BC$192,,MATCH(AD$8,'Калькуляция (5.9)'!$AJ$8:$BC$8,0)),'Калькуляция (5.9)'!$F$25:$F$192,$F99,'Калькуляция (5.9)'!$G$25:$G$192,$G99)))</f>
        <v>0</v>
      </c>
      <c r="AE99" s="66">
        <f>IF(method_reg="Метод экономически обоснованных расходов",_xlfn.SUMIFS('Калькуляция (4.6)'!AK$25:AK$229,'Калькуляция (4.6)'!$F$25:$F$229,$F99,'Калькуляция (4.6)'!$G$25:$G$229,$G99),IF(method_reg="Метод сравнения аналогов",_xlfn.SUMIFS(INDEX('Калькуляция (МСА)'!$AE$25:$BC$109,,MATCH(AE$8,'Калькуляция (МСА)'!$AE$8:$BC$8,0)),'Калькуляция (МСА)'!$F$25:$F$109,$F99,'Калькуляция (МСА)'!$G$25:$G$109,$G99),_xlfn.SUMIFS(INDEX('Калькуляция (5.9)'!$AJ$25:$BC$192,,MATCH(AE$8,'Калькуляция (5.9)'!$AJ$8:$BC$8,0)),'Калькуляция (5.9)'!$F$25:$F$192,$F99,'Калькуляция (5.9)'!$G$25:$G$192,$G99)))</f>
        <v>0</v>
      </c>
      <c r="AF99" s="365">
        <f>IF(AD99=0,0,(AE99-AD99)/AD99*100)</f>
        <v>0</v>
      </c>
      <c r="AG99" s="366">
        <f>IF(method_reg="Метод сравнения аналогов",_xlfn.SUMIFS(INDEX('Калькуляция (МСА)'!$AE$25:$BC$109,,MATCH(AG$8,'Калькуляция (МСА)'!$AE$8:$BC$8,0)),'Калькуляция (МСА)'!$F$25:$F$109,$F99,'Калькуляция (МСА)'!$G$25:$G$109,$G99),_xlfn.SUMIFS(INDEX('Калькуляция (5.9)'!$AJ$25:$BC$192,,MATCH(AG$8,'Калькуляция (5.9)'!$AJ$8:$BC$8,0)),'Калькуляция (5.9)'!$F$25:$F$192,$F99,'Калькуляция (5.9)'!$G$25:$G$192,$G99))</f>
        <v>0</v>
      </c>
      <c r="AH99" s="366">
        <f>IF(method_reg="Метод сравнения аналогов",_xlfn.SUMIFS(INDEX('Калькуляция (МСА)'!$AE$25:$BC$109,,MATCH(AH$8,'Калькуляция (МСА)'!$AE$8:$BC$8,0)),'Калькуляция (МСА)'!$F$25:$F$109,$F99,'Калькуляция (МСА)'!$G$25:$G$109,$G99),_xlfn.SUMIFS(INDEX('Калькуляция (5.9)'!$AJ$25:$BC$192,,MATCH(AH$8,'Калькуляция (5.9)'!$AJ$8:$BC$8,0)),'Калькуляция (5.9)'!$F$25:$F$192,$F99,'Калькуляция (5.9)'!$G$25:$G$192,$G99))</f>
        <v>0</v>
      </c>
      <c r="AI99" s="365">
        <f>IF(AG99=0,0,(AH99-AG99)/AG99*100)</f>
        <v>0</v>
      </c>
      <c r="AJ99" s="366">
        <f>IF(method_reg="Метод сравнения аналогов",_xlfn.SUMIFS(INDEX('Калькуляция (МСА)'!$AE$25:$BC$109,,MATCH(AJ$8,'Калькуляция (МСА)'!$AE$8:$BC$8,0)),'Калькуляция (МСА)'!$F$25:$F$109,$F99,'Калькуляция (МСА)'!$G$25:$G$109,$G99),_xlfn.SUMIFS(INDEX('Калькуляция (5.9)'!$AJ$25:$BC$192,,MATCH(AJ$8,'Калькуляция (5.9)'!$AJ$8:$BC$8,0)),'Калькуляция (5.9)'!$F$25:$F$192,$F99,'Калькуляция (5.9)'!$G$25:$G$192,$G99))</f>
        <v>0</v>
      </c>
      <c r="AK99" s="366">
        <f>IF(method_reg="Метод сравнения аналогов",_xlfn.SUMIFS(INDEX('Калькуляция (МСА)'!$AE$25:$BC$109,,MATCH(AK$8,'Калькуляция (МСА)'!$AE$8:$BC$8,0)),'Калькуляция (МСА)'!$F$25:$F$109,$F99,'Калькуляция (МСА)'!$G$25:$G$109,$G99),_xlfn.SUMIFS(INDEX('Калькуляция (5.9)'!$AJ$25:$BC$192,,MATCH(AK$8,'Калькуляция (5.9)'!$AJ$8:$BC$8,0)),'Калькуляция (5.9)'!$F$25:$F$192,$F99,'Калькуляция (5.9)'!$G$25:$G$192,$G99))</f>
        <v>0</v>
      </c>
      <c r="AL99" s="365">
        <f>IF(AJ99=0,0,(AK99-AJ99)/AJ99*100)</f>
        <v>0</v>
      </c>
      <c r="AM99" s="366">
        <f>IF(method_reg="Метод сравнения аналогов",_xlfn.SUMIFS(INDEX('Калькуляция (МСА)'!$AE$25:$BC$109,,MATCH(AM$8,'Калькуляция (МСА)'!$AE$8:$BC$8,0)),'Калькуляция (МСА)'!$F$25:$F$109,$F99,'Калькуляция (МСА)'!$G$25:$G$109,$G99),_xlfn.SUMIFS(INDEX('Калькуляция (5.9)'!$AJ$25:$BC$192,,MATCH(AM$8,'Калькуляция (5.9)'!$AJ$8:$BC$8,0)),'Калькуляция (5.9)'!$F$25:$F$192,$F99,'Калькуляция (5.9)'!$G$25:$G$192,$G99))</f>
        <v>0</v>
      </c>
      <c r="AN99" s="366">
        <f>IF(method_reg="Метод сравнения аналогов",_xlfn.SUMIFS(INDEX('Калькуляция (МСА)'!$AE$25:$BC$109,,MATCH(AN$8,'Калькуляция (МСА)'!$AE$8:$BC$8,0)),'Калькуляция (МСА)'!$F$25:$F$109,$F99,'Калькуляция (МСА)'!$G$25:$G$109,$G99),_xlfn.SUMIFS(INDEX('Калькуляция (5.9)'!$AJ$25:$BC$192,,MATCH(AN$8,'Калькуляция (5.9)'!$AJ$8:$BC$8,0)),'Калькуляция (5.9)'!$F$25:$F$192,$F99,'Калькуляция (5.9)'!$G$25:$G$192,$G99))</f>
        <v>0</v>
      </c>
      <c r="AO99" s="365">
        <f>IF(AM99=0,0,(AN99-AM99)/AM99*100)</f>
        <v>0</v>
      </c>
      <c r="AP99" s="366">
        <f>IF(method_reg="Метод сравнения аналогов",_xlfn.SUMIFS(INDEX('Калькуляция (МСА)'!$AE$25:$BC$109,,MATCH(AP$8,'Калькуляция (МСА)'!$AE$8:$BC$8,0)),'Калькуляция (МСА)'!$F$25:$F$109,$F99,'Калькуляция (МСА)'!$G$25:$G$109,$G99),_xlfn.SUMIFS(INDEX('Калькуляция (5.9)'!$AJ$25:$BC$192,,MATCH(AP$8,'Калькуляция (5.9)'!$AJ$8:$BC$8,0)),'Калькуляция (5.9)'!$F$25:$F$192,$F99,'Калькуляция (5.9)'!$G$25:$G$192,$G99))</f>
        <v>0</v>
      </c>
      <c r="AQ99" s="366">
        <f>IF(method_reg="Метод сравнения аналогов",_xlfn.SUMIFS(INDEX('Калькуляция (МСА)'!$AE$25:$BC$109,,MATCH(AQ$8,'Калькуляция (МСА)'!$AE$8:$BC$8,0)),'Калькуляция (МСА)'!$F$25:$F$109,$F99,'Калькуляция (МСА)'!$G$25:$G$109,$G99),_xlfn.SUMIFS(INDEX('Калькуляция (5.9)'!$AJ$25:$BC$192,,MATCH(AQ$8,'Калькуляция (5.9)'!$AJ$8:$BC$8,0)),'Калькуляция (5.9)'!$F$25:$F$192,$F99,'Калькуляция (5.9)'!$G$25:$G$192,$G99))</f>
        <v>0</v>
      </c>
      <c r="AR99" s="365">
        <f>IF(AP99=0,0,(AQ99-AP99)/AP99*100)</f>
        <v>0</v>
      </c>
      <c r="AS99" s="66">
        <f>IF(method_reg="Метод сравнения аналогов",_xlfn.SUMIFS(INDEX('Калькуляция (МСА)'!$AE$25:$BC$109,,MATCH(AS$8,'Калькуляция (МСА)'!$AE$8:$BC$8,0)),'Калькуляция (МСА)'!$F$25:$F$109,$F99,'Калькуляция (МСА)'!$G$25:$G$109,$G99),_xlfn.SUMIFS(INDEX('Калькуляция (5.9)'!$AJ$25:$BC$192,,MATCH(AS$8,'Калькуляция (5.9)'!$AJ$8:$BC$8,0)),'Калькуляция (5.9)'!$F$25:$F$192,$F99,'Калькуляция (5.9)'!$G$25:$G$192,$G99))</f>
        <v>0</v>
      </c>
      <c r="AT99" s="66">
        <f>IF(method_reg="Метод сравнения аналогов",_xlfn.SUMIFS(INDEX('Калькуляция (МСА)'!$AE$25:$BC$109,,MATCH(AT$8,'Калькуляция (МСА)'!$AE$8:$BC$8,0)),'Калькуляция (МСА)'!$F$25:$F$109,$F99,'Калькуляция (МСА)'!$G$25:$G$109,$G99),_xlfn.SUMIFS(INDEX('Калькуляция (5.9)'!$AJ$25:$BC$192,,MATCH(AT$8,'Калькуляция (5.9)'!$AJ$8:$BC$8,0)),'Калькуляция (5.9)'!$F$25:$F$192,$F99,'Калькуляция (5.9)'!$G$25:$G$192,$G99))</f>
        <v>0</v>
      </c>
      <c r="AU99" s="365">
        <f>IF(AS99=0,0,(AT99-AS99)/AS99*100)</f>
        <v>0</v>
      </c>
      <c r="AV99" s="66">
        <f>IF(method_reg="Метод сравнения аналогов",_xlfn.SUMIFS(INDEX('Калькуляция (МСА)'!$AE$25:$BC$109,,MATCH(AV$8,'Калькуляция (МСА)'!$AE$8:$BC$8,0)),'Калькуляция (МСА)'!$F$25:$F$109,$F99,'Калькуляция (МСА)'!$G$25:$G$109,$G99),_xlfn.SUMIFS(INDEX('Калькуляция (5.9)'!$AJ$25:$BC$192,,MATCH(AV$8,'Калькуляция (5.9)'!$AJ$8:$BC$8,0)),'Калькуляция (5.9)'!$F$25:$F$192,$F99,'Калькуляция (5.9)'!$G$25:$G$192,$G99))</f>
        <v>0</v>
      </c>
      <c r="AW99" s="66">
        <f>IF(method_reg="Метод сравнения аналогов",_xlfn.SUMIFS(INDEX('Калькуляция (МСА)'!$AE$25:$BC$109,,MATCH(AW$8,'Калькуляция (МСА)'!$AE$8:$BC$8,0)),'Калькуляция (МСА)'!$F$25:$F$109,$F99,'Калькуляция (МСА)'!$G$25:$G$109,$G99),_xlfn.SUMIFS(INDEX('Калькуляция (5.9)'!$AJ$25:$BC$192,,MATCH(AW$8,'Калькуляция (5.9)'!$AJ$8:$BC$8,0)),'Калькуляция (5.9)'!$F$25:$F$192,$F99,'Калькуляция (5.9)'!$G$25:$G$192,$G99))</f>
        <v>0</v>
      </c>
      <c r="AX99" s="365">
        <f>IF(AV99=0,0,(AW99-AV99)/AV99*100)</f>
        <v>0</v>
      </c>
      <c r="AY99" s="66">
        <f>IF(method_reg="Метод сравнения аналогов",_xlfn.SUMIFS(INDEX('Калькуляция (МСА)'!$AE$25:$BC$109,,MATCH(AY$8,'Калькуляция (МСА)'!$AE$8:$BC$8,0)),'Калькуляция (МСА)'!$F$25:$F$109,$F99,'Калькуляция (МСА)'!$G$25:$G$109,$G99),_xlfn.SUMIFS(INDEX('Калькуляция (5.9)'!$AJ$25:$BC$192,,MATCH(AY$8,'Калькуляция (5.9)'!$AJ$8:$BC$8,0)),'Калькуляция (5.9)'!$F$25:$F$192,$F99,'Калькуляция (5.9)'!$G$25:$G$192,$G99))</f>
        <v>0</v>
      </c>
      <c r="AZ99" s="66">
        <f>IF(method_reg="Метод сравнения аналогов",_xlfn.SUMIFS(INDEX('Калькуляция (МСА)'!$AE$25:$BC$109,,MATCH(AZ$8,'Калькуляция (МСА)'!$AE$8:$BC$8,0)),'Калькуляция (МСА)'!$F$25:$F$109,$F99,'Калькуляция (МСА)'!$G$25:$G$109,$G99),_xlfn.SUMIFS(INDEX('Калькуляция (5.9)'!$AJ$25:$BC$192,,MATCH(AZ$8,'Калькуляция (5.9)'!$AJ$8:$BC$8,0)),'Калькуляция (5.9)'!$F$25:$F$192,$F99,'Калькуляция (5.9)'!$G$25:$G$192,$G99))</f>
        <v>0</v>
      </c>
      <c r="BA99" s="365">
        <f>IF(AY99=0,0,(AZ99-AY99)/AY99*100)</f>
        <v>0</v>
      </c>
      <c r="BB99" s="66">
        <f>IF(method_reg="Метод сравнения аналогов",_xlfn.SUMIFS(INDEX('Калькуляция (МСА)'!$AE$25:$BC$109,,MATCH(BB$8,'Калькуляция (МСА)'!$AE$8:$BC$8,0)),'Калькуляция (МСА)'!$F$25:$F$109,$F99,'Калькуляция (МСА)'!$G$25:$G$109,$G99),_xlfn.SUMIFS(INDEX('Калькуляция (5.9)'!$AJ$25:$BC$192,,MATCH(BB$8,'Калькуляция (5.9)'!$AJ$8:$BC$8,0)),'Калькуляция (5.9)'!$F$25:$F$192,$F99,'Калькуляция (5.9)'!$G$25:$G$192,$G99))</f>
        <v>0</v>
      </c>
      <c r="BC99" s="66">
        <f>IF(method_reg="Метод сравнения аналогов",_xlfn.SUMIFS(INDEX('Калькуляция (МСА)'!$AE$25:$BC$109,,MATCH(BC$8,'Калькуляция (МСА)'!$AE$8:$BC$8,0)),'Калькуляция (МСА)'!$F$25:$F$109,$F99,'Калькуляция (МСА)'!$G$25:$G$109,$G99),_xlfn.SUMIFS(INDEX('Калькуляция (5.9)'!$AJ$25:$BC$192,,MATCH(BC$8,'Калькуляция (5.9)'!$AJ$8:$BC$8,0)),'Калькуляция (5.9)'!$F$25:$F$192,$F99,'Калькуляция (5.9)'!$G$25:$G$192,$G99))</f>
        <v>0</v>
      </c>
      <c r="BD99" s="365">
        <f>IF(BB99=0,0,(BC99-BB99)/BB99*100)</f>
        <v>0</v>
      </c>
      <c r="BE99" s="66">
        <f>IF(method_reg="Метод сравнения аналогов",_xlfn.SUMIFS(INDEX('Калькуляция (МСА)'!$AE$25:$BC$109,,MATCH(BE$8,'Калькуляция (МСА)'!$AE$8:$BC$8,0)),'Калькуляция (МСА)'!$F$25:$F$109,$F99,'Калькуляция (МСА)'!$G$25:$G$109,$G99),_xlfn.SUMIFS(INDEX('Калькуляция (5.9)'!$AJ$25:$BC$192,,MATCH(BE$8,'Калькуляция (5.9)'!$AJ$8:$BC$8,0)),'Калькуляция (5.9)'!$F$25:$F$192,$F99,'Калькуляция (5.9)'!$G$25:$G$192,$G99))</f>
        <v>0</v>
      </c>
      <c r="BF99" s="66">
        <f>IF(method_reg="Метод сравнения аналогов",_xlfn.SUMIFS(INDEX('Калькуляция (МСА)'!$AE$25:$BC$109,,MATCH(BF$8,'Калькуляция (МСА)'!$AE$8:$BC$8,0)),'Калькуляция (МСА)'!$F$25:$F$109,$F99,'Калькуляция (МСА)'!$G$25:$G$109,$G99),_xlfn.SUMIFS(INDEX('Калькуляция (5.9)'!$AJ$25:$BC$192,,MATCH(BF$8,'Калькуляция (5.9)'!$AJ$8:$BC$8,0)),'Калькуляция (5.9)'!$F$25:$F$192,$F99,'Калькуляция (5.9)'!$G$25:$G$192,$G99))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2152</v>
      </c>
      <c r="GA99" s="1181"/>
      <c r="GB99" s="1181"/>
      <c r="GC99" s="1181"/>
      <c r="GD99" s="1181"/>
    </row>
    <row s="1619" customFormat="1" customHeight="1" ht="15" hidden="1">
      <c r="A100" s="1461"/>
      <c r="B100" s="961" cm="1" t="str">
        <f t="array" ref="B100:B100">B99</f>
        <v>false</v>
      </c>
      <c r="C100" s="1322" t="s">
        <v>1747</v>
      </c>
      <c r="D100" s="1291" t="s">
        <v>1748</v>
      </c>
      <c r="E100" s="794">
        <v>15.8</v>
      </c>
      <c r="F100" s="919" cm="1" t="str">
        <f t="array" ref="F100:F100">OFFSET(G100,-1,-1)</f>
        <v>1</v>
      </c>
      <c r="G100" s="736" t="s">
        <v>1751</v>
      </c>
      <c r="H100" s="210" t="s">
        <v>2153</v>
      </c>
      <c r="I100" s="210" t="s">
        <v>2088</v>
      </c>
      <c r="J100" s="1312"/>
      <c r="K100" s="1312" cm="1" t="str">
        <f t="array" ref="K100:K100">OFFSET(J100,-1,1)</f>
        <v>ТЭ.42.26824396.0004</v>
      </c>
      <c r="L100" s="1312"/>
      <c r="M100" s="1312" t="s">
        <v>1724</v>
      </c>
      <c r="N100" s="1312" t="s">
        <v>2091</v>
      </c>
      <c r="O100" s="1313" t="s">
        <v>2092</v>
      </c>
      <c r="P100" s="1312" t="s">
        <v>2154</v>
      </c>
      <c r="Q100" s="1312"/>
      <c r="R100" s="925"/>
      <c r="S100" s="497"/>
      <c r="T100" s="805" cm="1" t="str">
        <f t="array" ref="T100:T100">T99</f>
        <v>false</v>
      </c>
      <c r="U100" s="1461"/>
      <c r="V100" s="1461"/>
      <c r="W100" s="1461"/>
      <c r="X100" s="1461"/>
      <c r="Y100" s="1461"/>
      <c r="Z100" s="1461"/>
      <c r="AA100" s="497"/>
      <c r="AB100" s="273" t="s">
        <v>2155</v>
      </c>
      <c r="AC100" s="664" t="s">
        <v>690</v>
      </c>
      <c r="AD100" s="66">
        <f>IF(method_reg="Метод экономически обоснованных расходов",_xlfn.SUMIFS('Калькуляция (4.6)'!AJ$25:AJ$229,'Калькуляция (4.6)'!$F$25:$F$229,$F100,'Калькуляция (4.6)'!$G$25:$G$229,$G100),IF(method_reg="Метод сравнения аналогов",_xlfn.SUMIFS(INDEX('Калькуляция (МСА)'!$AE$25:$BC$109,,MATCH(AD$8,'Калькуляция (МСА)'!$AE$8:$BC$8,0)),'Калькуляция (МСА)'!$F$25:$F$109,$F100,'Калькуляция (МСА)'!$G$25:$G$109,$G100),_xlfn.SUMIFS(INDEX('Калькуляция (5.9)'!$AJ$25:$BC$192,,MATCH(AD$8,'Калькуляция (5.9)'!$AJ$8:$BC$8,0)),'Калькуляция (5.9)'!$F$25:$F$192,$F100,'Калькуляция (5.9)'!$G$25:$G$192,$G100)))</f>
        <v>0</v>
      </c>
      <c r="AE100" s="66">
        <f>IF(method_reg="Метод экономически обоснованных расходов",_xlfn.SUMIFS('Калькуляция (4.6)'!AK$25:AK$229,'Калькуляция (4.6)'!$F$25:$F$229,$F100,'Калькуляция (4.6)'!$G$25:$G$229,$G100),IF(method_reg="Метод сравнения аналогов",_xlfn.SUMIFS(INDEX('Калькуляция (МСА)'!$AE$25:$BC$109,,MATCH(AE$8,'Калькуляция (МСА)'!$AE$8:$BC$8,0)),'Калькуляция (МСА)'!$F$25:$F$109,$F100,'Калькуляция (МСА)'!$G$25:$G$109,$G100),_xlfn.SUMIFS(INDEX('Калькуляция (5.9)'!$AJ$25:$BC$192,,MATCH(AE$8,'Калькуляция (5.9)'!$AJ$8:$BC$8,0)),'Калькуляция (5.9)'!$F$25:$F$192,$F100,'Калькуляция (5.9)'!$G$25:$G$192,$G100)))</f>
        <v>0</v>
      </c>
      <c r="AF100" s="365">
        <f>IF(AD100=0,0,(AE100-AD100)/AD100*100)</f>
        <v>0</v>
      </c>
      <c r="AG100" s="366">
        <f>IF(method_reg="Метод сравнения аналогов",_xlfn.SUMIFS(INDEX('Калькуляция (МСА)'!$AE$25:$BC$109,,MATCH(AG$8,'Калькуляция (МСА)'!$AE$8:$BC$8,0)),'Калькуляция (МСА)'!$F$25:$F$109,$F100,'Калькуляция (МСА)'!$G$25:$G$109,$G100),_xlfn.SUMIFS(INDEX('Калькуляция (5.9)'!$AJ$25:$BC$192,,MATCH(AG$8,'Калькуляция (5.9)'!$AJ$8:$BC$8,0)),'Калькуляция (5.9)'!$F$25:$F$192,$F100,'Калькуляция (5.9)'!$G$25:$G$192,$G100))</f>
        <v>0</v>
      </c>
      <c r="AH100" s="366">
        <f>IF(method_reg="Метод сравнения аналогов",_xlfn.SUMIFS(INDEX('Калькуляция (МСА)'!$AE$25:$BC$109,,MATCH(AH$8,'Калькуляция (МСА)'!$AE$8:$BC$8,0)),'Калькуляция (МСА)'!$F$25:$F$109,$F100,'Калькуляция (МСА)'!$G$25:$G$109,$G100),_xlfn.SUMIFS(INDEX('Калькуляция (5.9)'!$AJ$25:$BC$192,,MATCH(AH$8,'Калькуляция (5.9)'!$AJ$8:$BC$8,0)),'Калькуляция (5.9)'!$F$25:$F$192,$F100,'Калькуляция (5.9)'!$G$25:$G$192,$G100))</f>
        <v>0</v>
      </c>
      <c r="AI100" s="365">
        <f>IF(AG100=0,0,(AH100-AG100)/AG100*100)</f>
        <v>0</v>
      </c>
      <c r="AJ100" s="366">
        <f>IF(method_reg="Метод сравнения аналогов",_xlfn.SUMIFS(INDEX('Калькуляция (МСА)'!$AE$25:$BC$109,,MATCH(AJ$8,'Калькуляция (МСА)'!$AE$8:$BC$8,0)),'Калькуляция (МСА)'!$F$25:$F$109,$F100,'Калькуляция (МСА)'!$G$25:$G$109,$G100),_xlfn.SUMIFS(INDEX('Калькуляция (5.9)'!$AJ$25:$BC$192,,MATCH(AJ$8,'Калькуляция (5.9)'!$AJ$8:$BC$8,0)),'Калькуляция (5.9)'!$F$25:$F$192,$F100,'Калькуляция (5.9)'!$G$25:$G$192,$G100))</f>
        <v>0</v>
      </c>
      <c r="AK100" s="366">
        <f>IF(method_reg="Метод сравнения аналогов",_xlfn.SUMIFS(INDEX('Калькуляция (МСА)'!$AE$25:$BC$109,,MATCH(AK$8,'Калькуляция (МСА)'!$AE$8:$BC$8,0)),'Калькуляция (МСА)'!$F$25:$F$109,$F100,'Калькуляция (МСА)'!$G$25:$G$109,$G100),_xlfn.SUMIFS(INDEX('Калькуляция (5.9)'!$AJ$25:$BC$192,,MATCH(AK$8,'Калькуляция (5.9)'!$AJ$8:$BC$8,0)),'Калькуляция (5.9)'!$F$25:$F$192,$F100,'Калькуляция (5.9)'!$G$25:$G$192,$G100))</f>
        <v>0</v>
      </c>
      <c r="AL100" s="365">
        <f>IF(AJ100=0,0,(AK100-AJ100)/AJ100*100)</f>
        <v>0</v>
      </c>
      <c r="AM100" s="366">
        <f>IF(method_reg="Метод сравнения аналогов",_xlfn.SUMIFS(INDEX('Калькуляция (МСА)'!$AE$25:$BC$109,,MATCH(AM$8,'Калькуляция (МСА)'!$AE$8:$BC$8,0)),'Калькуляция (МСА)'!$F$25:$F$109,$F100,'Калькуляция (МСА)'!$G$25:$G$109,$G100),_xlfn.SUMIFS(INDEX('Калькуляция (5.9)'!$AJ$25:$BC$192,,MATCH(AM$8,'Калькуляция (5.9)'!$AJ$8:$BC$8,0)),'Калькуляция (5.9)'!$F$25:$F$192,$F100,'Калькуляция (5.9)'!$G$25:$G$192,$G100))</f>
        <v>0</v>
      </c>
      <c r="AN100" s="366">
        <f>IF(method_reg="Метод сравнения аналогов",_xlfn.SUMIFS(INDEX('Калькуляция (МСА)'!$AE$25:$BC$109,,MATCH(AN$8,'Калькуляция (МСА)'!$AE$8:$BC$8,0)),'Калькуляция (МСА)'!$F$25:$F$109,$F100,'Калькуляция (МСА)'!$G$25:$G$109,$G100),_xlfn.SUMIFS(INDEX('Калькуляция (5.9)'!$AJ$25:$BC$192,,MATCH(AN$8,'Калькуляция (5.9)'!$AJ$8:$BC$8,0)),'Калькуляция (5.9)'!$F$25:$F$192,$F100,'Калькуляция (5.9)'!$G$25:$G$192,$G100))</f>
        <v>0</v>
      </c>
      <c r="AO100" s="365">
        <f>IF(AM100=0,0,(AN100-AM100)/AM100*100)</f>
        <v>0</v>
      </c>
      <c r="AP100" s="366">
        <f>IF(method_reg="Метод сравнения аналогов",_xlfn.SUMIFS(INDEX('Калькуляция (МСА)'!$AE$25:$BC$109,,MATCH(AP$8,'Калькуляция (МСА)'!$AE$8:$BC$8,0)),'Калькуляция (МСА)'!$F$25:$F$109,$F100,'Калькуляция (МСА)'!$G$25:$G$109,$G100),_xlfn.SUMIFS(INDEX('Калькуляция (5.9)'!$AJ$25:$BC$192,,MATCH(AP$8,'Калькуляция (5.9)'!$AJ$8:$BC$8,0)),'Калькуляция (5.9)'!$F$25:$F$192,$F100,'Калькуляция (5.9)'!$G$25:$G$192,$G100))</f>
        <v>0</v>
      </c>
      <c r="AQ100" s="366">
        <f>IF(method_reg="Метод сравнения аналогов",_xlfn.SUMIFS(INDEX('Калькуляция (МСА)'!$AE$25:$BC$109,,MATCH(AQ$8,'Калькуляция (МСА)'!$AE$8:$BC$8,0)),'Калькуляция (МСА)'!$F$25:$F$109,$F100,'Калькуляция (МСА)'!$G$25:$G$109,$G100),_xlfn.SUMIFS(INDEX('Калькуляция (5.9)'!$AJ$25:$BC$192,,MATCH(AQ$8,'Калькуляция (5.9)'!$AJ$8:$BC$8,0)),'Калькуляция (5.9)'!$F$25:$F$192,$F100,'Калькуляция (5.9)'!$G$25:$G$192,$G100))</f>
        <v>0</v>
      </c>
      <c r="AR100" s="365">
        <f>IF(AP100=0,0,(AQ100-AP100)/AP100*100)</f>
        <v>0</v>
      </c>
      <c r="AS100" s="66">
        <f>IF(method_reg="Метод сравнения аналогов",_xlfn.SUMIFS(INDEX('Калькуляция (МСА)'!$AE$25:$BC$109,,MATCH(AS$8,'Калькуляция (МСА)'!$AE$8:$BC$8,0)),'Калькуляция (МСА)'!$F$25:$F$109,$F100,'Калькуляция (МСА)'!$G$25:$G$109,$G100),_xlfn.SUMIFS(INDEX('Калькуляция (5.9)'!$AJ$25:$BC$192,,MATCH(AS$8,'Калькуляция (5.9)'!$AJ$8:$BC$8,0)),'Калькуляция (5.9)'!$F$25:$F$192,$F100,'Калькуляция (5.9)'!$G$25:$G$192,$G100))</f>
        <v>0</v>
      </c>
      <c r="AT100" s="66">
        <f>IF(method_reg="Метод сравнения аналогов",_xlfn.SUMIFS(INDEX('Калькуляция (МСА)'!$AE$25:$BC$109,,MATCH(AT$8,'Калькуляция (МСА)'!$AE$8:$BC$8,0)),'Калькуляция (МСА)'!$F$25:$F$109,$F100,'Калькуляция (МСА)'!$G$25:$G$109,$G100),_xlfn.SUMIFS(INDEX('Калькуляция (5.9)'!$AJ$25:$BC$192,,MATCH(AT$8,'Калькуляция (5.9)'!$AJ$8:$BC$8,0)),'Калькуляция (5.9)'!$F$25:$F$192,$F100,'Калькуляция (5.9)'!$G$25:$G$192,$G100))</f>
        <v>0</v>
      </c>
      <c r="AU100" s="365">
        <f>IF(AS100=0,0,(AT100-AS100)/AS100*100)</f>
        <v>0</v>
      </c>
      <c r="AV100" s="66">
        <f>IF(method_reg="Метод сравнения аналогов",_xlfn.SUMIFS(INDEX('Калькуляция (МСА)'!$AE$25:$BC$109,,MATCH(AV$8,'Калькуляция (МСА)'!$AE$8:$BC$8,0)),'Калькуляция (МСА)'!$F$25:$F$109,$F100,'Калькуляция (МСА)'!$G$25:$G$109,$G100),_xlfn.SUMIFS(INDEX('Калькуляция (5.9)'!$AJ$25:$BC$192,,MATCH(AV$8,'Калькуляция (5.9)'!$AJ$8:$BC$8,0)),'Калькуляция (5.9)'!$F$25:$F$192,$F100,'Калькуляция (5.9)'!$G$25:$G$192,$G100))</f>
        <v>0</v>
      </c>
      <c r="AW100" s="66">
        <f>IF(method_reg="Метод сравнения аналогов",_xlfn.SUMIFS(INDEX('Калькуляция (МСА)'!$AE$25:$BC$109,,MATCH(AW$8,'Калькуляция (МСА)'!$AE$8:$BC$8,0)),'Калькуляция (МСА)'!$F$25:$F$109,$F100,'Калькуляция (МСА)'!$G$25:$G$109,$G100),_xlfn.SUMIFS(INDEX('Калькуляция (5.9)'!$AJ$25:$BC$192,,MATCH(AW$8,'Калькуляция (5.9)'!$AJ$8:$BC$8,0)),'Калькуляция (5.9)'!$F$25:$F$192,$F100,'Калькуляция (5.9)'!$G$25:$G$192,$G100))</f>
        <v>0</v>
      </c>
      <c r="AX100" s="365">
        <f>IF(AV100=0,0,(AW100-AV100)/AV100*100)</f>
        <v>0</v>
      </c>
      <c r="AY100" s="66">
        <f>IF(method_reg="Метод сравнения аналогов",_xlfn.SUMIFS(INDEX('Калькуляция (МСА)'!$AE$25:$BC$109,,MATCH(AY$8,'Калькуляция (МСА)'!$AE$8:$BC$8,0)),'Калькуляция (МСА)'!$F$25:$F$109,$F100,'Калькуляция (МСА)'!$G$25:$G$109,$G100),_xlfn.SUMIFS(INDEX('Калькуляция (5.9)'!$AJ$25:$BC$192,,MATCH(AY$8,'Калькуляция (5.9)'!$AJ$8:$BC$8,0)),'Калькуляция (5.9)'!$F$25:$F$192,$F100,'Калькуляция (5.9)'!$G$25:$G$192,$G100))</f>
        <v>0</v>
      </c>
      <c r="AZ100" s="66">
        <f>IF(method_reg="Метод сравнения аналогов",_xlfn.SUMIFS(INDEX('Калькуляция (МСА)'!$AE$25:$BC$109,,MATCH(AZ$8,'Калькуляция (МСА)'!$AE$8:$BC$8,0)),'Калькуляция (МСА)'!$F$25:$F$109,$F100,'Калькуляция (МСА)'!$G$25:$G$109,$G100),_xlfn.SUMIFS(INDEX('Калькуляция (5.9)'!$AJ$25:$BC$192,,MATCH(AZ$8,'Калькуляция (5.9)'!$AJ$8:$BC$8,0)),'Калькуляция (5.9)'!$F$25:$F$192,$F100,'Калькуляция (5.9)'!$G$25:$G$192,$G100))</f>
        <v>0</v>
      </c>
      <c r="BA100" s="365">
        <f>IF(AY100=0,0,(AZ100-AY100)/AY100*100)</f>
        <v>0</v>
      </c>
      <c r="BB100" s="66">
        <f>IF(method_reg="Метод сравнения аналогов",_xlfn.SUMIFS(INDEX('Калькуляция (МСА)'!$AE$25:$BC$109,,MATCH(BB$8,'Калькуляция (МСА)'!$AE$8:$BC$8,0)),'Калькуляция (МСА)'!$F$25:$F$109,$F100,'Калькуляция (МСА)'!$G$25:$G$109,$G100),_xlfn.SUMIFS(INDEX('Калькуляция (5.9)'!$AJ$25:$BC$192,,MATCH(BB$8,'Калькуляция (5.9)'!$AJ$8:$BC$8,0)),'Калькуляция (5.9)'!$F$25:$F$192,$F100,'Калькуляция (5.9)'!$G$25:$G$192,$G100))</f>
        <v>0</v>
      </c>
      <c r="BC100" s="66">
        <f>IF(method_reg="Метод сравнения аналогов",_xlfn.SUMIFS(INDEX('Калькуляция (МСА)'!$AE$25:$BC$109,,MATCH(BC$8,'Калькуляция (МСА)'!$AE$8:$BC$8,0)),'Калькуляция (МСА)'!$F$25:$F$109,$F100,'Калькуляция (МСА)'!$G$25:$G$109,$G100),_xlfn.SUMIFS(INDEX('Калькуляция (5.9)'!$AJ$25:$BC$192,,MATCH(BC$8,'Калькуляция (5.9)'!$AJ$8:$BC$8,0)),'Калькуляция (5.9)'!$F$25:$F$192,$F100,'Калькуляция (5.9)'!$G$25:$G$192,$G100))</f>
        <v>0</v>
      </c>
      <c r="BD100" s="365">
        <f>IF(BB100=0,0,(BC100-BB100)/BB100*100)</f>
        <v>0</v>
      </c>
      <c r="BE100" s="66">
        <f>IF(method_reg="Метод сравнения аналогов",_xlfn.SUMIFS(INDEX('Калькуляция (МСА)'!$AE$25:$BC$109,,MATCH(BE$8,'Калькуляция (МСА)'!$AE$8:$BC$8,0)),'Калькуляция (МСА)'!$F$25:$F$109,$F100,'Калькуляция (МСА)'!$G$25:$G$109,$G100),_xlfn.SUMIFS(INDEX('Калькуляция (5.9)'!$AJ$25:$BC$192,,MATCH(BE$8,'Калькуляция (5.9)'!$AJ$8:$BC$8,0)),'Калькуляция (5.9)'!$F$25:$F$192,$F100,'Калькуляция (5.9)'!$G$25:$G$192,$G100))</f>
        <v>0</v>
      </c>
      <c r="BF100" s="66">
        <f>IF(method_reg="Метод сравнения аналогов",_xlfn.SUMIFS(INDEX('Калькуляция (МСА)'!$AE$25:$BC$109,,MATCH(BF$8,'Калькуляция (МСА)'!$AE$8:$BC$8,0)),'Калькуляция (МСА)'!$F$25:$F$109,$F100,'Калькуляция (МСА)'!$G$25:$G$109,$G100),_xlfn.SUMIFS(INDEX('Калькуляция (5.9)'!$AJ$25:$BC$192,,MATCH(BF$8,'Калькуляция (5.9)'!$AJ$8:$BC$8,0)),'Калькуляция (5.9)'!$F$25:$F$192,$F100,'Калькуляция (5.9)'!$G$25:$G$192,$G100))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2156</v>
      </c>
      <c r="GA100" s="1181"/>
      <c r="GB100" s="1181"/>
      <c r="GC100" s="1181"/>
      <c r="GD100" s="1181"/>
    </row>
    <row s="1619"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ТЭ.42.26824396.0004</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2157</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19" customFormat="1" customHeight="1" ht="15" hidden="1">
      <c r="A102" s="1461"/>
      <c r="B102" s="961" cm="1" t="str">
        <f t="array" ref="B102:B102">B101</f>
        <v>false</v>
      </c>
      <c r="C102" s="1322" t="s">
        <v>2133</v>
      </c>
      <c r="D102" s="1291" t="s">
        <v>2134</v>
      </c>
      <c r="E102" s="794">
        <v>15.8</v>
      </c>
      <c r="F102" s="919" cm="1" t="str">
        <f t="array" ref="F102:F102">OFFSET(G102,-1,-1)</f>
        <v>1</v>
      </c>
      <c r="G102" s="736" t="s">
        <v>1736</v>
      </c>
      <c r="H102" s="210" t="s">
        <v>2135</v>
      </c>
      <c r="I102" s="210" t="s">
        <v>2095</v>
      </c>
      <c r="J102" s="1312"/>
      <c r="K102" s="1312" cm="1" t="str">
        <f t="array" ref="K102:K102">OFFSET(J102,-1,1)</f>
        <v>ТЭ.42.26824396.0004</v>
      </c>
      <c r="L102" s="1312"/>
      <c r="M102" s="1312" t="s">
        <v>1733</v>
      </c>
      <c r="N102" s="1312" t="s">
        <v>2091</v>
      </c>
      <c r="O102" s="1313" t="s">
        <v>2092</v>
      </c>
      <c r="P102" s="1312" t="s">
        <v>2136</v>
      </c>
      <c r="Q102" s="1312"/>
      <c r="R102" s="925"/>
      <c r="S102" s="497"/>
      <c r="T102" s="805" cm="1" t="str">
        <f t="array" ref="T102:T102">T101</f>
        <v>false</v>
      </c>
      <c r="U102" s="1461"/>
      <c r="V102" s="1461"/>
      <c r="W102" s="1461"/>
      <c r="X102" s="1461"/>
      <c r="Y102" s="1461"/>
      <c r="Z102" s="1461"/>
      <c r="AA102" s="497"/>
      <c r="AB102" s="273" t="s">
        <v>2137</v>
      </c>
      <c r="AC102" s="169" t="s">
        <v>895</v>
      </c>
      <c r="AD102" s="66">
        <f>IF(method_reg="Метод экономически обоснованных расходов",_xlfn.SUMIFS('Калькуляция (4.6)'!AJ$25:AJ$229,'Калькуляция (4.6)'!$F$25:$F$229,$F102,'Калькуляция (4.6)'!$G$25:$G$229,$G102),IF(method_reg="Метод сравнения аналогов",_xlfn.SUMIFS(INDEX('Калькуляция (МСА)'!$AE$25:$BC$109,,MATCH(AD$8,'Калькуляция (МСА)'!$AE$8:$BC$8,0)),'Калькуляция (МСА)'!$F$25:$F$109,$F102,'Калькуляция (МСА)'!$G$25:$G$109,$G102),_xlfn.SUMIFS(INDEX('Калькуляция (5.9)'!$AJ$25:$BC$192,,MATCH(AD$8,'Калькуляция (5.9)'!$AJ$8:$BC$8,0)),'Калькуляция (5.9)'!$F$25:$F$192,$F102,'Калькуляция (5.9)'!$G$25:$G$192,$G102)))</f>
        <v>12629.95</v>
      </c>
      <c r="AE102" s="66">
        <f>IF(method_reg="Метод экономически обоснованных расходов",_xlfn.SUMIFS('Калькуляция (4.6)'!AK$25:AK$229,'Калькуляция (4.6)'!$F$25:$F$229,$F102,'Калькуляция (4.6)'!$G$25:$G$229,$G102),IF(method_reg="Метод сравнения аналогов",_xlfn.SUMIFS(INDEX('Калькуляция (МСА)'!$AE$25:$BC$109,,MATCH(AE$8,'Калькуляция (МСА)'!$AE$8:$BC$8,0)),'Калькуляция (МСА)'!$F$25:$F$109,$F102,'Калькуляция (МСА)'!$G$25:$G$109,$G102),_xlfn.SUMIFS(INDEX('Калькуляция (5.9)'!$AJ$25:$BC$192,,MATCH(AE$8,'Калькуляция (5.9)'!$AJ$8:$BC$8,0)),'Калькуляция (5.9)'!$F$25:$F$192,$F102,'Калькуляция (5.9)'!$G$25:$G$192,$G102)))</f>
        <v>4444.48</v>
      </c>
      <c r="AF102" s="365">
        <f>IF(AD102=0,0,(AE102-AD102)/AD102*100)</f>
        <v>-64.8099952889758</v>
      </c>
      <c r="AG102" s="366">
        <f>IF(method_reg="Метод сравнения аналогов",_xlfn.SUMIFS(INDEX('Калькуляция (МСА)'!$AE$25:$BC$109,,MATCH(AG$8,'Калькуляция (МСА)'!$AE$8:$BC$8,0)),'Калькуляция (МСА)'!$F$25:$F$109,$F102,'Калькуляция (МСА)'!$G$25:$G$109,$G102),_xlfn.SUMIFS(INDEX('Калькуляция (5.9)'!$AJ$25:$BC$192,,MATCH(AG$8,'Калькуляция (5.9)'!$AJ$8:$BC$8,0)),'Калькуляция (5.9)'!$F$25:$F$192,$F102,'Калькуляция (5.9)'!$G$25:$G$192,$G102))</f>
        <v>10198.1722639647</v>
      </c>
      <c r="AH102" s="366">
        <f>IF(method_reg="Метод сравнения аналогов",_xlfn.SUMIFS(INDEX('Калькуляция (МСА)'!$AE$25:$BC$109,,MATCH(AH$8,'Калькуляция (МСА)'!$AE$8:$BC$8,0)),'Калькуляция (МСА)'!$F$25:$F$109,$F102,'Калькуляция (МСА)'!$G$25:$G$109,$G102),_xlfn.SUMIFS(INDEX('Калькуляция (5.9)'!$AJ$25:$BC$192,,MATCH(AH$8,'Калькуляция (5.9)'!$AJ$8:$BC$8,0)),'Калькуляция (5.9)'!$F$25:$F$192,$F102,'Калькуляция (5.9)'!$G$25:$G$192,$G102))</f>
        <v>19450.8723910355</v>
      </c>
      <c r="AI102" s="365">
        <f>IF(AG102=0,0,(AH102-AG102)/AG102*100)</f>
        <v>90.7290040565923</v>
      </c>
      <c r="AJ102" s="366">
        <f>IF(method_reg="Метод сравнения аналогов",_xlfn.SUMIFS(INDEX('Калькуляция (МСА)'!$AE$25:$BC$109,,MATCH(AJ$8,'Калькуляция (МСА)'!$AE$8:$BC$8,0)),'Калькуляция (МСА)'!$F$25:$F$109,$F102,'Калькуляция (МСА)'!$G$25:$G$109,$G102),_xlfn.SUMIFS(INDEX('Калькуляция (5.9)'!$AJ$25:$BC$192,,MATCH(AJ$8,'Калькуляция (5.9)'!$AJ$8:$BC$8,0)),'Калькуляция (5.9)'!$F$25:$F$192,$F102,'Калькуляция (5.9)'!$G$25:$G$192,$G102))</f>
        <v>11605.9429114277</v>
      </c>
      <c r="AK102" s="366">
        <f>IF(method_reg="Метод сравнения аналогов",_xlfn.SUMIFS(INDEX('Калькуляция (МСА)'!$AE$25:$BC$109,,MATCH(AK$8,'Калькуляция (МСА)'!$AE$8:$BC$8,0)),'Калькуляция (МСА)'!$F$25:$F$109,$F102,'Калькуляция (МСА)'!$G$25:$G$109,$G102),_xlfn.SUMIFS(INDEX('Калькуляция (5.9)'!$AJ$25:$BC$192,,MATCH(AK$8,'Калькуляция (5.9)'!$AJ$8:$BC$8,0)),'Калькуляция (5.9)'!$F$25:$F$192,$F102,'Калькуляция (5.9)'!$G$25:$G$192,$G102))</f>
        <v>8240.40037236781</v>
      </c>
      <c r="AL102" s="365">
        <f>IF(AJ102=0,0,(AK102-AJ102)/AJ102*100)</f>
        <v>-28.9984412705153</v>
      </c>
      <c r="AM102" s="366">
        <f>IF(method_reg="Метод сравнения аналогов",_xlfn.SUMIFS(INDEX('Калькуляция (МСА)'!$AE$25:$BC$109,,MATCH(AM$8,'Калькуляция (МСА)'!$AE$8:$BC$8,0)),'Калькуляция (МСА)'!$F$25:$F$109,$F102,'Калькуляция (МСА)'!$G$25:$G$109,$G102),_xlfn.SUMIFS(INDEX('Калькуляция (5.9)'!$AJ$25:$BC$192,,MATCH(AM$8,'Калькуляция (5.9)'!$AJ$8:$BC$8,0)),'Калькуляция (5.9)'!$F$25:$F$192,$F102,'Калькуляция (5.9)'!$G$25:$G$192,$G102))</f>
        <v>10891.487924789</v>
      </c>
      <c r="AN102" s="366">
        <f>IF(method_reg="Метод сравнения аналогов",_xlfn.SUMIFS(INDEX('Калькуляция (МСА)'!$AE$25:$BC$109,,MATCH(AN$8,'Калькуляция (МСА)'!$AE$8:$BC$8,0)),'Калькуляция (МСА)'!$F$25:$F$109,$F102,'Калькуляция (МСА)'!$G$25:$G$109,$G102),_xlfn.SUMIFS(INDEX('Калькуляция (5.9)'!$AJ$25:$BC$192,,MATCH(AN$8,'Калькуляция (5.9)'!$AJ$8:$BC$8,0)),'Калькуляция (5.9)'!$F$25:$F$192,$F102,'Калькуляция (5.9)'!$G$25:$G$192,$G102))</f>
        <v>9346.26623365191</v>
      </c>
      <c r="AO102" s="365">
        <f>IF(AM102=0,0,(AN102-AM102)/AM102*100)</f>
        <v>-14.187425095704</v>
      </c>
      <c r="AP102" s="366">
        <f>IF(method_reg="Метод сравнения аналогов",_xlfn.SUMIFS(INDEX('Калькуляция (МСА)'!$AE$25:$BC$109,,MATCH(AP$8,'Калькуляция (МСА)'!$AE$8:$BC$8,0)),'Калькуляция (МСА)'!$F$25:$F$109,$F102,'Калькуляция (МСА)'!$G$25:$G$109,$G102),_xlfn.SUMIFS(INDEX('Калькуляция (5.9)'!$AJ$25:$BC$192,,MATCH(AP$8,'Калькуляция (5.9)'!$AJ$8:$BC$8,0)),'Калькуляция (5.9)'!$F$25:$F$192,$F102,'Калькуляция (5.9)'!$G$25:$G$192,$G102))</f>
        <v>12343.8135149023</v>
      </c>
      <c r="AQ102" s="366">
        <f>IF(method_reg="Метод сравнения аналогов",_xlfn.SUMIFS(INDEX('Калькуляция (МСА)'!$AE$25:$BC$109,,MATCH(AQ$8,'Калькуляция (МСА)'!$AE$8:$BC$8,0)),'Калькуляция (МСА)'!$F$25:$F$109,$F102,'Калькуляция (МСА)'!$G$25:$G$109,$G102),_xlfn.SUMIFS(INDEX('Калькуляция (5.9)'!$AJ$25:$BC$192,,MATCH(AQ$8,'Калькуляция (5.9)'!$AJ$8:$BC$8,0)),'Калькуляция (5.9)'!$F$25:$F$192,$F102,'Калькуляция (5.9)'!$G$25:$G$192,$G102))</f>
        <v>8805.9553351056</v>
      </c>
      <c r="AR102" s="365">
        <f>IF(AP102=0,0,(AQ102-AP102)/AP102*100)</f>
        <v>-28.660982082446</v>
      </c>
      <c r="AS102" s="66">
        <f>IF(method_reg="Метод сравнения аналогов",_xlfn.SUMIFS(INDEX('Калькуляция (МСА)'!$AE$25:$BC$109,,MATCH(AS$8,'Калькуляция (МСА)'!$AE$8:$BC$8,0)),'Калькуляция (МСА)'!$F$25:$F$109,$F102,'Калькуляция (МСА)'!$G$25:$G$109,$G102),_xlfn.SUMIFS(INDEX('Калькуляция (5.9)'!$AJ$25:$BC$192,,MATCH(AS$8,'Калькуляция (5.9)'!$AJ$8:$BC$8,0)),'Калькуляция (5.9)'!$F$25:$F$192,$F102,'Калькуляция (5.9)'!$G$25:$G$192,$G102))</f>
        <v>2400.45285593701</v>
      </c>
      <c r="AT102" s="66">
        <f>IF(method_reg="Метод сравнения аналогов",_xlfn.SUMIFS(INDEX('Калькуляция (МСА)'!$AE$25:$BC$109,,MATCH(AT$8,'Калькуляция (МСА)'!$AE$8:$BC$8,0)),'Калькуляция (МСА)'!$F$25:$F$109,$F102,'Калькуляция (МСА)'!$G$25:$G$109,$G102),_xlfn.SUMIFS(INDEX('Калькуляция (5.9)'!$AJ$25:$BC$192,,MATCH(AT$8,'Калькуляция (5.9)'!$AJ$8:$BC$8,0)),'Калькуляция (5.9)'!$F$25:$F$192,$F102,'Калькуляция (5.9)'!$G$25:$G$192,$G102))</f>
        <v>0</v>
      </c>
      <c r="AU102" s="365">
        <f>IF(AS102=0,0,(AT102-AS102)/AS102*100)</f>
        <v>-100</v>
      </c>
      <c r="AV102" s="66">
        <f>IF(method_reg="Метод сравнения аналогов",_xlfn.SUMIFS(INDEX('Калькуляция (МСА)'!$AE$25:$BC$109,,MATCH(AV$8,'Калькуляция (МСА)'!$AE$8:$BC$8,0)),'Калькуляция (МСА)'!$F$25:$F$109,$F102,'Калькуляция (МСА)'!$G$25:$G$109,$G102),_xlfn.SUMIFS(INDEX('Калькуляция (5.9)'!$AJ$25:$BC$192,,MATCH(AV$8,'Калькуляция (5.9)'!$AJ$8:$BC$8,0)),'Калькуляция (5.9)'!$F$25:$F$192,$F102,'Калькуляция (5.9)'!$G$25:$G$192,$G102))</f>
        <v>2376.44832737764</v>
      </c>
      <c r="AW102" s="66">
        <f>IF(method_reg="Метод сравнения аналогов",_xlfn.SUMIFS(INDEX('Калькуляция (МСА)'!$AE$25:$BC$109,,MATCH(AW$8,'Калькуляция (МСА)'!$AE$8:$BC$8,0)),'Калькуляция (МСА)'!$F$25:$F$109,$F102,'Калькуляция (МСА)'!$G$25:$G$109,$G102),_xlfn.SUMIFS(INDEX('Калькуляция (5.9)'!$AJ$25:$BC$192,,MATCH(AW$8,'Калькуляция (5.9)'!$AJ$8:$BC$8,0)),'Калькуляция (5.9)'!$F$25:$F$192,$F102,'Калькуляция (5.9)'!$G$25:$G$192,$G102))</f>
        <v>0</v>
      </c>
      <c r="AX102" s="365">
        <f>IF(AV102=0,0,(AW102-AV102)/AV102*100)</f>
        <v>-100</v>
      </c>
      <c r="AY102" s="66">
        <f>IF(method_reg="Метод сравнения аналогов",_xlfn.SUMIFS(INDEX('Калькуляция (МСА)'!$AE$25:$BC$109,,MATCH(AY$8,'Калькуляция (МСА)'!$AE$8:$BC$8,0)),'Калькуляция (МСА)'!$F$25:$F$109,$F102,'Калькуляция (МСА)'!$G$25:$G$109,$G102),_xlfn.SUMIFS(INDEX('Калькуляция (5.9)'!$AJ$25:$BC$192,,MATCH(AY$8,'Калькуляция (5.9)'!$AJ$8:$BC$8,0)),'Калькуляция (5.9)'!$F$25:$F$192,$F102,'Калькуляция (5.9)'!$G$25:$G$192,$G102))</f>
        <v>2352.68384410387</v>
      </c>
      <c r="AZ102" s="66">
        <f>IF(method_reg="Метод сравнения аналогов",_xlfn.SUMIFS(INDEX('Калькуляция (МСА)'!$AE$25:$BC$109,,MATCH(AZ$8,'Калькуляция (МСА)'!$AE$8:$BC$8,0)),'Калькуляция (МСА)'!$F$25:$F$109,$F102,'Калькуляция (МСА)'!$G$25:$G$109,$G102),_xlfn.SUMIFS(INDEX('Калькуляция (5.9)'!$AJ$25:$BC$192,,MATCH(AZ$8,'Калькуляция (5.9)'!$AJ$8:$BC$8,0)),'Калькуляция (5.9)'!$F$25:$F$192,$F102,'Калькуляция (5.9)'!$G$25:$G$192,$G102))</f>
        <v>0</v>
      </c>
      <c r="BA102" s="365">
        <f>IF(AY102=0,0,(AZ102-AY102)/AY102*100)</f>
        <v>-100</v>
      </c>
      <c r="BB102" s="66">
        <f>IF(method_reg="Метод сравнения аналогов",_xlfn.SUMIFS(INDEX('Калькуляция (МСА)'!$AE$25:$BC$109,,MATCH(BB$8,'Калькуляция (МСА)'!$AE$8:$BC$8,0)),'Калькуляция (МСА)'!$F$25:$F$109,$F102,'Калькуляция (МСА)'!$G$25:$G$109,$G102),_xlfn.SUMIFS(INDEX('Калькуляция (5.9)'!$AJ$25:$BC$192,,MATCH(BB$8,'Калькуляция (5.9)'!$AJ$8:$BC$8,0)),'Калькуляция (5.9)'!$F$25:$F$192,$F102,'Калькуляция (5.9)'!$G$25:$G$192,$G102))</f>
        <v>2329.15700566283</v>
      </c>
      <c r="BC102" s="66">
        <f>IF(method_reg="Метод сравнения аналогов",_xlfn.SUMIFS(INDEX('Калькуляция (МСА)'!$AE$25:$BC$109,,MATCH(BC$8,'Калькуляция (МСА)'!$AE$8:$BC$8,0)),'Калькуляция (МСА)'!$F$25:$F$109,$F102,'Калькуляция (МСА)'!$G$25:$G$109,$G102),_xlfn.SUMIFS(INDEX('Калькуляция (5.9)'!$AJ$25:$BC$192,,MATCH(BC$8,'Калькуляция (5.9)'!$AJ$8:$BC$8,0)),'Калькуляция (5.9)'!$F$25:$F$192,$F102,'Калькуляция (5.9)'!$G$25:$G$192,$G102))</f>
        <v>0</v>
      </c>
      <c r="BD102" s="365">
        <f>IF(BB102=0,0,(BC102-BB102)/BB102*100)</f>
        <v>-100</v>
      </c>
      <c r="BE102" s="66">
        <f>IF(method_reg="Метод сравнения аналогов",_xlfn.SUMIFS(INDEX('Калькуляция (МСА)'!$AE$25:$BC$109,,MATCH(BE$8,'Калькуляция (МСА)'!$AE$8:$BC$8,0)),'Калькуляция (МСА)'!$F$25:$F$109,$F102,'Калькуляция (МСА)'!$G$25:$G$109,$G102),_xlfn.SUMIFS(INDEX('Калькуляция (5.9)'!$AJ$25:$BC$192,,MATCH(BE$8,'Калькуляция (5.9)'!$AJ$8:$BC$8,0)),'Калькуляция (5.9)'!$F$25:$F$192,$F102,'Калькуляция (5.9)'!$G$25:$G$192,$G102))</f>
        <v>2305.8654356062</v>
      </c>
      <c r="BF102" s="66">
        <f>IF(method_reg="Метод сравнения аналогов",_xlfn.SUMIFS(INDEX('Калькуляция (МСА)'!$AE$25:$BC$109,,MATCH(BF$8,'Калькуляция (МСА)'!$AE$8:$BC$8,0)),'Калькуляция (МСА)'!$F$25:$F$109,$F102,'Калькуляция (МСА)'!$G$25:$G$109,$G102),_xlfn.SUMIFS(INDEX('Калькуляция (5.9)'!$AJ$25:$BC$192,,MATCH(BF$8,'Калькуляция (5.9)'!$AJ$8:$BC$8,0)),'Калькуляция (5.9)'!$F$25:$F$192,$F102,'Калькуляция (5.9)'!$G$25:$G$192,$G102))</f>
        <v>0</v>
      </c>
      <c r="BG102" s="365">
        <f>IF(BE102=0,0,(BF102-BE102)/BE102*100)</f>
        <v>-100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2158</v>
      </c>
      <c r="GA102" s="1181"/>
      <c r="GB102" s="1181"/>
      <c r="GC102" s="1181"/>
      <c r="GD102" s="1181"/>
    </row>
    <row s="1619" customFormat="1" customHeight="1" ht="15" hidden="1">
      <c r="A103" s="1461"/>
      <c r="B103" s="961" cm="1" t="str">
        <f t="array" ref="B103:B103">B102</f>
        <v>false</v>
      </c>
      <c r="C103" s="1322" t="s">
        <v>2139</v>
      </c>
      <c r="D103" s="1291" t="s">
        <v>2140</v>
      </c>
      <c r="E103" s="794">
        <v>15.8</v>
      </c>
      <c r="F103" s="919" cm="1" t="str">
        <f t="array" ref="F103:F103">OFFSET(G103,-1,-1)</f>
        <v>1</v>
      </c>
      <c r="G103" s="736" t="s">
        <v>1765</v>
      </c>
      <c r="H103" s="210" t="s">
        <v>2141</v>
      </c>
      <c r="I103" s="210" t="s">
        <v>2095</v>
      </c>
      <c r="J103" s="1312"/>
      <c r="K103" s="1312" cm="1" t="str">
        <f t="array" ref="K103:K103">OFFSET(J103,-1,1)</f>
        <v>ТЭ.42.26824396.0004</v>
      </c>
      <c r="L103" s="1312"/>
      <c r="M103" s="1312" t="s">
        <v>1733</v>
      </c>
      <c r="N103" s="1312" t="s">
        <v>2091</v>
      </c>
      <c r="O103" s="1313" t="s">
        <v>2092</v>
      </c>
      <c r="P103" s="1312" t="s">
        <v>2142</v>
      </c>
      <c r="Q103" s="1312"/>
      <c r="R103" s="925"/>
      <c r="S103" s="497"/>
      <c r="T103" s="805" cm="1" t="str">
        <f t="array" ref="T103:T103">T102</f>
        <v>false</v>
      </c>
      <c r="U103" s="1461"/>
      <c r="V103" s="1461"/>
      <c r="W103" s="1461"/>
      <c r="X103" s="1461"/>
      <c r="Y103" s="1461"/>
      <c r="Z103" s="1461"/>
      <c r="AA103" s="497"/>
      <c r="AB103" s="273" t="s">
        <v>2143</v>
      </c>
      <c r="AC103" s="169" t="s">
        <v>895</v>
      </c>
      <c r="AD103" s="66">
        <f>IF(method_reg="Метод экономически обоснованных расходов",_xlfn.SUMIFS('Калькуляция (4.6)'!AJ$25:AJ$229,'Калькуляция (4.6)'!$F$25:$F$229,$F103,'Калькуляция (4.6)'!$G$25:$G$229,$G103),IF(method_reg="Метод сравнения аналогов",_xlfn.SUMIFS(INDEX('Калькуляция (МСА)'!$AE$25:$BC$109,,MATCH(AD$8,'Калькуляция (МСА)'!$AE$8:$BC$8,0)),'Калькуляция (МСА)'!$F$25:$F$109,$F103,'Калькуляция (МСА)'!$G$25:$G$109,$G103),_xlfn.SUMIFS(INDEX('Калькуляция (5.9)'!$AJ$25:$BC$192,,MATCH(AD$8,'Калькуляция (5.9)'!$AJ$8:$BC$8,0)),'Калькуляция (5.9)'!$F$25:$F$192,$F103,'Калькуляция (5.9)'!$G$25:$G$192,$G103)))</f>
        <v>12965.317900289</v>
      </c>
      <c r="AE103" s="66">
        <f>IF(method_reg="Метод экономически обоснованных расходов",_xlfn.SUMIFS('Калькуляция (4.6)'!AK$25:AK$229,'Калькуляция (4.6)'!$F$25:$F$229,$F103,'Калькуляция (4.6)'!$G$25:$G$229,$G103),IF(method_reg="Метод сравнения аналогов",_xlfn.SUMIFS(INDEX('Калькуляция (МСА)'!$AE$25:$BC$109,,MATCH(AE$8,'Калькуляция (МСА)'!$AE$8:$BC$8,0)),'Калькуляция (МСА)'!$F$25:$F$109,$F103,'Калькуляция (МСА)'!$G$25:$G$109,$G103),_xlfn.SUMIFS(INDEX('Калькуляция (5.9)'!$AJ$25:$BC$192,,MATCH(AE$8,'Калькуляция (5.9)'!$AJ$8:$BC$8,0)),'Калькуляция (5.9)'!$F$25:$F$192,$F103,'Калькуляция (5.9)'!$G$25:$G$192,$G103)))</f>
        <v>11211.1100621078</v>
      </c>
      <c r="AF103" s="365">
        <f>IF(AD103=0,0,(AE103-AD103)/AD103*100)</f>
        <v>-13.530002516499</v>
      </c>
      <c r="AG103" s="366">
        <f>IF(method_reg="Метод сравнения аналогов",_xlfn.SUMIFS(INDEX('Калькуляция (МСА)'!$AE$25:$BC$109,,MATCH(AG$8,'Калькуляция (МСА)'!$AE$8:$BC$8,0)),'Калькуляция (МСА)'!$F$25:$F$109,$F103,'Калькуляция (МСА)'!$G$25:$G$109,$G103),_xlfn.SUMIFS(INDEX('Калькуляция (5.9)'!$AJ$25:$BC$192,,MATCH(AG$8,'Калькуляция (5.9)'!$AJ$8:$BC$8,0)),'Калькуляция (5.9)'!$F$25:$F$192,$F103,'Калькуляция (5.9)'!$G$25:$G$192,$G103))</f>
        <v>3456.9332</v>
      </c>
      <c r="AH103" s="366">
        <f>IF(method_reg="Метод сравнения аналогов",_xlfn.SUMIFS(INDEX('Калькуляция (МСА)'!$AE$25:$BC$109,,MATCH(AH$8,'Калькуляция (МСА)'!$AE$8:$BC$8,0)),'Калькуляция (МСА)'!$F$25:$F$109,$F103,'Калькуляция (МСА)'!$G$25:$G$109,$G103),_xlfn.SUMIFS(INDEX('Калькуляция (5.9)'!$AJ$25:$BC$192,,MATCH(AH$8,'Калькуляция (5.9)'!$AJ$8:$BC$8,0)),'Калькуляция (5.9)'!$F$25:$F$192,$F103,'Калькуляция (5.9)'!$G$25:$G$192,$G103))</f>
        <v>2956.00280997541</v>
      </c>
      <c r="AI103" s="365">
        <f>IF(AG103=0,0,(AH103-AG103)/AG103*100)</f>
        <v>-14.4906008026013</v>
      </c>
      <c r="AJ103" s="366">
        <f>IF(method_reg="Метод сравнения аналогов",_xlfn.SUMIFS(INDEX('Калькуляция (МСА)'!$AE$25:$BC$109,,MATCH(AJ$8,'Калькуляция (МСА)'!$AE$8:$BC$8,0)),'Калькуляция (МСА)'!$F$25:$F$109,$F103,'Калькуляция (МСА)'!$G$25:$G$109,$G103),_xlfn.SUMIFS(INDEX('Калькуляция (5.9)'!$AJ$25:$BC$192,,MATCH(AJ$8,'Калькуляция (5.9)'!$AJ$8:$BC$8,0)),'Калькуляция (5.9)'!$F$25:$F$192,$F103,'Калькуляция (5.9)'!$G$25:$G$192,$G103))</f>
        <v>3974.27747023121</v>
      </c>
      <c r="AK103" s="366">
        <f>IF(method_reg="Метод сравнения аналогов",_xlfn.SUMIFS(INDEX('Калькуляция (МСА)'!$AE$25:$BC$109,,MATCH(AK$8,'Калькуляция (МСА)'!$AE$8:$BC$8,0)),'Калькуляция (МСА)'!$F$25:$F$109,$F103,'Калькуляция (МСА)'!$G$25:$G$109,$G103),_xlfn.SUMIFS(INDEX('Калькуляция (5.9)'!$AJ$25:$BC$192,,MATCH(AK$8,'Калькуляция (5.9)'!$AJ$8:$BC$8,0)),'Калькуляция (5.9)'!$F$25:$F$192,$F103,'Калькуляция (5.9)'!$G$25:$G$192,$G103))</f>
        <v>3272.01479703818</v>
      </c>
      <c r="AL103" s="365">
        <f>IF(AJ103=0,0,(AK103-AJ103)/AJ103*100)</f>
        <v>-17.6701973743211</v>
      </c>
      <c r="AM103" s="366">
        <f>IF(method_reg="Метод сравнения аналогов",_xlfn.SUMIFS(INDEX('Калькуляция (МСА)'!$AE$25:$BC$109,,MATCH(AM$8,'Калькуляция (МСА)'!$AE$8:$BC$8,0)),'Калькуляция (МСА)'!$F$25:$F$109,$F103,'Калькуляция (МСА)'!$G$25:$G$109,$G103),_xlfn.SUMIFS(INDEX('Калькуляция (5.9)'!$AJ$25:$BC$192,,MATCH(AM$8,'Калькуляция (5.9)'!$AJ$8:$BC$8,0)),'Калькуляция (5.9)'!$F$25:$F$192,$F103,'Калькуляция (5.9)'!$G$25:$G$192,$G103))</f>
        <v>3723.35715</v>
      </c>
      <c r="AN103" s="366">
        <f>IF(method_reg="Метод сравнения аналогов",_xlfn.SUMIFS(INDEX('Калькуляция (МСА)'!$AE$25:$BC$109,,MATCH(AN$8,'Калькуляция (МСА)'!$AE$8:$BC$8,0)),'Калькуляция (МСА)'!$F$25:$F$109,$F103,'Калькуляция (МСА)'!$G$25:$G$109,$G103),_xlfn.SUMIFS(INDEX('Калькуляция (5.9)'!$AJ$25:$BC$192,,MATCH(AN$8,'Калькуляция (5.9)'!$AJ$8:$BC$8,0)),'Калькуляция (5.9)'!$F$25:$F$192,$F103,'Калькуляция (5.9)'!$G$25:$G$192,$G103))</f>
        <v>3117.78011942393</v>
      </c>
      <c r="AO103" s="365">
        <f>IF(AM103=0,0,(AN103-AM103)/AM103*100)</f>
        <v>-16.2642745828471</v>
      </c>
      <c r="AP103" s="366">
        <f>IF(method_reg="Метод сравнения аналогов",_xlfn.SUMIFS(INDEX('Калькуляция (МСА)'!$AE$25:$BC$109,,MATCH(AP$8,'Калькуляция (МСА)'!$AE$8:$BC$8,0)),'Калькуляция (МСА)'!$F$25:$F$109,$F103,'Калькуляция (МСА)'!$G$25:$G$109,$G103),_xlfn.SUMIFS(INDEX('Калькуляция (5.9)'!$AJ$25:$BC$192,,MATCH(AP$8,'Калькуляция (5.9)'!$AJ$8:$BC$8,0)),'Калькуляция (5.9)'!$F$25:$F$192,$F103,'Калькуляция (5.9)'!$G$25:$G$192,$G103))</f>
        <v>4284.06528583815</v>
      </c>
      <c r="AQ103" s="366">
        <f>IF(method_reg="Метод сравнения аналогов",_xlfn.SUMIFS(INDEX('Калькуляция (МСА)'!$AE$25:$BC$109,,MATCH(AQ$8,'Калькуляция (МСА)'!$AE$8:$BC$8,0)),'Калькуляция (МСА)'!$F$25:$F$109,$F103,'Калькуляция (МСА)'!$G$25:$G$109,$G103),_xlfn.SUMIFS(INDEX('Калькуляция (5.9)'!$AJ$25:$BC$192,,MATCH(AQ$8,'Калькуляция (5.9)'!$AJ$8:$BC$8,0)),'Калькуляция (5.9)'!$F$25:$F$192,$F103,'Калькуляция (5.9)'!$G$25:$G$192,$G103))</f>
        <v>3451.09335249974</v>
      </c>
      <c r="AR103" s="365">
        <f>IF(AP103=0,0,(AQ103-AP103)/AP103*100)</f>
        <v>-19.4434929853186</v>
      </c>
      <c r="AS103" s="66">
        <f>IF(method_reg="Метод сравнения аналогов",_xlfn.SUMIFS(INDEX('Калькуляция (МСА)'!$AE$25:$BC$109,,MATCH(AS$8,'Калькуляция (МСА)'!$AE$8:$BC$8,0)),'Калькуляция (МСА)'!$F$25:$F$109,$F103,'Калькуляция (МСА)'!$G$25:$G$109,$G103),_xlfn.SUMIFS(INDEX('Калькуляция (5.9)'!$AJ$25:$BC$192,,MATCH(AS$8,'Калькуляция (5.9)'!$AJ$8:$BC$8,0)),'Калькуляция (5.9)'!$F$25:$F$192,$F103,'Калькуляция (5.9)'!$G$25:$G$192,$G103))</f>
        <v>0</v>
      </c>
      <c r="AT103" s="66">
        <f>IF(method_reg="Метод сравнения аналогов",_xlfn.SUMIFS(INDEX('Калькуляция (МСА)'!$AE$25:$BC$109,,MATCH(AT$8,'Калькуляция (МСА)'!$AE$8:$BC$8,0)),'Калькуляция (МСА)'!$F$25:$F$109,$F103,'Калькуляция (МСА)'!$G$25:$G$109,$G103),_xlfn.SUMIFS(INDEX('Калькуляция (5.9)'!$AJ$25:$BC$192,,MATCH(AT$8,'Калькуляция (5.9)'!$AJ$8:$BC$8,0)),'Калькуляция (5.9)'!$F$25:$F$192,$F103,'Калькуляция (5.9)'!$G$25:$G$192,$G103))</f>
        <v>0</v>
      </c>
      <c r="AU103" s="365">
        <f>IF(AS103=0,0,(AT103-AS103)/AS103*100)</f>
        <v>0</v>
      </c>
      <c r="AV103" s="66">
        <f>IF(method_reg="Метод сравнения аналогов",_xlfn.SUMIFS(INDEX('Калькуляция (МСА)'!$AE$25:$BC$109,,MATCH(AV$8,'Калькуляция (МСА)'!$AE$8:$BC$8,0)),'Калькуляция (МСА)'!$F$25:$F$109,$F103,'Калькуляция (МСА)'!$G$25:$G$109,$G103),_xlfn.SUMIFS(INDEX('Калькуляция (5.9)'!$AJ$25:$BC$192,,MATCH(AV$8,'Калькуляция (5.9)'!$AJ$8:$BC$8,0)),'Калькуляция (5.9)'!$F$25:$F$192,$F103,'Калькуляция (5.9)'!$G$25:$G$192,$G103))</f>
        <v>0</v>
      </c>
      <c r="AW103" s="66">
        <f>IF(method_reg="Метод сравнения аналогов",_xlfn.SUMIFS(INDEX('Калькуляция (МСА)'!$AE$25:$BC$109,,MATCH(AW$8,'Калькуляция (МСА)'!$AE$8:$BC$8,0)),'Калькуляция (МСА)'!$F$25:$F$109,$F103,'Калькуляция (МСА)'!$G$25:$G$109,$G103),_xlfn.SUMIFS(INDEX('Калькуляция (5.9)'!$AJ$25:$BC$192,,MATCH(AW$8,'Калькуляция (5.9)'!$AJ$8:$BC$8,0)),'Калькуляция (5.9)'!$F$25:$F$192,$F103,'Калькуляция (5.9)'!$G$25:$G$192,$G103))</f>
        <v>0</v>
      </c>
      <c r="AX103" s="365">
        <f>IF(AV103=0,0,(AW103-AV103)/AV103*100)</f>
        <v>0</v>
      </c>
      <c r="AY103" s="66">
        <f>IF(method_reg="Метод сравнения аналогов",_xlfn.SUMIFS(INDEX('Калькуляция (МСА)'!$AE$25:$BC$109,,MATCH(AY$8,'Калькуляция (МСА)'!$AE$8:$BC$8,0)),'Калькуляция (МСА)'!$F$25:$F$109,$F103,'Калькуляция (МСА)'!$G$25:$G$109,$G103),_xlfn.SUMIFS(INDEX('Калькуляция (5.9)'!$AJ$25:$BC$192,,MATCH(AY$8,'Калькуляция (5.9)'!$AJ$8:$BC$8,0)),'Калькуляция (5.9)'!$F$25:$F$192,$F103,'Калькуляция (5.9)'!$G$25:$G$192,$G103))</f>
        <v>0</v>
      </c>
      <c r="AZ103" s="66">
        <f>IF(method_reg="Метод сравнения аналогов",_xlfn.SUMIFS(INDEX('Калькуляция (МСА)'!$AE$25:$BC$109,,MATCH(AZ$8,'Калькуляция (МСА)'!$AE$8:$BC$8,0)),'Калькуляция (МСА)'!$F$25:$F$109,$F103,'Калькуляция (МСА)'!$G$25:$G$109,$G103),_xlfn.SUMIFS(INDEX('Калькуляция (5.9)'!$AJ$25:$BC$192,,MATCH(AZ$8,'Калькуляция (5.9)'!$AJ$8:$BC$8,0)),'Калькуляция (5.9)'!$F$25:$F$192,$F103,'Калькуляция (5.9)'!$G$25:$G$192,$G103))</f>
        <v>0</v>
      </c>
      <c r="BA103" s="365">
        <f>IF(AY103=0,0,(AZ103-AY103)/AY103*100)</f>
        <v>0</v>
      </c>
      <c r="BB103" s="66">
        <f>IF(method_reg="Метод сравнения аналогов",_xlfn.SUMIFS(INDEX('Калькуляция (МСА)'!$AE$25:$BC$109,,MATCH(BB$8,'Калькуляция (МСА)'!$AE$8:$BC$8,0)),'Калькуляция (МСА)'!$F$25:$F$109,$F103,'Калькуляция (МСА)'!$G$25:$G$109,$G103),_xlfn.SUMIFS(INDEX('Калькуляция (5.9)'!$AJ$25:$BC$192,,MATCH(BB$8,'Калькуляция (5.9)'!$AJ$8:$BC$8,0)),'Калькуляция (5.9)'!$F$25:$F$192,$F103,'Калькуляция (5.9)'!$G$25:$G$192,$G103))</f>
        <v>0</v>
      </c>
      <c r="BC103" s="66">
        <f>IF(method_reg="Метод сравнения аналогов",_xlfn.SUMIFS(INDEX('Калькуляция (МСА)'!$AE$25:$BC$109,,MATCH(BC$8,'Калькуляция (МСА)'!$AE$8:$BC$8,0)),'Калькуляция (МСА)'!$F$25:$F$109,$F103,'Калькуляция (МСА)'!$G$25:$G$109,$G103),_xlfn.SUMIFS(INDEX('Калькуляция (5.9)'!$AJ$25:$BC$192,,MATCH(BC$8,'Калькуляция (5.9)'!$AJ$8:$BC$8,0)),'Калькуляция (5.9)'!$F$25:$F$192,$F103,'Калькуляция (5.9)'!$G$25:$G$192,$G103))</f>
        <v>0</v>
      </c>
      <c r="BD103" s="365">
        <f>IF(BB103=0,0,(BC103-BB103)/BB103*100)</f>
        <v>0</v>
      </c>
      <c r="BE103" s="66">
        <f>IF(method_reg="Метод сравнения аналогов",_xlfn.SUMIFS(INDEX('Калькуляция (МСА)'!$AE$25:$BC$109,,MATCH(BE$8,'Калькуляция (МСА)'!$AE$8:$BC$8,0)),'Калькуляция (МСА)'!$F$25:$F$109,$F103,'Калькуляция (МСА)'!$G$25:$G$109,$G103),_xlfn.SUMIFS(INDEX('Калькуляция (5.9)'!$AJ$25:$BC$192,,MATCH(BE$8,'Калькуляция (5.9)'!$AJ$8:$BC$8,0)),'Калькуляция (5.9)'!$F$25:$F$192,$F103,'Калькуляция (5.9)'!$G$25:$G$192,$G103))</f>
        <v>0</v>
      </c>
      <c r="BF103" s="66">
        <f>IF(method_reg="Метод сравнения аналогов",_xlfn.SUMIFS(INDEX('Калькуляция (МСА)'!$AE$25:$BC$109,,MATCH(BF$8,'Калькуляция (МСА)'!$AE$8:$BC$8,0)),'Калькуляция (МСА)'!$F$25:$F$109,$F103,'Калькуляция (МСА)'!$G$25:$G$109,$G103),_xlfn.SUMIFS(INDEX('Калькуляция (5.9)'!$AJ$25:$BC$192,,MATCH(BF$8,'Калькуляция (5.9)'!$AJ$8:$BC$8,0)),'Калькуляция (5.9)'!$F$25:$F$192,$F103,'Калькуляция (5.9)'!$G$25:$G$192,$G103))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2159</v>
      </c>
      <c r="GA103" s="1181"/>
      <c r="GB103" s="1181"/>
      <c r="GC103" s="1181"/>
      <c r="GD103" s="1181"/>
    </row>
    <row s="1619" customFormat="1" customHeight="1" ht="15" hidden="1">
      <c r="A104" s="1461"/>
      <c r="B104" s="961" cm="1" t="str">
        <f t="array" ref="B104:B104">B103</f>
        <v>false</v>
      </c>
      <c r="C104" s="1322" t="s">
        <v>1721</v>
      </c>
      <c r="D104" s="1291" t="s">
        <v>1722</v>
      </c>
      <c r="E104" s="794">
        <v>15.8</v>
      </c>
      <c r="F104" s="919" cm="1" t="str">
        <f t="array" ref="F104:F104">OFFSET(G104,-1,-1)</f>
        <v>1</v>
      </c>
      <c r="G104" s="190" t="s">
        <v>1732</v>
      </c>
      <c r="H104" s="210" t="s">
        <v>2145</v>
      </c>
      <c r="I104" s="210" t="s">
        <v>2095</v>
      </c>
      <c r="J104" s="1312"/>
      <c r="K104" s="1312" cm="1" t="str">
        <f t="array" ref="K104:K104">OFFSET(J104,-1,1)</f>
        <v>ТЭ.42.26824396.0004</v>
      </c>
      <c r="L104" s="1312"/>
      <c r="M104" s="1312" t="s">
        <v>1733</v>
      </c>
      <c r="N104" s="1312" t="s">
        <v>2091</v>
      </c>
      <c r="O104" s="1313" t="s">
        <v>2092</v>
      </c>
      <c r="P104" s="1312" t="s">
        <v>2146</v>
      </c>
      <c r="Q104" s="1312"/>
      <c r="R104" s="925"/>
      <c r="S104" s="497"/>
      <c r="T104" s="805" cm="1" t="str">
        <f t="array" ref="T104:T104">T103</f>
        <v>false</v>
      </c>
      <c r="U104" s="1461"/>
      <c r="V104" s="1461"/>
      <c r="W104" s="1461"/>
      <c r="X104" s="1461"/>
      <c r="Y104" s="1461"/>
      <c r="Z104" s="1461"/>
      <c r="AA104" s="497"/>
      <c r="AB104" s="273" t="s">
        <v>2147</v>
      </c>
      <c r="AC104" s="169" t="s">
        <v>591</v>
      </c>
      <c r="AD104" s="145">
        <f>IF(method_reg="Метод экономически обоснованных расходов",_xlfn.SUMIFS('Калькуляция (4.6)'!AJ$25:AJ$229,'Калькуляция (4.6)'!$F$25:$F$229,$F104,'Калькуляция (4.6)'!$G$25:$G$229,$G104),IF(method_reg="Метод сравнения аналогов",_xlfn.SUMIFS(INDEX('Калькуляция (МСА)'!$AE$25:$BC$109,,MATCH(AD$8,'Калькуляция (МСА)'!$AE$8:$BC$8,0)),'Калькуляция (МСА)'!$F$25:$F$109,$F104,'Калькуляция (МСА)'!$G$25:$G$109,$G104),_xlfn.SUMIFS(INDEX('Калькуляция (5.9)'!$AJ$25:$BC$192,,MATCH(AD$8,'Калькуляция (5.9)'!$AJ$8:$BC$8,0)),'Калькуляция (5.9)'!$F$25:$F$192,$F104,'Калькуляция (5.9)'!$G$25:$G$192,$G104)))</f>
        <v>346</v>
      </c>
      <c r="AE104" s="145">
        <f>IF(method_reg="Метод экономически обоснованных расходов",_xlfn.SUMIFS('Калькуляция (4.6)'!AK$25:AK$229,'Калькуляция (4.6)'!$F$25:$F$229,$F104,'Калькуляция (4.6)'!$G$25:$G$229,$G104),IF(method_reg="Метод сравнения аналогов",_xlfn.SUMIFS(INDEX('Калькуляция (МСА)'!$AE$25:$BC$109,,MATCH(AE$8,'Калькуляция (МСА)'!$AE$8:$BC$8,0)),'Калькуляция (МСА)'!$F$25:$F$109,$F104,'Калькуляция (МСА)'!$G$25:$G$109,$G104),_xlfn.SUMIFS(INDEX('Калькуляция (5.9)'!$AJ$25:$BC$192,,MATCH(AE$8,'Калькуляция (5.9)'!$AJ$8:$BC$8,0)),'Калькуляция (5.9)'!$F$25:$F$192,$F104,'Калькуляция (5.9)'!$G$25:$G$192,$G104)))</f>
        <v>346</v>
      </c>
      <c r="AF104" s="397">
        <f>IF(AD104=0,0,(AE104-AD104)/AD104*100)</f>
        <v>0</v>
      </c>
      <c r="AG104" s="413">
        <f>IF(method_reg="Метод сравнения аналогов",_xlfn.SUMIFS(INDEX('Калькуляция (МСА)'!$AE$25:$BC$109,,MATCH(AG$8,'Калькуляция (МСА)'!$AE$8:$BC$8,0)),'Калькуляция (МСА)'!$F$25:$F$109,$F104,'Калькуляция (МСА)'!$G$25:$G$109,$G104),_xlfn.SUMIFS(INDEX('Калькуляция (5.9)'!$AJ$25:$BC$192,,MATCH(AG$8,'Калькуляция (5.9)'!$AJ$8:$BC$8,0)),'Калькуляция (5.9)'!$F$25:$F$192,$F104,'Калькуляция (5.9)'!$G$25:$G$192,$G104))</f>
        <v>346</v>
      </c>
      <c r="AH104" s="413">
        <f>IF(method_reg="Метод сравнения аналогов",_xlfn.SUMIFS(INDEX('Калькуляция (МСА)'!$AE$25:$BC$109,,MATCH(AH$8,'Калькуляция (МСА)'!$AE$8:$BC$8,0)),'Калькуляция (МСА)'!$F$25:$F$109,$F104,'Калькуляция (МСА)'!$G$25:$G$109,$G104),_xlfn.SUMIFS(INDEX('Калькуляция (5.9)'!$AJ$25:$BC$192,,MATCH(AH$8,'Калькуляция (5.9)'!$AJ$8:$BC$8,0)),'Калькуляция (5.9)'!$F$25:$F$192,$F104,'Калькуляция (5.9)'!$G$25:$G$192,$G104))</f>
        <v>346</v>
      </c>
      <c r="AI104" s="397">
        <f>IF(AG104=0,0,(AH104-AG104)/AG104*100)</f>
        <v>0</v>
      </c>
      <c r="AJ104" s="413">
        <f>IF(method_reg="Метод сравнения аналогов",_xlfn.SUMIFS(INDEX('Калькуляция (МСА)'!$AE$25:$BC$109,,MATCH(AJ$8,'Калькуляция (МСА)'!$AE$8:$BC$8,0)),'Калькуляция (МСА)'!$F$25:$F$109,$F104,'Калькуляция (МСА)'!$G$25:$G$109,$G104),_xlfn.SUMIFS(INDEX('Калькуляция (5.9)'!$AJ$25:$BC$192,,MATCH(AJ$8,'Калькуляция (5.9)'!$AJ$8:$BC$8,0)),'Калькуляция (5.9)'!$F$25:$F$192,$F104,'Калькуляция (5.9)'!$G$25:$G$192,$G104))</f>
        <v>346</v>
      </c>
      <c r="AK104" s="413">
        <f>IF(method_reg="Метод сравнения аналогов",_xlfn.SUMIFS(INDEX('Калькуляция (МСА)'!$AE$25:$BC$109,,MATCH(AK$8,'Калькуляция (МСА)'!$AE$8:$BC$8,0)),'Калькуляция (МСА)'!$F$25:$F$109,$F104,'Калькуляция (МСА)'!$G$25:$G$109,$G104),_xlfn.SUMIFS(INDEX('Калькуляция (5.9)'!$AJ$25:$BC$192,,MATCH(AK$8,'Калькуляция (5.9)'!$AJ$8:$BC$8,0)),'Калькуляция (5.9)'!$F$25:$F$192,$F104,'Калькуляция (5.9)'!$G$25:$G$192,$G104))</f>
        <v>346</v>
      </c>
      <c r="AL104" s="397">
        <f>IF(AJ104=0,0,(AK104-AJ104)/AJ104*100)</f>
        <v>0</v>
      </c>
      <c r="AM104" s="413">
        <f>IF(method_reg="Метод сравнения аналогов",_xlfn.SUMIFS(INDEX('Калькуляция (МСА)'!$AE$25:$BC$109,,MATCH(AM$8,'Калькуляция (МСА)'!$AE$8:$BC$8,0)),'Калькуляция (МСА)'!$F$25:$F$109,$F104,'Калькуляция (МСА)'!$G$25:$G$109,$G104),_xlfn.SUMIFS(INDEX('Калькуляция (5.9)'!$AJ$25:$BC$192,,MATCH(AM$8,'Калькуляция (5.9)'!$AJ$8:$BC$8,0)),'Калькуляция (5.9)'!$F$25:$F$192,$F104,'Калькуляция (5.9)'!$G$25:$G$192,$G104))</f>
        <v>346</v>
      </c>
      <c r="AN104" s="413">
        <f>IF(method_reg="Метод сравнения аналогов",_xlfn.SUMIFS(INDEX('Калькуляция (МСА)'!$AE$25:$BC$109,,MATCH(AN$8,'Калькуляция (МСА)'!$AE$8:$BC$8,0)),'Калькуляция (МСА)'!$F$25:$F$109,$F104,'Калькуляция (МСА)'!$G$25:$G$109,$G104),_xlfn.SUMIFS(INDEX('Калькуляция (5.9)'!$AJ$25:$BC$192,,MATCH(AN$8,'Калькуляция (5.9)'!$AJ$8:$BC$8,0)),'Калькуляция (5.9)'!$F$25:$F$192,$F104,'Калькуляция (5.9)'!$G$25:$G$192,$G104))</f>
        <v>346</v>
      </c>
      <c r="AO104" s="397">
        <f>IF(AM104=0,0,(AN104-AM104)/AM104*100)</f>
        <v>0</v>
      </c>
      <c r="AP104" s="413">
        <f>IF(method_reg="Метод сравнения аналогов",_xlfn.SUMIFS(INDEX('Калькуляция (МСА)'!$AE$25:$BC$109,,MATCH(AP$8,'Калькуляция (МСА)'!$AE$8:$BC$8,0)),'Калькуляция (МСА)'!$F$25:$F$109,$F104,'Калькуляция (МСА)'!$G$25:$G$109,$G104),_xlfn.SUMIFS(INDEX('Калькуляция (5.9)'!$AJ$25:$BC$192,,MATCH(AP$8,'Калькуляция (5.9)'!$AJ$8:$BC$8,0)),'Калькуляция (5.9)'!$F$25:$F$192,$F104,'Калькуляция (5.9)'!$G$25:$G$192,$G104))</f>
        <v>346</v>
      </c>
      <c r="AQ104" s="413">
        <f>IF(method_reg="Метод сравнения аналогов",_xlfn.SUMIFS(INDEX('Калькуляция (МСА)'!$AE$25:$BC$109,,MATCH(AQ$8,'Калькуляция (МСА)'!$AE$8:$BC$8,0)),'Калькуляция (МСА)'!$F$25:$F$109,$F104,'Калькуляция (МСА)'!$G$25:$G$109,$G104),_xlfn.SUMIFS(INDEX('Калькуляция (5.9)'!$AJ$25:$BC$192,,MATCH(AQ$8,'Калькуляция (5.9)'!$AJ$8:$BC$8,0)),'Калькуляция (5.9)'!$F$25:$F$192,$F104,'Калькуляция (5.9)'!$G$25:$G$192,$G104))</f>
        <v>346</v>
      </c>
      <c r="AR104" s="397">
        <f>IF(AP104=0,0,(AQ104-AP104)/AP104*100)</f>
        <v>0</v>
      </c>
      <c r="AS104" s="145">
        <f>IF(method_reg="Метод сравнения аналогов",_xlfn.SUMIFS(INDEX('Калькуляция (МСА)'!$AE$25:$BC$109,,MATCH(AS$8,'Калькуляция (МСА)'!$AE$8:$BC$8,0)),'Калькуляция (МСА)'!$F$25:$F$109,$F104,'Калькуляция (МСА)'!$G$25:$G$109,$G104),_xlfn.SUMIFS(INDEX('Калькуляция (5.9)'!$AJ$25:$BC$192,,MATCH(AS$8,'Калькуляция (5.9)'!$AJ$8:$BC$8,0)),'Калькуляция (5.9)'!$F$25:$F$192,$F104,'Калькуляция (5.9)'!$G$25:$G$192,$G104))</f>
        <v>1370</v>
      </c>
      <c r="AT104" s="145">
        <f>IF(method_reg="Метод сравнения аналогов",_xlfn.SUMIFS(INDEX('Калькуляция (МСА)'!$AE$25:$BC$109,,MATCH(AT$8,'Калькуляция (МСА)'!$AE$8:$BC$8,0)),'Калькуляция (МСА)'!$F$25:$F$109,$F104,'Калькуляция (МСА)'!$G$25:$G$109,$G104),_xlfn.SUMIFS(INDEX('Калькуляция (5.9)'!$AJ$25:$BC$192,,MATCH(AT$8,'Калькуляция (5.9)'!$AJ$8:$BC$8,0)),'Калькуляция (5.9)'!$F$25:$F$192,$F104,'Калькуляция (5.9)'!$G$25:$G$192,$G104))</f>
        <v>0</v>
      </c>
      <c r="AU104" s="397">
        <f>IF(AS104=0,0,(AT104-AS104)/AS104*100)</f>
        <v>-100</v>
      </c>
      <c r="AV104" s="145">
        <f>IF(method_reg="Метод сравнения аналогов",_xlfn.SUMIFS(INDEX('Калькуляция (МСА)'!$AE$25:$BC$109,,MATCH(AV$8,'Калькуляция (МСА)'!$AE$8:$BC$8,0)),'Калькуляция (МСА)'!$F$25:$F$109,$F104,'Калькуляция (МСА)'!$G$25:$G$109,$G104),_xlfn.SUMIFS(INDEX('Калькуляция (5.9)'!$AJ$25:$BC$192,,MATCH(AV$8,'Калькуляция (5.9)'!$AJ$8:$BC$8,0)),'Калькуляция (5.9)'!$F$25:$F$192,$F104,'Калькуляция (5.9)'!$G$25:$G$192,$G104))</f>
        <v>1370</v>
      </c>
      <c r="AW104" s="145">
        <f>IF(method_reg="Метод сравнения аналогов",_xlfn.SUMIFS(INDEX('Калькуляция (МСА)'!$AE$25:$BC$109,,MATCH(AW$8,'Калькуляция (МСА)'!$AE$8:$BC$8,0)),'Калькуляция (МСА)'!$F$25:$F$109,$F104,'Калькуляция (МСА)'!$G$25:$G$109,$G104),_xlfn.SUMIFS(INDEX('Калькуляция (5.9)'!$AJ$25:$BC$192,,MATCH(AW$8,'Калькуляция (5.9)'!$AJ$8:$BC$8,0)),'Калькуляция (5.9)'!$F$25:$F$192,$F104,'Калькуляция (5.9)'!$G$25:$G$192,$G104))</f>
        <v>0</v>
      </c>
      <c r="AX104" s="397">
        <f>IF(AV104=0,0,(AW104-AV104)/AV104*100)</f>
        <v>-100</v>
      </c>
      <c r="AY104" s="145">
        <f>IF(method_reg="Метод сравнения аналогов",_xlfn.SUMIFS(INDEX('Калькуляция (МСА)'!$AE$25:$BC$109,,MATCH(AY$8,'Калькуляция (МСА)'!$AE$8:$BC$8,0)),'Калькуляция (МСА)'!$F$25:$F$109,$F104,'Калькуляция (МСА)'!$G$25:$G$109,$G104),_xlfn.SUMIFS(INDEX('Калькуляция (5.9)'!$AJ$25:$BC$192,,MATCH(AY$8,'Калькуляция (5.9)'!$AJ$8:$BC$8,0)),'Калькуляция (5.9)'!$F$25:$F$192,$F104,'Калькуляция (5.9)'!$G$25:$G$192,$G104))</f>
        <v>1370</v>
      </c>
      <c r="AZ104" s="145">
        <f>IF(method_reg="Метод сравнения аналогов",_xlfn.SUMIFS(INDEX('Калькуляция (МСА)'!$AE$25:$BC$109,,MATCH(AZ$8,'Калькуляция (МСА)'!$AE$8:$BC$8,0)),'Калькуляция (МСА)'!$F$25:$F$109,$F104,'Калькуляция (МСА)'!$G$25:$G$109,$G104),_xlfn.SUMIFS(INDEX('Калькуляция (5.9)'!$AJ$25:$BC$192,,MATCH(AZ$8,'Калькуляция (5.9)'!$AJ$8:$BC$8,0)),'Калькуляция (5.9)'!$F$25:$F$192,$F104,'Калькуляция (5.9)'!$G$25:$G$192,$G104))</f>
        <v>0</v>
      </c>
      <c r="BA104" s="397">
        <f>IF(AY104=0,0,(AZ104-AY104)/AY104*100)</f>
        <v>-100</v>
      </c>
      <c r="BB104" s="145">
        <f>IF(method_reg="Метод сравнения аналогов",_xlfn.SUMIFS(INDEX('Калькуляция (МСА)'!$AE$25:$BC$109,,MATCH(BB$8,'Калькуляция (МСА)'!$AE$8:$BC$8,0)),'Калькуляция (МСА)'!$F$25:$F$109,$F104,'Калькуляция (МСА)'!$G$25:$G$109,$G104),_xlfn.SUMIFS(INDEX('Калькуляция (5.9)'!$AJ$25:$BC$192,,MATCH(BB$8,'Калькуляция (5.9)'!$AJ$8:$BC$8,0)),'Калькуляция (5.9)'!$F$25:$F$192,$F104,'Калькуляция (5.9)'!$G$25:$G$192,$G104))</f>
        <v>1370</v>
      </c>
      <c r="BC104" s="145">
        <f>IF(method_reg="Метод сравнения аналогов",_xlfn.SUMIFS(INDEX('Калькуляция (МСА)'!$AE$25:$BC$109,,MATCH(BC$8,'Калькуляция (МСА)'!$AE$8:$BC$8,0)),'Калькуляция (МСА)'!$F$25:$F$109,$F104,'Калькуляция (МСА)'!$G$25:$G$109,$G104),_xlfn.SUMIFS(INDEX('Калькуляция (5.9)'!$AJ$25:$BC$192,,MATCH(BC$8,'Калькуляция (5.9)'!$AJ$8:$BC$8,0)),'Калькуляция (5.9)'!$F$25:$F$192,$F104,'Калькуляция (5.9)'!$G$25:$G$192,$G104))</f>
        <v>0</v>
      </c>
      <c r="BD104" s="397">
        <f>IF(BB104=0,0,(BC104-BB104)/BB104*100)</f>
        <v>-100</v>
      </c>
      <c r="BE104" s="145">
        <f>IF(method_reg="Метод сравнения аналогов",_xlfn.SUMIFS(INDEX('Калькуляция (МСА)'!$AE$25:$BC$109,,MATCH(BE$8,'Калькуляция (МСА)'!$AE$8:$BC$8,0)),'Калькуляция (МСА)'!$F$25:$F$109,$F104,'Калькуляция (МСА)'!$G$25:$G$109,$G104),_xlfn.SUMIFS(INDEX('Калькуляция (5.9)'!$AJ$25:$BC$192,,MATCH(BE$8,'Калькуляция (5.9)'!$AJ$8:$BC$8,0)),'Калькуляция (5.9)'!$F$25:$F$192,$F104,'Калькуляция (5.9)'!$G$25:$G$192,$G104))</f>
        <v>1370</v>
      </c>
      <c r="BF104" s="145">
        <f>IF(method_reg="Метод сравнения аналогов",_xlfn.SUMIFS(INDEX('Калькуляция (МСА)'!$AE$25:$BC$109,,MATCH(BF$8,'Калькуляция (МСА)'!$AE$8:$BC$8,0)),'Калькуляция (МСА)'!$F$25:$F$109,$F104,'Калькуляция (МСА)'!$G$25:$G$109,$G104),_xlfn.SUMIFS(INDEX('Калькуляция (5.9)'!$AJ$25:$BC$192,,MATCH(BF$8,'Калькуляция (5.9)'!$AJ$8:$BC$8,0)),'Калькуляция (5.9)'!$F$25:$F$192,$F104,'Калькуляция (5.9)'!$G$25:$G$192,$G104))</f>
        <v>0</v>
      </c>
      <c r="BG104" s="397">
        <f>IF(BE104=0,0,(BF104-BE104)/BE104*100)</f>
        <v>-100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2160</v>
      </c>
      <c r="GA104" s="1181"/>
      <c r="GB104" s="1181"/>
      <c r="GC104" s="1181"/>
      <c r="GD104" s="1181"/>
    </row>
    <row s="1619" customFormat="1" customHeight="1" ht="30" hidden="1">
      <c r="A105" s="1461"/>
      <c r="B105" s="961" cm="1" t="str">
        <f t="array" ref="B105:B105">B104</f>
        <v>false</v>
      </c>
      <c r="C105" s="1322" t="s">
        <v>1775</v>
      </c>
      <c r="D105" s="1291" t="s">
        <v>1776</v>
      </c>
      <c r="E105" s="794">
        <v>31.5</v>
      </c>
      <c r="F105" s="919" cm="1" t="str">
        <f t="array" ref="F105:F105">OFFSET(G105,-1,-1)</f>
        <v>1</v>
      </c>
      <c r="G105" s="736" t="s">
        <v>1781</v>
      </c>
      <c r="H105" s="210" t="s">
        <v>2149</v>
      </c>
      <c r="I105" s="210" t="s">
        <v>2095</v>
      </c>
      <c r="J105" s="1312"/>
      <c r="K105" s="1312" cm="1" t="str">
        <f t="array" ref="K105:K105">OFFSET(J105,-1,1)</f>
        <v>ТЭ.42.26824396.0004</v>
      </c>
      <c r="L105" s="1312"/>
      <c r="M105" s="1312" t="s">
        <v>1733</v>
      </c>
      <c r="N105" s="1312" t="s">
        <v>2091</v>
      </c>
      <c r="O105" s="1313" t="s">
        <v>2092</v>
      </c>
      <c r="P105" s="1312" t="s">
        <v>2150</v>
      </c>
      <c r="Q105" s="1312"/>
      <c r="R105" s="925"/>
      <c r="S105" s="497"/>
      <c r="T105" s="805" cm="1" t="str">
        <f t="array" ref="T105:T105">T104</f>
        <v>false</v>
      </c>
      <c r="U105" s="1461"/>
      <c r="V105" s="1461"/>
      <c r="W105" s="1461"/>
      <c r="X105" s="1461"/>
      <c r="Y105" s="1461"/>
      <c r="Z105" s="1461"/>
      <c r="AA105" s="497"/>
      <c r="AB105" s="273" t="s">
        <v>2151</v>
      </c>
      <c r="AC105" s="517" t="s">
        <v>1779</v>
      </c>
      <c r="AD105" s="66">
        <f>IF(method_reg="Метод экономически обоснованных расходов",_xlfn.SUMIFS('Калькуляция (4.6)'!AJ$25:AJ$229,'Калькуляция (4.6)'!$F$25:$F$229,$F105,'Калькуляция (4.6)'!$G$25:$G$229,$G105),IF(method_reg="Метод сравнения аналогов",_xlfn.SUMIFS(INDEX('Калькуляция (МСА)'!$AE$25:$BC$109,,MATCH(AD$8,'Калькуляция (МСА)'!$AE$8:$BC$8,0)),'Калькуляция (МСА)'!$F$25:$F$109,$F105,'Калькуляция (МСА)'!$G$25:$G$109,$G105),_xlfn.SUMIFS(INDEX('Калькуляция (5.9)'!$AJ$25:$BC$192,,MATCH(AD$8,'Калькуляция (5.9)'!$AJ$8:$BC$8,0)),'Калькуляция (5.9)'!$F$25:$F$192,$F105,'Калькуляция (5.9)'!$G$25:$G$192,$G105)))</f>
        <v>0</v>
      </c>
      <c r="AE105" s="66">
        <f>IF(method_reg="Метод экономически обоснованных расходов",_xlfn.SUMIFS('Калькуляция (4.6)'!AK$25:AK$229,'Калькуляция (4.6)'!$F$25:$F$229,$F105,'Калькуляция (4.6)'!$G$25:$G$229,$G105),IF(method_reg="Метод сравнения аналогов",_xlfn.SUMIFS(INDEX('Калькуляция (МСА)'!$AE$25:$BC$109,,MATCH(AE$8,'Калькуляция (МСА)'!$AE$8:$BC$8,0)),'Калькуляция (МСА)'!$F$25:$F$109,$F105,'Калькуляция (МСА)'!$G$25:$G$109,$G105),_xlfn.SUMIFS(INDEX('Калькуляция (5.9)'!$AJ$25:$BC$192,,MATCH(AE$8,'Калькуляция (5.9)'!$AJ$8:$BC$8,0)),'Калькуляция (5.9)'!$F$25:$F$192,$F105,'Калькуляция (5.9)'!$G$25:$G$192,$G105)))</f>
        <v>0</v>
      </c>
      <c r="AF105" s="365">
        <f>IF(AD105=0,0,(AE105-AD105)/AD105*100)</f>
        <v>0</v>
      </c>
      <c r="AG105" s="366">
        <f>IF(method_reg="Метод сравнения аналогов",_xlfn.SUMIFS(INDEX('Калькуляция (МСА)'!$AE$25:$BC$109,,MATCH(AG$8,'Калькуляция (МСА)'!$AE$8:$BC$8,0)),'Калькуляция (МСА)'!$F$25:$F$109,$F105,'Калькуляция (МСА)'!$G$25:$G$109,$G105),_xlfn.SUMIFS(INDEX('Калькуляция (5.9)'!$AJ$25:$BC$192,,MATCH(AG$8,'Калькуляция (5.9)'!$AJ$8:$BC$8,0)),'Калькуляция (5.9)'!$F$25:$F$192,$F105,'Калькуляция (5.9)'!$G$25:$G$192,$G105))</f>
        <v>0</v>
      </c>
      <c r="AH105" s="366">
        <f>IF(method_reg="Метод сравнения аналогов",_xlfn.SUMIFS(INDEX('Калькуляция (МСА)'!$AE$25:$BC$109,,MATCH(AH$8,'Калькуляция (МСА)'!$AE$8:$BC$8,0)),'Калькуляция (МСА)'!$F$25:$F$109,$F105,'Калькуляция (МСА)'!$G$25:$G$109,$G105),_xlfn.SUMIFS(INDEX('Калькуляция (5.9)'!$AJ$25:$BC$192,,MATCH(AH$8,'Калькуляция (5.9)'!$AJ$8:$BC$8,0)),'Калькуляция (5.9)'!$F$25:$F$192,$F105,'Калькуляция (5.9)'!$G$25:$G$192,$G105))</f>
        <v>0</v>
      </c>
      <c r="AI105" s="365">
        <f>IF(AG105=0,0,(AH105-AG105)/AG105*100)</f>
        <v>0</v>
      </c>
      <c r="AJ105" s="366">
        <f>IF(method_reg="Метод сравнения аналогов",_xlfn.SUMIFS(INDEX('Калькуляция (МСА)'!$AE$25:$BC$109,,MATCH(AJ$8,'Калькуляция (МСА)'!$AE$8:$BC$8,0)),'Калькуляция (МСА)'!$F$25:$F$109,$F105,'Калькуляция (МСА)'!$G$25:$G$109,$G105),_xlfn.SUMIFS(INDEX('Калькуляция (5.9)'!$AJ$25:$BC$192,,MATCH(AJ$8,'Калькуляция (5.9)'!$AJ$8:$BC$8,0)),'Калькуляция (5.9)'!$F$25:$F$192,$F105,'Калькуляция (5.9)'!$G$25:$G$192,$G105))</f>
        <v>0</v>
      </c>
      <c r="AK105" s="366">
        <f>IF(method_reg="Метод сравнения аналогов",_xlfn.SUMIFS(INDEX('Калькуляция (МСА)'!$AE$25:$BC$109,,MATCH(AK$8,'Калькуляция (МСА)'!$AE$8:$BC$8,0)),'Калькуляция (МСА)'!$F$25:$F$109,$F105,'Калькуляция (МСА)'!$G$25:$G$109,$G105),_xlfn.SUMIFS(INDEX('Калькуляция (5.9)'!$AJ$25:$BC$192,,MATCH(AK$8,'Калькуляция (5.9)'!$AJ$8:$BC$8,0)),'Калькуляция (5.9)'!$F$25:$F$192,$F105,'Калькуляция (5.9)'!$G$25:$G$192,$G105))</f>
        <v>0</v>
      </c>
      <c r="AL105" s="365">
        <f>IF(AJ105=0,0,(AK105-AJ105)/AJ105*100)</f>
        <v>0</v>
      </c>
      <c r="AM105" s="366">
        <f>IF(method_reg="Метод сравнения аналогов",_xlfn.SUMIFS(INDEX('Калькуляция (МСА)'!$AE$25:$BC$109,,MATCH(AM$8,'Калькуляция (МСА)'!$AE$8:$BC$8,0)),'Калькуляция (МСА)'!$F$25:$F$109,$F105,'Калькуляция (МСА)'!$G$25:$G$109,$G105),_xlfn.SUMIFS(INDEX('Калькуляция (5.9)'!$AJ$25:$BC$192,,MATCH(AM$8,'Калькуляция (5.9)'!$AJ$8:$BC$8,0)),'Калькуляция (5.9)'!$F$25:$F$192,$F105,'Калькуляция (5.9)'!$G$25:$G$192,$G105))</f>
        <v>0</v>
      </c>
      <c r="AN105" s="366">
        <f>IF(method_reg="Метод сравнения аналогов",_xlfn.SUMIFS(INDEX('Калькуляция (МСА)'!$AE$25:$BC$109,,MATCH(AN$8,'Калькуляция (МСА)'!$AE$8:$BC$8,0)),'Калькуляция (МСА)'!$F$25:$F$109,$F105,'Калькуляция (МСА)'!$G$25:$G$109,$G105),_xlfn.SUMIFS(INDEX('Калькуляция (5.9)'!$AJ$25:$BC$192,,MATCH(AN$8,'Калькуляция (5.9)'!$AJ$8:$BC$8,0)),'Калькуляция (5.9)'!$F$25:$F$192,$F105,'Калькуляция (5.9)'!$G$25:$G$192,$G105))</f>
        <v>0</v>
      </c>
      <c r="AO105" s="365">
        <f>IF(AM105=0,0,(AN105-AM105)/AM105*100)</f>
        <v>0</v>
      </c>
      <c r="AP105" s="366">
        <f>IF(method_reg="Метод сравнения аналогов",_xlfn.SUMIFS(INDEX('Калькуляция (МСА)'!$AE$25:$BC$109,,MATCH(AP$8,'Калькуляция (МСА)'!$AE$8:$BC$8,0)),'Калькуляция (МСА)'!$F$25:$F$109,$F105,'Калькуляция (МСА)'!$G$25:$G$109,$G105),_xlfn.SUMIFS(INDEX('Калькуляция (5.9)'!$AJ$25:$BC$192,,MATCH(AP$8,'Калькуляция (5.9)'!$AJ$8:$BC$8,0)),'Калькуляция (5.9)'!$F$25:$F$192,$F105,'Калькуляция (5.9)'!$G$25:$G$192,$G105))</f>
        <v>0</v>
      </c>
      <c r="AQ105" s="366">
        <f>IF(method_reg="Метод сравнения аналогов",_xlfn.SUMIFS(INDEX('Калькуляция (МСА)'!$AE$25:$BC$109,,MATCH(AQ$8,'Калькуляция (МСА)'!$AE$8:$BC$8,0)),'Калькуляция (МСА)'!$F$25:$F$109,$F105,'Калькуляция (МСА)'!$G$25:$G$109,$G105),_xlfn.SUMIFS(INDEX('Калькуляция (5.9)'!$AJ$25:$BC$192,,MATCH(AQ$8,'Калькуляция (5.9)'!$AJ$8:$BC$8,0)),'Калькуляция (5.9)'!$F$25:$F$192,$F105,'Калькуляция (5.9)'!$G$25:$G$192,$G105))</f>
        <v>0</v>
      </c>
      <c r="AR105" s="365">
        <f>IF(AP105=0,0,(AQ105-AP105)/AP105*100)</f>
        <v>0</v>
      </c>
      <c r="AS105" s="66">
        <f>IF(method_reg="Метод сравнения аналогов",_xlfn.SUMIFS(INDEX('Калькуляция (МСА)'!$AE$25:$BC$109,,MATCH(AS$8,'Калькуляция (МСА)'!$AE$8:$BC$8,0)),'Калькуляция (МСА)'!$F$25:$F$109,$F105,'Калькуляция (МСА)'!$G$25:$G$109,$G105),_xlfn.SUMIFS(INDEX('Калькуляция (5.9)'!$AJ$25:$BC$192,,MATCH(AS$8,'Калькуляция (5.9)'!$AJ$8:$BC$8,0)),'Калькуляция (5.9)'!$F$25:$F$192,$F105,'Калькуляция (5.9)'!$G$25:$G$192,$G105))</f>
        <v>0</v>
      </c>
      <c r="AT105" s="66">
        <f>IF(method_reg="Метод сравнения аналогов",_xlfn.SUMIFS(INDEX('Калькуляция (МСА)'!$AE$25:$BC$109,,MATCH(AT$8,'Калькуляция (МСА)'!$AE$8:$BC$8,0)),'Калькуляция (МСА)'!$F$25:$F$109,$F105,'Калькуляция (МСА)'!$G$25:$G$109,$G105),_xlfn.SUMIFS(INDEX('Калькуляция (5.9)'!$AJ$25:$BC$192,,MATCH(AT$8,'Калькуляция (5.9)'!$AJ$8:$BC$8,0)),'Калькуляция (5.9)'!$F$25:$F$192,$F105,'Калькуляция (5.9)'!$G$25:$G$192,$G105))</f>
        <v>0</v>
      </c>
      <c r="AU105" s="365">
        <f>IF(AS105=0,0,(AT105-AS105)/AS105*100)</f>
        <v>0</v>
      </c>
      <c r="AV105" s="66">
        <f>IF(method_reg="Метод сравнения аналогов",_xlfn.SUMIFS(INDEX('Калькуляция (МСА)'!$AE$25:$BC$109,,MATCH(AV$8,'Калькуляция (МСА)'!$AE$8:$BC$8,0)),'Калькуляция (МСА)'!$F$25:$F$109,$F105,'Калькуляция (МСА)'!$G$25:$G$109,$G105),_xlfn.SUMIFS(INDEX('Калькуляция (5.9)'!$AJ$25:$BC$192,,MATCH(AV$8,'Калькуляция (5.9)'!$AJ$8:$BC$8,0)),'Калькуляция (5.9)'!$F$25:$F$192,$F105,'Калькуляция (5.9)'!$G$25:$G$192,$G105))</f>
        <v>0</v>
      </c>
      <c r="AW105" s="66">
        <f>IF(method_reg="Метод сравнения аналогов",_xlfn.SUMIFS(INDEX('Калькуляция (МСА)'!$AE$25:$BC$109,,MATCH(AW$8,'Калькуляция (МСА)'!$AE$8:$BC$8,0)),'Калькуляция (МСА)'!$F$25:$F$109,$F105,'Калькуляция (МСА)'!$G$25:$G$109,$G105),_xlfn.SUMIFS(INDEX('Калькуляция (5.9)'!$AJ$25:$BC$192,,MATCH(AW$8,'Калькуляция (5.9)'!$AJ$8:$BC$8,0)),'Калькуляция (5.9)'!$F$25:$F$192,$F105,'Калькуляция (5.9)'!$G$25:$G$192,$G105))</f>
        <v>0</v>
      </c>
      <c r="AX105" s="365">
        <f>IF(AV105=0,0,(AW105-AV105)/AV105*100)</f>
        <v>0</v>
      </c>
      <c r="AY105" s="66">
        <f>IF(method_reg="Метод сравнения аналогов",_xlfn.SUMIFS(INDEX('Калькуляция (МСА)'!$AE$25:$BC$109,,MATCH(AY$8,'Калькуляция (МСА)'!$AE$8:$BC$8,0)),'Калькуляция (МСА)'!$F$25:$F$109,$F105,'Калькуляция (МСА)'!$G$25:$G$109,$G105),_xlfn.SUMIFS(INDEX('Калькуляция (5.9)'!$AJ$25:$BC$192,,MATCH(AY$8,'Калькуляция (5.9)'!$AJ$8:$BC$8,0)),'Калькуляция (5.9)'!$F$25:$F$192,$F105,'Калькуляция (5.9)'!$G$25:$G$192,$G105))</f>
        <v>0</v>
      </c>
      <c r="AZ105" s="66">
        <f>IF(method_reg="Метод сравнения аналогов",_xlfn.SUMIFS(INDEX('Калькуляция (МСА)'!$AE$25:$BC$109,,MATCH(AZ$8,'Калькуляция (МСА)'!$AE$8:$BC$8,0)),'Калькуляция (МСА)'!$F$25:$F$109,$F105,'Калькуляция (МСА)'!$G$25:$G$109,$G105),_xlfn.SUMIFS(INDEX('Калькуляция (5.9)'!$AJ$25:$BC$192,,MATCH(AZ$8,'Калькуляция (5.9)'!$AJ$8:$BC$8,0)),'Калькуляция (5.9)'!$F$25:$F$192,$F105,'Калькуляция (5.9)'!$G$25:$G$192,$G105))</f>
        <v>0</v>
      </c>
      <c r="BA105" s="365">
        <f>IF(AY105=0,0,(AZ105-AY105)/AY105*100)</f>
        <v>0</v>
      </c>
      <c r="BB105" s="66">
        <f>IF(method_reg="Метод сравнения аналогов",_xlfn.SUMIFS(INDEX('Калькуляция (МСА)'!$AE$25:$BC$109,,MATCH(BB$8,'Калькуляция (МСА)'!$AE$8:$BC$8,0)),'Калькуляция (МСА)'!$F$25:$F$109,$F105,'Калькуляция (МСА)'!$G$25:$G$109,$G105),_xlfn.SUMIFS(INDEX('Калькуляция (5.9)'!$AJ$25:$BC$192,,MATCH(BB$8,'Калькуляция (5.9)'!$AJ$8:$BC$8,0)),'Калькуляция (5.9)'!$F$25:$F$192,$F105,'Калькуляция (5.9)'!$G$25:$G$192,$G105))</f>
        <v>0</v>
      </c>
      <c r="BC105" s="66">
        <f>IF(method_reg="Метод сравнения аналогов",_xlfn.SUMIFS(INDEX('Калькуляция (МСА)'!$AE$25:$BC$109,,MATCH(BC$8,'Калькуляция (МСА)'!$AE$8:$BC$8,0)),'Калькуляция (МСА)'!$F$25:$F$109,$F105,'Калькуляция (МСА)'!$G$25:$G$109,$G105),_xlfn.SUMIFS(INDEX('Калькуляция (5.9)'!$AJ$25:$BC$192,,MATCH(BC$8,'Калькуляция (5.9)'!$AJ$8:$BC$8,0)),'Калькуляция (5.9)'!$F$25:$F$192,$F105,'Калькуляция (5.9)'!$G$25:$G$192,$G105))</f>
        <v>0</v>
      </c>
      <c r="BD105" s="365">
        <f>IF(BB105=0,0,(BC105-BB105)/BB105*100)</f>
        <v>0</v>
      </c>
      <c r="BE105" s="66">
        <f>IF(method_reg="Метод сравнения аналогов",_xlfn.SUMIFS(INDEX('Калькуляция (МСА)'!$AE$25:$BC$109,,MATCH(BE$8,'Калькуляция (МСА)'!$AE$8:$BC$8,0)),'Калькуляция (МСА)'!$F$25:$F$109,$F105,'Калькуляция (МСА)'!$G$25:$G$109,$G105),_xlfn.SUMIFS(INDEX('Калькуляция (5.9)'!$AJ$25:$BC$192,,MATCH(BE$8,'Калькуляция (5.9)'!$AJ$8:$BC$8,0)),'Калькуляция (5.9)'!$F$25:$F$192,$F105,'Калькуляция (5.9)'!$G$25:$G$192,$G105))</f>
        <v>0</v>
      </c>
      <c r="BF105" s="66">
        <f>IF(method_reg="Метод сравнения аналогов",_xlfn.SUMIFS(INDEX('Калькуляция (МСА)'!$AE$25:$BC$109,,MATCH(BF$8,'Калькуляция (МСА)'!$AE$8:$BC$8,0)),'Калькуляция (МСА)'!$F$25:$F$109,$F105,'Калькуляция (МСА)'!$G$25:$G$109,$G105),_xlfn.SUMIFS(INDEX('Калькуляция (5.9)'!$AJ$25:$BC$192,,MATCH(BF$8,'Калькуляция (5.9)'!$AJ$8:$BC$8,0)),'Калькуляция (5.9)'!$F$25:$F$192,$F105,'Калькуляция (5.9)'!$G$25:$G$192,$G105))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2161</v>
      </c>
      <c r="GA105" s="1181"/>
      <c r="GB105" s="1181"/>
      <c r="GC105" s="1181"/>
      <c r="GD105" s="1181"/>
    </row>
    <row s="1619" customFormat="1" customHeight="1" ht="15" hidden="1">
      <c r="A106" s="1461"/>
      <c r="B106" s="961" cm="1" t="str">
        <f t="array" ref="B106:B106">B105</f>
        <v>false</v>
      </c>
      <c r="C106" s="1322" t="s">
        <v>1747</v>
      </c>
      <c r="D106" s="1291" t="s">
        <v>1748</v>
      </c>
      <c r="E106" s="794">
        <v>15.8</v>
      </c>
      <c r="F106" s="919" cm="1" t="str">
        <f t="array" ref="F106:F106">OFFSET(G106,-1,-1)</f>
        <v>1</v>
      </c>
      <c r="G106" s="736" t="s">
        <v>1754</v>
      </c>
      <c r="H106" s="210" t="s">
        <v>2153</v>
      </c>
      <c r="I106" s="210" t="s">
        <v>2095</v>
      </c>
      <c r="J106" s="1312"/>
      <c r="K106" s="1312" cm="1" t="str">
        <f t="array" ref="K106:K106">OFFSET(J106,-1,1)</f>
        <v>ТЭ.42.26824396.0004</v>
      </c>
      <c r="L106" s="1312"/>
      <c r="M106" s="1312" t="s">
        <v>1733</v>
      </c>
      <c r="N106" s="1312" t="s">
        <v>2091</v>
      </c>
      <c r="O106" s="1313" t="s">
        <v>2092</v>
      </c>
      <c r="P106" s="1312" t="s">
        <v>2154</v>
      </c>
      <c r="Q106" s="1312"/>
      <c r="R106" s="925"/>
      <c r="S106" s="497"/>
      <c r="T106" s="805" cm="1" t="str">
        <f t="array" ref="T106:T106">T105</f>
        <v>false</v>
      </c>
      <c r="U106" s="1461"/>
      <c r="V106" s="1461"/>
      <c r="W106" s="1461"/>
      <c r="X106" s="1461"/>
      <c r="Y106" s="1461"/>
      <c r="Z106" s="1461"/>
      <c r="AA106" s="497"/>
      <c r="AB106" s="273" t="s">
        <v>2155</v>
      </c>
      <c r="AC106" s="664" t="s">
        <v>690</v>
      </c>
      <c r="AD106" s="66">
        <f>IF(method_reg="Метод экономически обоснованных расходов",_xlfn.SUMIFS('Калькуляция (4.6)'!AJ$25:AJ$229,'Калькуляция (4.6)'!$F$25:$F$229,$F106,'Калькуляция (4.6)'!$G$25:$G$229,$G106),IF(method_reg="Метод сравнения аналогов",_xlfn.SUMIFS(INDEX('Калькуляция (МСА)'!$AE$25:$BC$109,,MATCH(AD$8,'Калькуляция (МСА)'!$AE$8:$BC$8,0)),'Калькуляция (МСА)'!$F$25:$F$109,$F106,'Калькуляция (МСА)'!$G$25:$G$109,$G106),_xlfn.SUMIFS(INDEX('Калькуляция (5.9)'!$AJ$25:$BC$192,,MATCH(AD$8,'Калькуляция (5.9)'!$AJ$8:$BC$8,0)),'Калькуляция (5.9)'!$F$25:$F$192,$F106,'Калькуляция (5.9)'!$G$25:$G$192,$G106)))</f>
        <v>0</v>
      </c>
      <c r="AE106" s="66">
        <f>IF(method_reg="Метод экономически обоснованных расходов",_xlfn.SUMIFS('Калькуляция (4.6)'!AK$25:AK$229,'Калькуляция (4.6)'!$F$25:$F$229,$F106,'Калькуляция (4.6)'!$G$25:$G$229,$G106),IF(method_reg="Метод сравнения аналогов",_xlfn.SUMIFS(INDEX('Калькуляция (МСА)'!$AE$25:$BC$109,,MATCH(AE$8,'Калькуляция (МСА)'!$AE$8:$BC$8,0)),'Калькуляция (МСА)'!$F$25:$F$109,$F106,'Калькуляция (МСА)'!$G$25:$G$109,$G106),_xlfn.SUMIFS(INDEX('Калькуляция (5.9)'!$AJ$25:$BC$192,,MATCH(AE$8,'Калькуляция (5.9)'!$AJ$8:$BC$8,0)),'Калькуляция (5.9)'!$F$25:$F$192,$F106,'Калькуляция (5.9)'!$G$25:$G$192,$G106)))</f>
        <v>0</v>
      </c>
      <c r="AF106" s="365">
        <f>IF(AD106=0,0,(AE106-AD106)/AD106*100)</f>
        <v>0</v>
      </c>
      <c r="AG106" s="366">
        <f>IF(method_reg="Метод сравнения аналогов",_xlfn.SUMIFS(INDEX('Калькуляция (МСА)'!$AE$25:$BC$109,,MATCH(AG$8,'Калькуляция (МСА)'!$AE$8:$BC$8,0)),'Калькуляция (МСА)'!$F$25:$F$109,$F106,'Калькуляция (МСА)'!$G$25:$G$109,$G106),_xlfn.SUMIFS(INDEX('Калькуляция (5.9)'!$AJ$25:$BC$192,,MATCH(AG$8,'Калькуляция (5.9)'!$AJ$8:$BC$8,0)),'Калькуляция (5.9)'!$F$25:$F$192,$F106,'Калькуляция (5.9)'!$G$25:$G$192,$G106))</f>
        <v>0</v>
      </c>
      <c r="AH106" s="366">
        <f>IF(method_reg="Метод сравнения аналогов",_xlfn.SUMIFS(INDEX('Калькуляция (МСА)'!$AE$25:$BC$109,,MATCH(AH$8,'Калькуляция (МСА)'!$AE$8:$BC$8,0)),'Калькуляция (МСА)'!$F$25:$F$109,$F106,'Калькуляция (МСА)'!$G$25:$G$109,$G106),_xlfn.SUMIFS(INDEX('Калькуляция (5.9)'!$AJ$25:$BC$192,,MATCH(AH$8,'Калькуляция (5.9)'!$AJ$8:$BC$8,0)),'Калькуляция (5.9)'!$F$25:$F$192,$F106,'Калькуляция (5.9)'!$G$25:$G$192,$G106))</f>
        <v>0</v>
      </c>
      <c r="AI106" s="365">
        <f>IF(AG106=0,0,(AH106-AG106)/AG106*100)</f>
        <v>0</v>
      </c>
      <c r="AJ106" s="366">
        <f>IF(method_reg="Метод сравнения аналогов",_xlfn.SUMIFS(INDEX('Калькуляция (МСА)'!$AE$25:$BC$109,,MATCH(AJ$8,'Калькуляция (МСА)'!$AE$8:$BC$8,0)),'Калькуляция (МСА)'!$F$25:$F$109,$F106,'Калькуляция (МСА)'!$G$25:$G$109,$G106),_xlfn.SUMIFS(INDEX('Калькуляция (5.9)'!$AJ$25:$BC$192,,MATCH(AJ$8,'Калькуляция (5.9)'!$AJ$8:$BC$8,0)),'Калькуляция (5.9)'!$F$25:$F$192,$F106,'Калькуляция (5.9)'!$G$25:$G$192,$G106))</f>
        <v>0</v>
      </c>
      <c r="AK106" s="366">
        <f>IF(method_reg="Метод сравнения аналогов",_xlfn.SUMIFS(INDEX('Калькуляция (МСА)'!$AE$25:$BC$109,,MATCH(AK$8,'Калькуляция (МСА)'!$AE$8:$BC$8,0)),'Калькуляция (МСА)'!$F$25:$F$109,$F106,'Калькуляция (МСА)'!$G$25:$G$109,$G106),_xlfn.SUMIFS(INDEX('Калькуляция (5.9)'!$AJ$25:$BC$192,,MATCH(AK$8,'Калькуляция (5.9)'!$AJ$8:$BC$8,0)),'Калькуляция (5.9)'!$F$25:$F$192,$F106,'Калькуляция (5.9)'!$G$25:$G$192,$G106))</f>
        <v>0</v>
      </c>
      <c r="AL106" s="365">
        <f>IF(AJ106=0,0,(AK106-AJ106)/AJ106*100)</f>
        <v>0</v>
      </c>
      <c r="AM106" s="366">
        <f>IF(method_reg="Метод сравнения аналогов",_xlfn.SUMIFS(INDEX('Калькуляция (МСА)'!$AE$25:$BC$109,,MATCH(AM$8,'Калькуляция (МСА)'!$AE$8:$BC$8,0)),'Калькуляция (МСА)'!$F$25:$F$109,$F106,'Калькуляция (МСА)'!$G$25:$G$109,$G106),_xlfn.SUMIFS(INDEX('Калькуляция (5.9)'!$AJ$25:$BC$192,,MATCH(AM$8,'Калькуляция (5.9)'!$AJ$8:$BC$8,0)),'Калькуляция (5.9)'!$F$25:$F$192,$F106,'Калькуляция (5.9)'!$G$25:$G$192,$G106))</f>
        <v>0</v>
      </c>
      <c r="AN106" s="366">
        <f>IF(method_reg="Метод сравнения аналогов",_xlfn.SUMIFS(INDEX('Калькуляция (МСА)'!$AE$25:$BC$109,,MATCH(AN$8,'Калькуляция (МСА)'!$AE$8:$BC$8,0)),'Калькуляция (МСА)'!$F$25:$F$109,$F106,'Калькуляция (МСА)'!$G$25:$G$109,$G106),_xlfn.SUMIFS(INDEX('Калькуляция (5.9)'!$AJ$25:$BC$192,,MATCH(AN$8,'Калькуляция (5.9)'!$AJ$8:$BC$8,0)),'Калькуляция (5.9)'!$F$25:$F$192,$F106,'Калькуляция (5.9)'!$G$25:$G$192,$G106))</f>
        <v>0</v>
      </c>
      <c r="AO106" s="365">
        <f>IF(AM106=0,0,(AN106-AM106)/AM106*100)</f>
        <v>0</v>
      </c>
      <c r="AP106" s="366">
        <f>IF(method_reg="Метод сравнения аналогов",_xlfn.SUMIFS(INDEX('Калькуляция (МСА)'!$AE$25:$BC$109,,MATCH(AP$8,'Калькуляция (МСА)'!$AE$8:$BC$8,0)),'Калькуляция (МСА)'!$F$25:$F$109,$F106,'Калькуляция (МСА)'!$G$25:$G$109,$G106),_xlfn.SUMIFS(INDEX('Калькуляция (5.9)'!$AJ$25:$BC$192,,MATCH(AP$8,'Калькуляция (5.9)'!$AJ$8:$BC$8,0)),'Калькуляция (5.9)'!$F$25:$F$192,$F106,'Калькуляция (5.9)'!$G$25:$G$192,$G106))</f>
        <v>0</v>
      </c>
      <c r="AQ106" s="366">
        <f>IF(method_reg="Метод сравнения аналогов",_xlfn.SUMIFS(INDEX('Калькуляция (МСА)'!$AE$25:$BC$109,,MATCH(AQ$8,'Калькуляция (МСА)'!$AE$8:$BC$8,0)),'Калькуляция (МСА)'!$F$25:$F$109,$F106,'Калькуляция (МСА)'!$G$25:$G$109,$G106),_xlfn.SUMIFS(INDEX('Калькуляция (5.9)'!$AJ$25:$BC$192,,MATCH(AQ$8,'Калькуляция (5.9)'!$AJ$8:$BC$8,0)),'Калькуляция (5.9)'!$F$25:$F$192,$F106,'Калькуляция (5.9)'!$G$25:$G$192,$G106))</f>
        <v>0</v>
      </c>
      <c r="AR106" s="365">
        <f>IF(AP106=0,0,(AQ106-AP106)/AP106*100)</f>
        <v>0</v>
      </c>
      <c r="AS106" s="66">
        <f>IF(method_reg="Метод сравнения аналогов",_xlfn.SUMIFS(INDEX('Калькуляция (МСА)'!$AE$25:$BC$109,,MATCH(AS$8,'Калькуляция (МСА)'!$AE$8:$BC$8,0)),'Калькуляция (МСА)'!$F$25:$F$109,$F106,'Калькуляция (МСА)'!$G$25:$G$109,$G106),_xlfn.SUMIFS(INDEX('Калькуляция (5.9)'!$AJ$25:$BC$192,,MATCH(AS$8,'Калькуляция (5.9)'!$AJ$8:$BC$8,0)),'Калькуляция (5.9)'!$F$25:$F$192,$F106,'Калькуляция (5.9)'!$G$25:$G$192,$G106))</f>
        <v>0</v>
      </c>
      <c r="AT106" s="66">
        <f>IF(method_reg="Метод сравнения аналогов",_xlfn.SUMIFS(INDEX('Калькуляция (МСА)'!$AE$25:$BC$109,,MATCH(AT$8,'Калькуляция (МСА)'!$AE$8:$BC$8,0)),'Калькуляция (МСА)'!$F$25:$F$109,$F106,'Калькуляция (МСА)'!$G$25:$G$109,$G106),_xlfn.SUMIFS(INDEX('Калькуляция (5.9)'!$AJ$25:$BC$192,,MATCH(AT$8,'Калькуляция (5.9)'!$AJ$8:$BC$8,0)),'Калькуляция (5.9)'!$F$25:$F$192,$F106,'Калькуляция (5.9)'!$G$25:$G$192,$G106))</f>
        <v>0</v>
      </c>
      <c r="AU106" s="365">
        <f>IF(AS106=0,0,(AT106-AS106)/AS106*100)</f>
        <v>0</v>
      </c>
      <c r="AV106" s="66">
        <f>IF(method_reg="Метод сравнения аналогов",_xlfn.SUMIFS(INDEX('Калькуляция (МСА)'!$AE$25:$BC$109,,MATCH(AV$8,'Калькуляция (МСА)'!$AE$8:$BC$8,0)),'Калькуляция (МСА)'!$F$25:$F$109,$F106,'Калькуляция (МСА)'!$G$25:$G$109,$G106),_xlfn.SUMIFS(INDEX('Калькуляция (5.9)'!$AJ$25:$BC$192,,MATCH(AV$8,'Калькуляция (5.9)'!$AJ$8:$BC$8,0)),'Калькуляция (5.9)'!$F$25:$F$192,$F106,'Калькуляция (5.9)'!$G$25:$G$192,$G106))</f>
        <v>0</v>
      </c>
      <c r="AW106" s="66">
        <f>IF(method_reg="Метод сравнения аналогов",_xlfn.SUMIFS(INDEX('Калькуляция (МСА)'!$AE$25:$BC$109,,MATCH(AW$8,'Калькуляция (МСА)'!$AE$8:$BC$8,0)),'Калькуляция (МСА)'!$F$25:$F$109,$F106,'Калькуляция (МСА)'!$G$25:$G$109,$G106),_xlfn.SUMIFS(INDEX('Калькуляция (5.9)'!$AJ$25:$BC$192,,MATCH(AW$8,'Калькуляция (5.9)'!$AJ$8:$BC$8,0)),'Калькуляция (5.9)'!$F$25:$F$192,$F106,'Калькуляция (5.9)'!$G$25:$G$192,$G106))</f>
        <v>0</v>
      </c>
      <c r="AX106" s="365">
        <f>IF(AV106=0,0,(AW106-AV106)/AV106*100)</f>
        <v>0</v>
      </c>
      <c r="AY106" s="66">
        <f>IF(method_reg="Метод сравнения аналогов",_xlfn.SUMIFS(INDEX('Калькуляция (МСА)'!$AE$25:$BC$109,,MATCH(AY$8,'Калькуляция (МСА)'!$AE$8:$BC$8,0)),'Калькуляция (МСА)'!$F$25:$F$109,$F106,'Калькуляция (МСА)'!$G$25:$G$109,$G106),_xlfn.SUMIFS(INDEX('Калькуляция (5.9)'!$AJ$25:$BC$192,,MATCH(AY$8,'Калькуляция (5.9)'!$AJ$8:$BC$8,0)),'Калькуляция (5.9)'!$F$25:$F$192,$F106,'Калькуляция (5.9)'!$G$25:$G$192,$G106))</f>
        <v>0</v>
      </c>
      <c r="AZ106" s="66">
        <f>IF(method_reg="Метод сравнения аналогов",_xlfn.SUMIFS(INDEX('Калькуляция (МСА)'!$AE$25:$BC$109,,MATCH(AZ$8,'Калькуляция (МСА)'!$AE$8:$BC$8,0)),'Калькуляция (МСА)'!$F$25:$F$109,$F106,'Калькуляция (МСА)'!$G$25:$G$109,$G106),_xlfn.SUMIFS(INDEX('Калькуляция (5.9)'!$AJ$25:$BC$192,,MATCH(AZ$8,'Калькуляция (5.9)'!$AJ$8:$BC$8,0)),'Калькуляция (5.9)'!$F$25:$F$192,$F106,'Калькуляция (5.9)'!$G$25:$G$192,$G106))</f>
        <v>0</v>
      </c>
      <c r="BA106" s="365">
        <f>IF(AY106=0,0,(AZ106-AY106)/AY106*100)</f>
        <v>0</v>
      </c>
      <c r="BB106" s="66">
        <f>IF(method_reg="Метод сравнения аналогов",_xlfn.SUMIFS(INDEX('Калькуляция (МСА)'!$AE$25:$BC$109,,MATCH(BB$8,'Калькуляция (МСА)'!$AE$8:$BC$8,0)),'Калькуляция (МСА)'!$F$25:$F$109,$F106,'Калькуляция (МСА)'!$G$25:$G$109,$G106),_xlfn.SUMIFS(INDEX('Калькуляция (5.9)'!$AJ$25:$BC$192,,MATCH(BB$8,'Калькуляция (5.9)'!$AJ$8:$BC$8,0)),'Калькуляция (5.9)'!$F$25:$F$192,$F106,'Калькуляция (5.9)'!$G$25:$G$192,$G106))</f>
        <v>0</v>
      </c>
      <c r="BC106" s="66">
        <f>IF(method_reg="Метод сравнения аналогов",_xlfn.SUMIFS(INDEX('Калькуляция (МСА)'!$AE$25:$BC$109,,MATCH(BC$8,'Калькуляция (МСА)'!$AE$8:$BC$8,0)),'Калькуляция (МСА)'!$F$25:$F$109,$F106,'Калькуляция (МСА)'!$G$25:$G$109,$G106),_xlfn.SUMIFS(INDEX('Калькуляция (5.9)'!$AJ$25:$BC$192,,MATCH(BC$8,'Калькуляция (5.9)'!$AJ$8:$BC$8,0)),'Калькуляция (5.9)'!$F$25:$F$192,$F106,'Калькуляция (5.9)'!$G$25:$G$192,$G106))</f>
        <v>0</v>
      </c>
      <c r="BD106" s="365">
        <f>IF(BB106=0,0,(BC106-BB106)/BB106*100)</f>
        <v>0</v>
      </c>
      <c r="BE106" s="66">
        <f>IF(method_reg="Метод сравнения аналогов",_xlfn.SUMIFS(INDEX('Калькуляция (МСА)'!$AE$25:$BC$109,,MATCH(BE$8,'Калькуляция (МСА)'!$AE$8:$BC$8,0)),'Калькуляция (МСА)'!$F$25:$F$109,$F106,'Калькуляция (МСА)'!$G$25:$G$109,$G106),_xlfn.SUMIFS(INDEX('Калькуляция (5.9)'!$AJ$25:$BC$192,,MATCH(BE$8,'Калькуляция (5.9)'!$AJ$8:$BC$8,0)),'Калькуляция (5.9)'!$F$25:$F$192,$F106,'Калькуляция (5.9)'!$G$25:$G$192,$G106))</f>
        <v>0</v>
      </c>
      <c r="BF106" s="66">
        <f>IF(method_reg="Метод сравнения аналогов",_xlfn.SUMIFS(INDEX('Калькуляция (МСА)'!$AE$25:$BC$109,,MATCH(BF$8,'Калькуляция (МСА)'!$AE$8:$BC$8,0)),'Калькуляция (МСА)'!$F$25:$F$109,$F106,'Калькуляция (МСА)'!$G$25:$G$109,$G106),_xlfn.SUMIFS(INDEX('Калькуляция (5.9)'!$AJ$25:$BC$192,,MATCH(BF$8,'Калькуляция (5.9)'!$AJ$8:$BC$8,0)),'Калькуляция (5.9)'!$F$25:$F$192,$F106,'Калькуляция (5.9)'!$G$25:$G$192,$G106))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2162</v>
      </c>
      <c r="GA106" s="1181"/>
      <c r="GB106" s="1181"/>
      <c r="GC106" s="1181"/>
      <c r="GD106" s="1181"/>
    </row>
    <row s="1619"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ТЭ.42.26824396.0004</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2113</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19" customFormat="1" customHeight="1" ht="15" hidden="1">
      <c r="A108" s="1461"/>
      <c r="B108" s="961" cm="1" t="str">
        <f t="array" ref="B108:B108">B107</f>
        <v>false</v>
      </c>
      <c r="C108" s="1322" t="s">
        <v>2163</v>
      </c>
      <c r="D108" s="1291" t="s">
        <v>2164</v>
      </c>
      <c r="E108" s="794">
        <v>15.8</v>
      </c>
      <c r="F108" s="919" cm="1" t="str">
        <f t="array" ref="F108:F108">OFFSET(G108,-1,-1)</f>
        <v>1</v>
      </c>
      <c r="G108" s="497"/>
      <c r="H108" s="210" t="s">
        <v>2135</v>
      </c>
      <c r="I108" s="210" t="s">
        <v>2110</v>
      </c>
      <c r="J108" s="1312"/>
      <c r="K108" s="1312" cm="1" t="str">
        <f t="array" ref="K108:K108">OFFSET(J108,-1,1)</f>
        <v>ТЭ.42.26824396.0004</v>
      </c>
      <c r="L108" s="1312"/>
      <c r="M108" s="1312" t="s">
        <v>1724</v>
      </c>
      <c r="N108" s="1312" t="s">
        <v>2111</v>
      </c>
      <c r="O108" s="1313" t="s">
        <v>2112</v>
      </c>
      <c r="P108" s="1312" t="s">
        <v>2136</v>
      </c>
      <c r="Q108" s="1312"/>
      <c r="R108" s="925"/>
      <c r="S108" s="497"/>
      <c r="T108" s="805" cm="1" t="str">
        <f t="array" ref="T108:T108">T107</f>
        <v>false</v>
      </c>
      <c r="U108" s="1461"/>
      <c r="V108" s="1461"/>
      <c r="W108" s="1461"/>
      <c r="X108" s="1461"/>
      <c r="Y108" s="1461"/>
      <c r="Z108" s="1461"/>
      <c r="AA108" s="497"/>
      <c r="AB108" s="273" t="s">
        <v>2137</v>
      </c>
      <c r="AC108" s="169" t="s">
        <v>895</v>
      </c>
      <c r="AD108" s="66">
        <f>IF(AD110=0,0,(AD109*AD110+AD111*AD112*IF(god=2026,9,6))/AD110)</f>
        <v>0</v>
      </c>
      <c r="AE108" s="66">
        <f>IF(AE110=0,0,(AE109*AE110+AE111*AE112*IF(god=2026,9,6))/AE110)</f>
        <v>0</v>
      </c>
      <c r="AF108" s="365">
        <f>IF(AD108=0,0,(AE108-AD108)/AD108*100)</f>
        <v>0</v>
      </c>
      <c r="AG108" s="366">
        <f>IF(AG110=0,0,(AG109*AG110+AG111*AG112*IF(god=2025,9,6))/AG110)</f>
        <v>0</v>
      </c>
      <c r="AH108" s="366">
        <f>IF(AH110=0,0,(AH109*AH110+AH111*AH112*IF(god=2025,9,6))/AH110)</f>
        <v>0</v>
      </c>
      <c r="AI108" s="365">
        <f>IF(AG108=0,0,(AH108-AG108)/AG108*100)</f>
        <v>0</v>
      </c>
      <c r="AJ108" s="366">
        <f>IF(AJ110=0,0,(AJ109*AJ110+AJ111*AJ112*6)/AJ110)</f>
        <v>0</v>
      </c>
      <c r="AK108" s="366">
        <f>IF(AK110=0,0,(AK109*AK110+AK111*AK112*6)/AK110)</f>
        <v>0</v>
      </c>
      <c r="AL108" s="365">
        <f>IF(AJ108=0,0,(AK108-AJ108)/AJ108*100)</f>
        <v>0</v>
      </c>
      <c r="AM108" s="366">
        <f>IF(AM110=0,0,(AM109*AM110+AM111*AM112*6)/AM110)</f>
        <v>0</v>
      </c>
      <c r="AN108" s="366">
        <f>IF(AN110=0,0,(AN109*AN110+AN111*AN112*6)/AN110)</f>
        <v>0</v>
      </c>
      <c r="AO108" s="365">
        <f>IF(AM108=0,0,(AN108-AM108)/AM108*100)</f>
        <v>0</v>
      </c>
      <c r="AP108" s="366">
        <f>IF(AP110=0,0,(AP109*AP110+AP111*AP112*6)/AP110)</f>
        <v>0</v>
      </c>
      <c r="AQ108" s="3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2165</v>
      </c>
      <c r="GA108" s="1181"/>
      <c r="GB108" s="1181"/>
      <c r="GC108" s="1181"/>
      <c r="GD108" s="1181"/>
    </row>
    <row s="1619" customFormat="1" customHeight="1" ht="15" hidden="1">
      <c r="A109" s="1461"/>
      <c r="B109" s="961" cm="1" t="str">
        <f t="array" ref="B109:B109">B108</f>
        <v>false</v>
      </c>
      <c r="C109" s="1322" t="s">
        <v>2166</v>
      </c>
      <c r="D109" s="1291" t="s">
        <v>2167</v>
      </c>
      <c r="E109" s="794">
        <v>15.8</v>
      </c>
      <c r="F109" s="919" cm="1" t="str">
        <f t="array" ref="F109:F109">OFFSET(G109,-1,-1)</f>
        <v>1</v>
      </c>
      <c r="G109" s="497"/>
      <c r="H109" s="210" t="s">
        <v>2141</v>
      </c>
      <c r="I109" s="210" t="s">
        <v>2110</v>
      </c>
      <c r="J109" s="1312"/>
      <c r="K109" s="1312" cm="1" t="str">
        <f t="array" ref="K109:K109">OFFSET(J109,-1,1)</f>
        <v>ТЭ.42.26824396.0004</v>
      </c>
      <c r="L109" s="1312"/>
      <c r="M109" s="1312" t="s">
        <v>1724</v>
      </c>
      <c r="N109" s="1312" t="s">
        <v>2111</v>
      </c>
      <c r="O109" s="1313" t="s">
        <v>2112</v>
      </c>
      <c r="P109" s="1312" t="s">
        <v>2142</v>
      </c>
      <c r="Q109" s="1312"/>
      <c r="R109" s="925"/>
      <c r="S109" s="497"/>
      <c r="T109" s="805" cm="1" t="str">
        <f t="array" ref="T109:T109">T108</f>
        <v>false</v>
      </c>
      <c r="U109" s="1461"/>
      <c r="V109" s="1461"/>
      <c r="W109" s="1461"/>
      <c r="X109" s="1461"/>
      <c r="Y109" s="1461"/>
      <c r="Z109" s="1461"/>
      <c r="AA109" s="497"/>
      <c r="AB109" s="273" t="s">
        <v>2143</v>
      </c>
      <c r="AC109" s="169" t="s">
        <v>895</v>
      </c>
      <c r="AD109" s="66"/>
      <c r="AE109" s="66"/>
      <c r="AF109" s="365">
        <f>IF(AD109=0,0,(AE109-AD109)/AD109*100)</f>
        <v>0</v>
      </c>
      <c r="AG109" s="366"/>
      <c r="AH109" s="366"/>
      <c r="AI109" s="365">
        <f>IF(AG109=0,0,(AH109-AG109)/AG109*100)</f>
        <v>0</v>
      </c>
      <c r="AJ109" s="366"/>
      <c r="AK109" s="366"/>
      <c r="AL109" s="365">
        <f>IF(AJ109=0,0,(AK109-AJ109)/AJ109*100)</f>
        <v>0</v>
      </c>
      <c r="AM109" s="366"/>
      <c r="AN109" s="366"/>
      <c r="AO109" s="365">
        <f>IF(AM109=0,0,(AN109-AM109)/AM109*100)</f>
        <v>0</v>
      </c>
      <c r="AP109" s="366"/>
      <c r="AQ109" s="3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2168</v>
      </c>
      <c r="GA109" s="1181"/>
      <c r="GB109" s="1181"/>
      <c r="GC109" s="1181"/>
      <c r="GD109" s="1181"/>
    </row>
    <row s="1619" customFormat="1" customHeight="1" ht="15" hidden="1">
      <c r="A110" s="1461"/>
      <c r="B110" s="961" cm="1" t="str">
        <f t="array" ref="B110:B110">B109</f>
        <v>false</v>
      </c>
      <c r="C110" s="1322" t="s">
        <v>1721</v>
      </c>
      <c r="D110" s="1291" t="s">
        <v>1722</v>
      </c>
      <c r="E110" s="794">
        <v>15.8</v>
      </c>
      <c r="F110" s="919" cm="1" t="str">
        <f t="array" ref="F110:F110">OFFSET(G110,-1,-1)</f>
        <v>1</v>
      </c>
      <c r="G110" s="497"/>
      <c r="H110" s="210" t="s">
        <v>2145</v>
      </c>
      <c r="I110" s="210" t="s">
        <v>2110</v>
      </c>
      <c r="J110" s="1312"/>
      <c r="K110" s="1312" cm="1" t="str">
        <f t="array" ref="K110:K110">OFFSET(J110,-1,1)</f>
        <v>ТЭ.42.26824396.0004</v>
      </c>
      <c r="L110" s="1312"/>
      <c r="M110" s="1312" t="s">
        <v>1724</v>
      </c>
      <c r="N110" s="1312" t="s">
        <v>2111</v>
      </c>
      <c r="O110" s="1313" t="s">
        <v>2112</v>
      </c>
      <c r="P110" s="1312" t="s">
        <v>2146</v>
      </c>
      <c r="Q110" s="1312"/>
      <c r="R110" s="925"/>
      <c r="S110" s="497"/>
      <c r="T110" s="805" cm="1" t="str">
        <f t="array" ref="T110:T110">T109</f>
        <v>false</v>
      </c>
      <c r="U110" s="1461"/>
      <c r="V110" s="1461"/>
      <c r="W110" s="1461"/>
      <c r="X110" s="1461"/>
      <c r="Y110" s="1461"/>
      <c r="Z110" s="1461"/>
      <c r="AA110" s="497"/>
      <c r="AB110" s="273" t="s">
        <v>2147</v>
      </c>
      <c r="AC110" s="169" t="s">
        <v>591</v>
      </c>
      <c r="AD110" s="145"/>
      <c r="AE110" s="145"/>
      <c r="AF110" s="397">
        <f>IF(AD110=0,0,(AE110-AD110)/AD110*100)</f>
        <v>0</v>
      </c>
      <c r="AG110" s="413"/>
      <c r="AH110" s="413"/>
      <c r="AI110" s="397">
        <f>IF(AG110=0,0,(AH110-AG110)/AG110*100)</f>
        <v>0</v>
      </c>
      <c r="AJ110" s="413"/>
      <c r="AK110" s="413"/>
      <c r="AL110" s="397">
        <f>IF(AJ110=0,0,(AK110-AJ110)/AJ110*100)</f>
        <v>0</v>
      </c>
      <c r="AM110" s="413"/>
      <c r="AN110" s="413"/>
      <c r="AO110" s="397">
        <f>IF(AM110=0,0,(AN110-AM110)/AM110*100)</f>
        <v>0</v>
      </c>
      <c r="AP110" s="413"/>
      <c r="AQ110" s="413"/>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2169</v>
      </c>
      <c r="GA110" s="1181"/>
      <c r="GB110" s="1181"/>
      <c r="GC110" s="1181"/>
      <c r="GD110" s="1181"/>
    </row>
    <row s="1619" customFormat="1" customHeight="1" ht="30" hidden="1">
      <c r="A111" s="1461"/>
      <c r="B111" s="961" cm="1" t="str">
        <f t="array" ref="B111:B111">B110</f>
        <v>false</v>
      </c>
      <c r="C111" s="1322" t="s">
        <v>1775</v>
      </c>
      <c r="D111" s="1291" t="s">
        <v>1776</v>
      </c>
      <c r="E111" s="794">
        <v>31.5</v>
      </c>
      <c r="F111" s="919" cm="1" t="str">
        <f t="array" ref="F111:F111">OFFSET(G111,-1,-1)</f>
        <v>1</v>
      </c>
      <c r="G111" s="497"/>
      <c r="H111" s="210" t="s">
        <v>2149</v>
      </c>
      <c r="I111" s="210" t="s">
        <v>2110</v>
      </c>
      <c r="J111" s="1312"/>
      <c r="K111" s="1312" cm="1" t="str">
        <f t="array" ref="K111:K111">OFFSET(J111,-1,1)</f>
        <v>ТЭ.42.26824396.0004</v>
      </c>
      <c r="L111" s="1312"/>
      <c r="M111" s="1312" t="s">
        <v>1724</v>
      </c>
      <c r="N111" s="1312" t="s">
        <v>2111</v>
      </c>
      <c r="O111" s="1313" t="s">
        <v>2112</v>
      </c>
      <c r="P111" s="1312" t="s">
        <v>2150</v>
      </c>
      <c r="Q111" s="1312"/>
      <c r="R111" s="925"/>
      <c r="S111" s="497"/>
      <c r="T111" s="805" cm="1" t="str">
        <f t="array" ref="T111:T111">T110</f>
        <v>false</v>
      </c>
      <c r="U111" s="1461"/>
      <c r="V111" s="1461"/>
      <c r="W111" s="1461"/>
      <c r="X111" s="1461"/>
      <c r="Y111" s="1461"/>
      <c r="Z111" s="1461"/>
      <c r="AA111" s="497"/>
      <c r="AB111" s="273" t="s">
        <v>2151</v>
      </c>
      <c r="AC111" s="517" t="s">
        <v>1779</v>
      </c>
      <c r="AD111" s="66"/>
      <c r="AE111" s="66"/>
      <c r="AF111" s="365">
        <f>IF(AD111=0,0,(AE111-AD111)/AD111*100)</f>
        <v>0</v>
      </c>
      <c r="AG111" s="366"/>
      <c r="AH111" s="366"/>
      <c r="AI111" s="365">
        <f>IF(AG111=0,0,(AH111-AG111)/AG111*100)</f>
        <v>0</v>
      </c>
      <c r="AJ111" s="366"/>
      <c r="AK111" s="366"/>
      <c r="AL111" s="365">
        <f>IF(AJ111=0,0,(AK111-AJ111)/AJ111*100)</f>
        <v>0</v>
      </c>
      <c r="AM111" s="366"/>
      <c r="AN111" s="366"/>
      <c r="AO111" s="365">
        <f>IF(AM111=0,0,(AN111-AM111)/AM111*100)</f>
        <v>0</v>
      </c>
      <c r="AP111" s="366"/>
      <c r="AQ111" s="3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2170</v>
      </c>
      <c r="GA111" s="1181"/>
      <c r="GB111" s="1181"/>
      <c r="GC111" s="1181"/>
      <c r="GD111" s="1181"/>
    </row>
    <row s="1619" customFormat="1" customHeight="1" ht="15" hidden="1">
      <c r="A112" s="1461"/>
      <c r="B112" s="961" cm="1" t="str">
        <f t="array" ref="B112:B112">B111</f>
        <v>false</v>
      </c>
      <c r="C112" s="1322" t="s">
        <v>1747</v>
      </c>
      <c r="D112" s="1291" t="s">
        <v>1748</v>
      </c>
      <c r="E112" s="794">
        <v>15.8</v>
      </c>
      <c r="F112" s="919" cm="1" t="str">
        <f t="array" ref="F112:F112">OFFSET(G112,-1,-1)</f>
        <v>1</v>
      </c>
      <c r="G112" s="497"/>
      <c r="H112" s="210" t="s">
        <v>2153</v>
      </c>
      <c r="I112" s="210" t="s">
        <v>2110</v>
      </c>
      <c r="J112" s="1312"/>
      <c r="K112" s="1312" cm="1" t="str">
        <f t="array" ref="K112:K112">OFFSET(J112,-1,1)</f>
        <v>ТЭ.42.26824396.0004</v>
      </c>
      <c r="L112" s="1312"/>
      <c r="M112" s="1312" t="s">
        <v>1724</v>
      </c>
      <c r="N112" s="1312" t="s">
        <v>2111</v>
      </c>
      <c r="O112" s="1313" t="s">
        <v>2112</v>
      </c>
      <c r="P112" s="1312" t="s">
        <v>2154</v>
      </c>
      <c r="Q112" s="1312"/>
      <c r="R112" s="925"/>
      <c r="S112" s="497"/>
      <c r="T112" s="805" cm="1" t="str">
        <f t="array" ref="T112:T112">T111</f>
        <v>false</v>
      </c>
      <c r="U112" s="1461"/>
      <c r="V112" s="1461"/>
      <c r="W112" s="1461"/>
      <c r="X112" s="1461"/>
      <c r="Y112" s="1461"/>
      <c r="Z112" s="1461"/>
      <c r="AA112" s="497"/>
      <c r="AB112" s="273" t="s">
        <v>2155</v>
      </c>
      <c r="AC112" s="664" t="s">
        <v>690</v>
      </c>
      <c r="AD112" s="66"/>
      <c r="AE112" s="66"/>
      <c r="AF112" s="365">
        <f>IF(AD112=0,0,(AE112-AD112)/AD112*100)</f>
        <v>0</v>
      </c>
      <c r="AG112" s="366"/>
      <c r="AH112" s="366"/>
      <c r="AI112" s="365">
        <f>IF(AG112=0,0,(AH112-AG112)/AG112*100)</f>
        <v>0</v>
      </c>
      <c r="AJ112" s="366"/>
      <c r="AK112" s="366"/>
      <c r="AL112" s="365">
        <f>IF(AJ112=0,0,(AK112-AJ112)/AJ112*100)</f>
        <v>0</v>
      </c>
      <c r="AM112" s="366"/>
      <c r="AN112" s="366"/>
      <c r="AO112" s="365">
        <f>IF(AM112=0,0,(AN112-AM112)/AM112*100)</f>
        <v>0</v>
      </c>
      <c r="AP112" s="366"/>
      <c r="AQ112" s="3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2171</v>
      </c>
      <c r="GA112" s="1181"/>
      <c r="GB112" s="1181"/>
      <c r="GC112" s="1181"/>
      <c r="GD112" s="1181"/>
    </row>
    <row s="1619"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ТЭ.42.26824396.0004</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2116</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19" customFormat="1" customHeight="1" ht="15" hidden="1">
      <c r="A114" s="1461"/>
      <c r="B114" s="961" cm="1" t="str">
        <f t="array" ref="B114:B114">B113</f>
        <v>false</v>
      </c>
      <c r="C114" s="1322" t="s">
        <v>2163</v>
      </c>
      <c r="D114" s="1291" t="s">
        <v>2164</v>
      </c>
      <c r="E114" s="794">
        <v>15.8</v>
      </c>
      <c r="F114" s="919" cm="1" t="str">
        <f t="array" ref="F114:F114">OFFSET(G114,-1,-1)</f>
        <v>1</v>
      </c>
      <c r="G114" s="497"/>
      <c r="H114" s="210" t="s">
        <v>2135</v>
      </c>
      <c r="I114" s="210" t="s">
        <v>2115</v>
      </c>
      <c r="J114" s="1312"/>
      <c r="K114" s="1312" cm="1" t="str">
        <f t="array" ref="K114:K114">OFFSET(J114,-1,1)</f>
        <v>ТЭ.42.26824396.0004</v>
      </c>
      <c r="L114" s="1312"/>
      <c r="M114" s="1312" t="s">
        <v>1733</v>
      </c>
      <c r="N114" s="1312" t="s">
        <v>2111</v>
      </c>
      <c r="O114" s="1313" t="s">
        <v>2112</v>
      </c>
      <c r="P114" s="1312" t="s">
        <v>2136</v>
      </c>
      <c r="Q114" s="1312"/>
      <c r="R114" s="925"/>
      <c r="S114" s="497"/>
      <c r="T114" s="805" cm="1" t="str">
        <f t="array" ref="T114:T114">T113</f>
        <v>false</v>
      </c>
      <c r="U114" s="1461"/>
      <c r="V114" s="1461"/>
      <c r="W114" s="1461"/>
      <c r="X114" s="1461"/>
      <c r="Y114" s="1461"/>
      <c r="Z114" s="1461"/>
      <c r="AA114" s="497"/>
      <c r="AB114" s="273" t="s">
        <v>2137</v>
      </c>
      <c r="AC114" s="169" t="s">
        <v>895</v>
      </c>
      <c r="AD114" s="66">
        <f>IF(AD116=0,0,(AD115*AD116+AD117*AD118*IF(god=2026,3,6))/AD116)</f>
        <v>0</v>
      </c>
      <c r="AE114" s="66">
        <f>IF(AE116=0,0,(AE115*AE116+AE117*AE118*IF(god=2026,3,6))/AE116)</f>
        <v>0</v>
      </c>
      <c r="AF114" s="365">
        <f>IF(AD114=0,0,(AE114-AD114)/AD114*100)</f>
        <v>0</v>
      </c>
      <c r="AG114" s="366">
        <f>IF(AG116=0,0,(AG115*AG116+AG117*AG118*IF(god=2025,3,6))/AG116)</f>
        <v>0</v>
      </c>
      <c r="AH114" s="366">
        <f>IF(AH116=0,0,(AH115*AH116+AH117*AH118*IF(god=2025,3,6))/AH116)</f>
        <v>0</v>
      </c>
      <c r="AI114" s="365">
        <f>IF(AG114=0,0,(AH114-AG114)/AG114*100)</f>
        <v>0</v>
      </c>
      <c r="AJ114" s="366">
        <f>IF(AJ116=0,0,(AJ115*AJ116+AJ117*AJ118*6)/AJ116)</f>
        <v>0</v>
      </c>
      <c r="AK114" s="366">
        <f>IF(AK116=0,0,(AK115*AK116+AK117*AK118*6)/AK116)</f>
        <v>0</v>
      </c>
      <c r="AL114" s="365">
        <f>IF(AJ114=0,0,(AK114-AJ114)/AJ114*100)</f>
        <v>0</v>
      </c>
      <c r="AM114" s="366">
        <f>IF(AM116=0,0,(AM115*AM116+AM117*AM118*6)/AM116)</f>
        <v>0</v>
      </c>
      <c r="AN114" s="366">
        <f>IF(AN116=0,0,(AN115*AN116+AN117*AN118*6)/AN116)</f>
        <v>0</v>
      </c>
      <c r="AO114" s="365">
        <f>IF(AM114=0,0,(AN114-AM114)/AM114*100)</f>
        <v>0</v>
      </c>
      <c r="AP114" s="366">
        <f>IF(AP116=0,0,(AP115*AP116+AP117*AP118*6)/AP116)</f>
        <v>0</v>
      </c>
      <c r="AQ114" s="3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2172</v>
      </c>
      <c r="GA114" s="1181"/>
      <c r="GB114" s="1181"/>
      <c r="GC114" s="1181"/>
      <c r="GD114" s="1181"/>
    </row>
    <row s="1619" customFormat="1" customHeight="1" ht="15" hidden="1">
      <c r="A115" s="1461"/>
      <c r="B115" s="961" cm="1" t="str">
        <f t="array" ref="B115:B115">B114</f>
        <v>false</v>
      </c>
      <c r="C115" s="1322" t="s">
        <v>2166</v>
      </c>
      <c r="D115" s="1291" t="s">
        <v>2167</v>
      </c>
      <c r="E115" s="794">
        <v>15.8</v>
      </c>
      <c r="F115" s="919" cm="1" t="str">
        <f t="array" ref="F115:F115">OFFSET(G115,-1,-1)</f>
        <v>1</v>
      </c>
      <c r="G115" s="497"/>
      <c r="H115" s="210" t="s">
        <v>2141</v>
      </c>
      <c r="I115" s="210" t="s">
        <v>2115</v>
      </c>
      <c r="J115" s="1312"/>
      <c r="K115" s="1312" cm="1" t="str">
        <f t="array" ref="K115:K115">OFFSET(J115,-1,1)</f>
        <v>ТЭ.42.26824396.0004</v>
      </c>
      <c r="L115" s="1312"/>
      <c r="M115" s="1312" t="s">
        <v>1733</v>
      </c>
      <c r="N115" s="1312" t="s">
        <v>2111</v>
      </c>
      <c r="O115" s="1313" t="s">
        <v>2112</v>
      </c>
      <c r="P115" s="1312" t="s">
        <v>2142</v>
      </c>
      <c r="Q115" s="1312"/>
      <c r="R115" s="925"/>
      <c r="S115" s="497"/>
      <c r="T115" s="805" cm="1" t="str">
        <f t="array" ref="T115:T115">T114</f>
        <v>false</v>
      </c>
      <c r="U115" s="1461"/>
      <c r="V115" s="1461"/>
      <c r="W115" s="1461"/>
      <c r="X115" s="1461"/>
      <c r="Y115" s="1461"/>
      <c r="Z115" s="1461"/>
      <c r="AA115" s="497"/>
      <c r="AB115" s="273" t="s">
        <v>2143</v>
      </c>
      <c r="AC115" s="169" t="s">
        <v>895</v>
      </c>
      <c r="AD115" s="66"/>
      <c r="AE115" s="66"/>
      <c r="AF115" s="365">
        <f>IF(AD115=0,0,(AE115-AD115)/AD115*100)</f>
        <v>0</v>
      </c>
      <c r="AG115" s="366"/>
      <c r="AH115" s="366"/>
      <c r="AI115" s="365">
        <f>IF(AG115=0,0,(AH115-AG115)/AG115*100)</f>
        <v>0</v>
      </c>
      <c r="AJ115" s="366"/>
      <c r="AK115" s="366"/>
      <c r="AL115" s="365">
        <f>IF(AJ115=0,0,(AK115-AJ115)/AJ115*100)</f>
        <v>0</v>
      </c>
      <c r="AM115" s="366"/>
      <c r="AN115" s="366"/>
      <c r="AO115" s="365">
        <f>IF(AM115=0,0,(AN115-AM115)/AM115*100)</f>
        <v>0</v>
      </c>
      <c r="AP115" s="366"/>
      <c r="AQ115" s="3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2173</v>
      </c>
      <c r="GA115" s="1181"/>
      <c r="GB115" s="1181"/>
      <c r="GC115" s="1181"/>
      <c r="GD115" s="1181"/>
    </row>
    <row s="1619" customFormat="1" customHeight="1" ht="15" hidden="1">
      <c r="A116" s="1461"/>
      <c r="B116" s="961" cm="1" t="str">
        <f t="array" ref="B116:B116">B115</f>
        <v>false</v>
      </c>
      <c r="C116" s="1322" t="s">
        <v>1721</v>
      </c>
      <c r="D116" s="1291" t="s">
        <v>1722</v>
      </c>
      <c r="E116" s="794">
        <v>15.8</v>
      </c>
      <c r="F116" s="919" cm="1" t="str">
        <f t="array" ref="F116:F116">OFFSET(G116,-1,-1)</f>
        <v>1</v>
      </c>
      <c r="G116" s="497"/>
      <c r="H116" s="210" t="s">
        <v>2145</v>
      </c>
      <c r="I116" s="210" t="s">
        <v>2115</v>
      </c>
      <c r="J116" s="1312"/>
      <c r="K116" s="1312" cm="1" t="str">
        <f t="array" ref="K116:K116">OFFSET(J116,-1,1)</f>
        <v>ТЭ.42.26824396.0004</v>
      </c>
      <c r="L116" s="1312"/>
      <c r="M116" s="1312" t="s">
        <v>1733</v>
      </c>
      <c r="N116" s="1312" t="s">
        <v>2111</v>
      </c>
      <c r="O116" s="1313" t="s">
        <v>2112</v>
      </c>
      <c r="P116" s="1312" t="s">
        <v>2146</v>
      </c>
      <c r="Q116" s="1312"/>
      <c r="R116" s="925"/>
      <c r="S116" s="497"/>
      <c r="T116" s="805" cm="1" t="str">
        <f t="array" ref="T116:T116">T115</f>
        <v>false</v>
      </c>
      <c r="U116" s="1461"/>
      <c r="V116" s="1461"/>
      <c r="W116" s="1461"/>
      <c r="X116" s="1461"/>
      <c r="Y116" s="1461"/>
      <c r="Z116" s="1461"/>
      <c r="AA116" s="497"/>
      <c r="AB116" s="273" t="s">
        <v>2147</v>
      </c>
      <c r="AC116" s="169" t="s">
        <v>591</v>
      </c>
      <c r="AD116" s="145"/>
      <c r="AE116" s="145"/>
      <c r="AF116" s="397">
        <f>IF(AD116=0,0,(AE116-AD116)/AD116*100)</f>
        <v>0</v>
      </c>
      <c r="AG116" s="413"/>
      <c r="AH116" s="413"/>
      <c r="AI116" s="397">
        <f>IF(AG116=0,0,(AH116-AG116)/AG116*100)</f>
        <v>0</v>
      </c>
      <c r="AJ116" s="413"/>
      <c r="AK116" s="413"/>
      <c r="AL116" s="397">
        <f>IF(AJ116=0,0,(AK116-AJ116)/AJ116*100)</f>
        <v>0</v>
      </c>
      <c r="AM116" s="413"/>
      <c r="AN116" s="413"/>
      <c r="AO116" s="397">
        <f>IF(AM116=0,0,(AN116-AM116)/AM116*100)</f>
        <v>0</v>
      </c>
      <c r="AP116" s="413"/>
      <c r="AQ116" s="413"/>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2174</v>
      </c>
      <c r="GA116" s="1181"/>
      <c r="GB116" s="1181"/>
      <c r="GC116" s="1181"/>
      <c r="GD116" s="1181"/>
    </row>
    <row s="1619" customFormat="1" customHeight="1" ht="30" hidden="1">
      <c r="A117" s="1461"/>
      <c r="B117" s="961" cm="1" t="str">
        <f t="array" ref="B117:B117">B116</f>
        <v>false</v>
      </c>
      <c r="C117" s="1322" t="s">
        <v>1775</v>
      </c>
      <c r="D117" s="1291" t="s">
        <v>1776</v>
      </c>
      <c r="E117" s="794">
        <v>31.5</v>
      </c>
      <c r="F117" s="919" cm="1" t="str">
        <f t="array" ref="F117:F117">OFFSET(G117,-1,-1)</f>
        <v>1</v>
      </c>
      <c r="G117" s="497"/>
      <c r="H117" s="210" t="s">
        <v>2149</v>
      </c>
      <c r="I117" s="210" t="s">
        <v>2115</v>
      </c>
      <c r="J117" s="1312"/>
      <c r="K117" s="1312" cm="1" t="str">
        <f t="array" ref="K117:K117">OFFSET(J117,-1,1)</f>
        <v>ТЭ.42.26824396.0004</v>
      </c>
      <c r="L117" s="1312"/>
      <c r="M117" s="1312" t="s">
        <v>1733</v>
      </c>
      <c r="N117" s="1312" t="s">
        <v>2111</v>
      </c>
      <c r="O117" s="1313" t="s">
        <v>2112</v>
      </c>
      <c r="P117" s="1312" t="s">
        <v>2150</v>
      </c>
      <c r="Q117" s="1312"/>
      <c r="R117" s="925"/>
      <c r="S117" s="497"/>
      <c r="T117" s="805" cm="1" t="str">
        <f t="array" ref="T117:T117">T116</f>
        <v>false</v>
      </c>
      <c r="U117" s="1461"/>
      <c r="V117" s="1461"/>
      <c r="W117" s="1461"/>
      <c r="X117" s="1461"/>
      <c r="Y117" s="1461"/>
      <c r="Z117" s="1461"/>
      <c r="AA117" s="497"/>
      <c r="AB117" s="273" t="s">
        <v>2151</v>
      </c>
      <c r="AC117" s="517" t="s">
        <v>1779</v>
      </c>
      <c r="AD117" s="66"/>
      <c r="AE117" s="66"/>
      <c r="AF117" s="365">
        <f>IF(AD117=0,0,(AE117-AD117)/AD117*100)</f>
        <v>0</v>
      </c>
      <c r="AG117" s="366"/>
      <c r="AH117" s="366"/>
      <c r="AI117" s="365">
        <f>IF(AG117=0,0,(AH117-AG117)/AG117*100)</f>
        <v>0</v>
      </c>
      <c r="AJ117" s="366"/>
      <c r="AK117" s="366"/>
      <c r="AL117" s="365">
        <f>IF(AJ117=0,0,(AK117-AJ117)/AJ117*100)</f>
        <v>0</v>
      </c>
      <c r="AM117" s="366"/>
      <c r="AN117" s="366"/>
      <c r="AO117" s="365">
        <f>IF(AM117=0,0,(AN117-AM117)/AM117*100)</f>
        <v>0</v>
      </c>
      <c r="AP117" s="366"/>
      <c r="AQ117" s="3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2175</v>
      </c>
      <c r="GA117" s="1181"/>
      <c r="GB117" s="1181"/>
      <c r="GC117" s="1181"/>
      <c r="GD117" s="1181"/>
    </row>
    <row s="1619" customFormat="1" customHeight="1" ht="15" hidden="1">
      <c r="A118" s="1461"/>
      <c r="B118" s="961" cm="1" t="str">
        <f t="array" ref="B118:B118">B117</f>
        <v>false</v>
      </c>
      <c r="C118" s="1322" t="s">
        <v>1747</v>
      </c>
      <c r="D118" s="1291" t="s">
        <v>1748</v>
      </c>
      <c r="E118" s="794">
        <v>15.8</v>
      </c>
      <c r="F118" s="919" cm="1" t="str">
        <f t="array" ref="F118:F118">OFFSET(G118,-1,-1)</f>
        <v>1</v>
      </c>
      <c r="G118" s="497"/>
      <c r="H118" s="210" t="s">
        <v>2153</v>
      </c>
      <c r="I118" s="210" t="s">
        <v>2115</v>
      </c>
      <c r="J118" s="1312"/>
      <c r="K118" s="1312" cm="1" t="str">
        <f t="array" ref="K118:K118">OFFSET(J118,-1,1)</f>
        <v>ТЭ.42.26824396.0004</v>
      </c>
      <c r="L118" s="1312"/>
      <c r="M118" s="1312" t="s">
        <v>1733</v>
      </c>
      <c r="N118" s="1312" t="s">
        <v>2111</v>
      </c>
      <c r="O118" s="1313" t="s">
        <v>2112</v>
      </c>
      <c r="P118" s="1312" t="s">
        <v>2154</v>
      </c>
      <c r="Q118" s="1312"/>
      <c r="R118" s="925"/>
      <c r="S118" s="497"/>
      <c r="T118" s="805" cm="1" t="str">
        <f t="array" ref="T118:T118">T117</f>
        <v>false</v>
      </c>
      <c r="U118" s="1461"/>
      <c r="V118" s="1461"/>
      <c r="W118" s="1461"/>
      <c r="X118" s="1461"/>
      <c r="Y118" s="1461"/>
      <c r="Z118" s="1461"/>
      <c r="AA118" s="497"/>
      <c r="AB118" s="273" t="s">
        <v>2155</v>
      </c>
      <c r="AC118" s="664" t="s">
        <v>690</v>
      </c>
      <c r="AD118" s="66"/>
      <c r="AE118" s="66"/>
      <c r="AF118" s="365">
        <f>IF(AD118=0,0,(AE118-AD118)/AD118*100)</f>
        <v>0</v>
      </c>
      <c r="AG118" s="366"/>
      <c r="AH118" s="366"/>
      <c r="AI118" s="365">
        <f>IF(AG118=0,0,(AH118-AG118)/AG118*100)</f>
        <v>0</v>
      </c>
      <c r="AJ118" s="366"/>
      <c r="AK118" s="366"/>
      <c r="AL118" s="365">
        <f>IF(AJ118=0,0,(AK118-AJ118)/AJ118*100)</f>
        <v>0</v>
      </c>
      <c r="AM118" s="366"/>
      <c r="AN118" s="366"/>
      <c r="AO118" s="365">
        <f>IF(AM118=0,0,(AN118-AM118)/AM118*100)</f>
        <v>0</v>
      </c>
      <c r="AP118" s="366"/>
      <c r="AQ118" s="3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2176</v>
      </c>
      <c r="GA118" s="1181"/>
      <c r="GB118" s="1181"/>
      <c r="GC118" s="1181"/>
      <c r="GD118" s="1181"/>
    </row>
    <row s="1619"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235</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s="1619" customFormat="1" customHeight="1" ht="21.75">
      <c r="A120" s="1461"/>
      <c r="B120" s="924"/>
      <c r="C120" s="1322"/>
      <c r="D120" s="1291"/>
      <c r="E120" s="794">
        <v>22.5</v>
      </c>
      <c r="F120" s="919" cm="1" t="str">
        <f t="array" ref="F120:F120">X120</f>
        <v>2</v>
      </c>
      <c r="G120" s="736" cm="1" t="str">
        <f t="array" ref="G120:G120">INDEX('Общие сведения'!$AK$169:$AK$218,MATCH($F120,'Общие сведения'!$Z$169:$Z$218,0))</f>
        <v>одноставочный</v>
      </c>
      <c r="H120" s="497"/>
      <c r="I120" s="497"/>
      <c r="J120" s="1314"/>
      <c r="K120" s="1314"/>
      <c r="L120" s="1314"/>
      <c r="M120" s="1314"/>
      <c r="N120" s="1314"/>
      <c r="O120" s="1314"/>
      <c r="P120" s="1314"/>
      <c r="Q120" s="1296"/>
      <c r="R120" s="210" cm="1" t="str">
        <f t="array" ref="R120:R120">INDEX('Общие сведения'!$AK$169:$AK$218,MATCH($F120,'Общие сведения'!$Z$169:$Z$218,0))</f>
        <v>одноставочный</v>
      </c>
      <c r="S120" s="497"/>
      <c r="T120" s="805">
        <f>X120&gt;0</f>
        <v>1</v>
      </c>
      <c r="U120" s="1461"/>
      <c r="V120" s="172" cm="1" t="str">
        <f t="array" ref="V120:V120">'ИП источники'!$AB$69</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120" s="1461"/>
      <c r="X120" s="172" t="s">
        <v>343</v>
      </c>
      <c r="Y120" s="1461"/>
      <c r="Z120" s="1461"/>
      <c r="AA120" s="497"/>
      <c r="AB120" s="1569" cm="1" t="str">
        <f t="array" ref="AB120:AB120">IF(ISBLANK('ИП источники'!$AB$69),"",'ИП источники'!$AB$69)</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120" s="1570"/>
      <c r="AD120" s="351" t="str">
        <f>"Тариф "&amp;F120</f>
        <v>Тариф 2</v>
      </c>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c r="BT120" s="352"/>
      <c r="BU120" s="352"/>
      <c r="BV120" s="352"/>
      <c r="BW120" s="352"/>
      <c r="BX120" s="352"/>
      <c r="BY120" s="352"/>
      <c r="BZ120" s="352"/>
      <c r="CA120" s="352"/>
      <c r="CB120" s="352"/>
      <c r="CC120" s="352"/>
      <c r="CD120" s="352"/>
      <c r="CE120" s="352"/>
      <c r="CF120" s="352"/>
      <c r="CG120" s="352"/>
      <c r="CH120" s="352"/>
      <c r="CI120" s="352"/>
      <c r="CJ120" s="352"/>
      <c r="CK120" s="352"/>
      <c r="CL120" s="352"/>
      <c r="CM120" s="352"/>
      <c r="CN120" s="352"/>
      <c r="CO120" s="352"/>
      <c r="CP120" s="352"/>
      <c r="CQ120" s="352"/>
      <c r="CR120" s="352"/>
      <c r="CS120" s="352"/>
      <c r="CT120" s="352"/>
      <c r="CU120" s="352"/>
      <c r="CV120" s="352"/>
      <c r="CW120" s="352"/>
      <c r="CX120" s="352"/>
      <c r="CY120" s="352"/>
      <c r="CZ120" s="352"/>
      <c r="DA120" s="352"/>
      <c r="DB120" s="352"/>
      <c r="DC120" s="352"/>
      <c r="DD120" s="352"/>
      <c r="DE120" s="352"/>
      <c r="DF120" s="352"/>
      <c r="DG120" s="352"/>
      <c r="DH120" s="352"/>
      <c r="DI120" s="352"/>
      <c r="DJ120" s="352"/>
      <c r="DK120" s="352"/>
      <c r="DL120" s="352"/>
      <c r="DM120" s="352"/>
      <c r="DN120" s="352"/>
      <c r="DO120" s="352"/>
      <c r="DP120" s="352"/>
      <c r="DQ120" s="352"/>
      <c r="DR120" s="352"/>
      <c r="DS120" s="352"/>
      <c r="DT120" s="352"/>
      <c r="DU120" s="352"/>
      <c r="DV120" s="352"/>
      <c r="DW120" s="352"/>
      <c r="DX120" s="352"/>
      <c r="DY120" s="352"/>
      <c r="DZ120" s="352"/>
      <c r="EA120" s="352"/>
      <c r="EB120" s="352"/>
      <c r="EC120" s="352"/>
      <c r="ED120" s="352"/>
      <c r="EE120" s="352"/>
      <c r="EF120" s="352"/>
      <c r="EG120" s="352"/>
      <c r="EH120" s="352"/>
      <c r="EI120" s="352"/>
      <c r="EJ120" s="352"/>
      <c r="EK120" s="352"/>
      <c r="EL120" s="352"/>
      <c r="EM120" s="352"/>
      <c r="EN120" s="352"/>
      <c r="EO120" s="352"/>
      <c r="EP120" s="352"/>
      <c r="EQ120" s="352"/>
      <c r="ER120" s="352"/>
      <c r="ES120" s="352"/>
      <c r="ET120" s="352"/>
      <c r="EU120" s="352"/>
      <c r="EV120" s="352"/>
      <c r="EW120" s="352"/>
      <c r="EX120" s="352"/>
      <c r="EY120" s="352"/>
      <c r="EZ120" s="352"/>
      <c r="FA120" s="352"/>
      <c r="FB120" s="352"/>
      <c r="FC120" s="352"/>
      <c r="FD120" s="352"/>
      <c r="FE120" s="352"/>
      <c r="FF120" s="352"/>
      <c r="FG120" s="352"/>
      <c r="FH120" s="352"/>
      <c r="FI120" s="352"/>
      <c r="FJ120" s="352"/>
      <c r="FK120" s="352"/>
      <c r="FL120" s="352"/>
      <c r="FM120" s="352"/>
      <c r="FN120" s="352"/>
      <c r="FO120" s="352"/>
      <c r="FP120" s="352"/>
      <c r="FQ120" s="352"/>
      <c r="FR120" s="352"/>
      <c r="FS120" s="352"/>
      <c r="FT120" s="352"/>
      <c r="FU120" s="352"/>
      <c r="FV120" s="352"/>
      <c r="FW120" s="353"/>
      <c r="FX120" s="497"/>
      <c r="FY120" s="497"/>
      <c r="FZ120" s="1216"/>
      <c r="GA120" s="1181"/>
      <c r="GB120" s="1181"/>
      <c r="GC120" s="1181"/>
      <c r="GD120" s="1181"/>
    </row>
    <row s="1619" customFormat="1" customHeight="1" ht="15" hidden="1">
      <c r="A121" s="1461"/>
      <c r="B121" s="924"/>
      <c r="C121" s="1322"/>
      <c r="D121" s="1291"/>
      <c r="E121" s="794">
        <v>0</v>
      </c>
      <c r="F121" s="919" cm="1" t="str">
        <f t="array" ref="F121:F121">OFFSET(G121,-1,-1)</f>
        <v>2</v>
      </c>
      <c r="G121" s="497"/>
      <c r="H121" s="497"/>
      <c r="I121" s="497"/>
      <c r="J121" s="1314"/>
      <c r="K121" s="1314"/>
      <c r="L121" s="1314"/>
      <c r="M121" s="1314"/>
      <c r="N121" s="1314"/>
      <c r="O121" s="1314"/>
      <c r="P121" s="1314"/>
      <c r="Q121" s="1296"/>
      <c r="R121" s="925"/>
      <c r="S121" s="497"/>
      <c r="T121" s="805" t="b">
        <v>0</v>
      </c>
      <c r="U121" s="1461"/>
      <c r="V121" s="1461"/>
      <c r="W121" s="1461"/>
      <c r="X121" s="1461"/>
      <c r="Y121" s="1461"/>
      <c r="Z121" s="1461"/>
      <c r="AA121" s="497"/>
      <c r="AB121" s="1442"/>
      <c r="AC121" s="1444"/>
      <c r="AD121" s="351"/>
      <c r="AE121" s="354"/>
      <c r="AF121" s="354"/>
      <c r="AG121" s="354"/>
      <c r="AH121" s="354"/>
      <c r="AI121" s="354"/>
      <c r="AJ121" s="354"/>
      <c r="AK121" s="354"/>
      <c r="AL121" s="354"/>
      <c r="AM121" s="354"/>
      <c r="AN121" s="354"/>
      <c r="AO121" s="354"/>
      <c r="AP121" s="354"/>
      <c r="AQ121" s="354"/>
      <c r="AR121" s="354"/>
      <c r="AS121" s="354"/>
      <c r="AT121" s="354"/>
      <c r="AU121" s="354"/>
      <c r="AV121" s="354"/>
      <c r="AW121" s="354"/>
      <c r="AX121" s="354"/>
      <c r="AY121" s="354"/>
      <c r="AZ121" s="354"/>
      <c r="BA121" s="354"/>
      <c r="BB121" s="354"/>
      <c r="BC121" s="354"/>
      <c r="BD121" s="354"/>
      <c r="BE121" s="354"/>
      <c r="BF121" s="354"/>
      <c r="BG121" s="354"/>
      <c r="BH121" s="354"/>
      <c r="BI121" s="354"/>
      <c r="BJ121" s="354"/>
      <c r="BK121" s="354"/>
      <c r="BL121" s="354"/>
      <c r="BM121" s="354"/>
      <c r="BN121" s="354"/>
      <c r="BO121" s="354"/>
      <c r="BP121" s="354"/>
      <c r="BQ121" s="354"/>
      <c r="BR121" s="354"/>
      <c r="BS121" s="354"/>
      <c r="BT121" s="354"/>
      <c r="BU121" s="354"/>
      <c r="BV121" s="354"/>
      <c r="BW121" s="354"/>
      <c r="BX121" s="354"/>
      <c r="BY121" s="354"/>
      <c r="BZ121" s="354"/>
      <c r="CA121" s="354"/>
      <c r="CB121" s="354"/>
      <c r="CC121" s="354"/>
      <c r="CD121" s="354"/>
      <c r="CE121" s="354"/>
      <c r="CF121" s="354"/>
      <c r="CG121" s="354"/>
      <c r="CH121" s="354"/>
      <c r="CI121" s="354"/>
      <c r="CJ121" s="354"/>
      <c r="CK121" s="354"/>
      <c r="CL121" s="354"/>
      <c r="CM121" s="354"/>
      <c r="CN121" s="354"/>
      <c r="CO121" s="354"/>
      <c r="CP121" s="354"/>
      <c r="CQ121" s="354"/>
      <c r="CR121" s="354"/>
      <c r="CS121" s="354"/>
      <c r="CT121" s="354"/>
      <c r="CU121" s="354"/>
      <c r="CV121" s="354"/>
      <c r="CW121" s="354"/>
      <c r="CX121" s="354"/>
      <c r="CY121" s="354"/>
      <c r="CZ121" s="354"/>
      <c r="DA121" s="354"/>
      <c r="DB121" s="354"/>
      <c r="DC121" s="354"/>
      <c r="DD121" s="354"/>
      <c r="DE121" s="354"/>
      <c r="DF121" s="354"/>
      <c r="DG121" s="354"/>
      <c r="DH121" s="354"/>
      <c r="DI121" s="354"/>
      <c r="DJ121" s="354"/>
      <c r="DK121" s="354"/>
      <c r="DL121" s="354"/>
      <c r="DM121" s="354"/>
      <c r="DN121" s="354"/>
      <c r="DO121" s="354"/>
      <c r="DP121" s="354"/>
      <c r="DQ121" s="354"/>
      <c r="DR121" s="354"/>
      <c r="DS121" s="354"/>
      <c r="DT121" s="354"/>
      <c r="DU121" s="354"/>
      <c r="DV121" s="354"/>
      <c r="DW121" s="354"/>
      <c r="DX121" s="354"/>
      <c r="DY121" s="354"/>
      <c r="DZ121" s="354"/>
      <c r="EA121" s="354"/>
      <c r="EB121" s="354"/>
      <c r="EC121" s="354"/>
      <c r="ED121" s="354"/>
      <c r="EE121" s="354"/>
      <c r="EF121" s="354"/>
      <c r="EG121" s="354"/>
      <c r="EH121" s="354"/>
      <c r="EI121" s="354"/>
      <c r="EJ121" s="354"/>
      <c r="EK121" s="354"/>
      <c r="EL121" s="354"/>
      <c r="EM121" s="354"/>
      <c r="EN121" s="354"/>
      <c r="EO121" s="354"/>
      <c r="EP121" s="354"/>
      <c r="EQ121" s="354"/>
      <c r="ER121" s="354"/>
      <c r="ES121" s="354"/>
      <c r="ET121" s="354"/>
      <c r="EU121" s="354"/>
      <c r="EV121" s="354"/>
      <c r="EW121" s="354"/>
      <c r="EX121" s="354"/>
      <c r="EY121" s="354"/>
      <c r="EZ121" s="354"/>
      <c r="FA121" s="354"/>
      <c r="FB121" s="354"/>
      <c r="FC121" s="354"/>
      <c r="FD121" s="354"/>
      <c r="FE121" s="354"/>
      <c r="FF121" s="354"/>
      <c r="FG121" s="354"/>
      <c r="FH121" s="354"/>
      <c r="FI121" s="354"/>
      <c r="FJ121" s="354"/>
      <c r="FK121" s="354"/>
      <c r="FL121" s="354"/>
      <c r="FM121" s="354"/>
      <c r="FN121" s="354"/>
      <c r="FO121" s="354"/>
      <c r="FP121" s="354"/>
      <c r="FQ121" s="354"/>
      <c r="FR121" s="354"/>
      <c r="FS121" s="354"/>
      <c r="FT121" s="354"/>
      <c r="FU121" s="354"/>
      <c r="FV121" s="354"/>
      <c r="FW121" s="355"/>
      <c r="FX121" s="497"/>
      <c r="FY121" s="497"/>
      <c r="FZ121" s="1216"/>
      <c r="GA121" s="1181"/>
      <c r="GB121" s="1181"/>
      <c r="GC121" s="1181"/>
      <c r="GD121" s="1181"/>
    </row>
    <row s="1619" customFormat="1" customHeight="1" ht="16.5">
      <c r="A122" s="1461"/>
      <c r="B122" s="924"/>
      <c r="C122" s="1322"/>
      <c r="D122" s="1291"/>
      <c r="E122" s="794">
        <v>17.1</v>
      </c>
      <c r="F122" s="919" cm="1" t="str">
        <f t="array" ref="F122:F122">OFFSET(G122,-1,-1)</f>
        <v>2</v>
      </c>
      <c r="G122" s="497"/>
      <c r="H122" s="497"/>
      <c r="I122" s="497"/>
      <c r="J122" s="1314"/>
      <c r="K122" s="1314"/>
      <c r="L122" s="1314"/>
      <c r="M122" s="1314"/>
      <c r="N122" s="1314"/>
      <c r="O122" s="1314"/>
      <c r="P122" s="1314"/>
      <c r="Q122" s="1296"/>
      <c r="R122" s="925"/>
      <c r="S122" s="497"/>
      <c r="T122" s="805" cm="1" t="str">
        <f t="array" ref="T122:T122">T120</f>
        <v>true</v>
      </c>
      <c r="U122" s="1461"/>
      <c r="V122" s="1461"/>
      <c r="W122" s="1461"/>
      <c r="X122" s="1461"/>
      <c r="Y122" s="1461"/>
      <c r="Z122" s="1461"/>
      <c r="AA122" s="497"/>
      <c r="AB122" s="1442" t="s">
        <v>2083</v>
      </c>
      <c r="AC122" s="1444"/>
      <c r="AD122" s="351" cm="1" t="str">
        <f t="array" ref="AD122:AD122">INDEX('Общие сведения'!$AM$169:$AM$218,MATCH($F122,'Общие сведения'!$Z$169:$Z$218,0))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122" s="354"/>
      <c r="AF122" s="354"/>
      <c r="AG122" s="354"/>
      <c r="AH122" s="354"/>
      <c r="AI122" s="354"/>
      <c r="AJ122" s="354"/>
      <c r="AK122" s="354"/>
      <c r="AL122" s="354"/>
      <c r="AM122" s="354"/>
      <c r="AN122" s="354"/>
      <c r="AO122" s="354"/>
      <c r="AP122" s="354"/>
      <c r="AQ122" s="354"/>
      <c r="AR122" s="354"/>
      <c r="AS122" s="354"/>
      <c r="AT122" s="354"/>
      <c r="AU122" s="354"/>
      <c r="AV122" s="354"/>
      <c r="AW122" s="354"/>
      <c r="AX122" s="354"/>
      <c r="AY122" s="354"/>
      <c r="AZ122" s="354"/>
      <c r="BA122" s="354"/>
      <c r="BB122" s="354"/>
      <c r="BC122" s="354"/>
      <c r="BD122" s="354"/>
      <c r="BE122" s="354"/>
      <c r="BF122" s="354"/>
      <c r="BG122" s="354"/>
      <c r="BH122" s="354"/>
      <c r="BI122" s="354"/>
      <c r="BJ122" s="354"/>
      <c r="BK122" s="354"/>
      <c r="BL122" s="354"/>
      <c r="BM122" s="354"/>
      <c r="BN122" s="354"/>
      <c r="BO122" s="354"/>
      <c r="BP122" s="354"/>
      <c r="BQ122" s="354"/>
      <c r="BR122" s="354"/>
      <c r="BS122" s="354"/>
      <c r="BT122" s="354"/>
      <c r="BU122" s="354"/>
      <c r="BV122" s="354"/>
      <c r="BW122" s="354"/>
      <c r="BX122" s="354"/>
      <c r="BY122" s="354"/>
      <c r="BZ122" s="354"/>
      <c r="CA122" s="354"/>
      <c r="CB122" s="354"/>
      <c r="CC122" s="354"/>
      <c r="CD122" s="354"/>
      <c r="CE122" s="354"/>
      <c r="CF122" s="354"/>
      <c r="CG122" s="354"/>
      <c r="CH122" s="354"/>
      <c r="CI122" s="354"/>
      <c r="CJ122" s="354"/>
      <c r="CK122" s="354"/>
      <c r="CL122" s="354"/>
      <c r="CM122" s="354"/>
      <c r="CN122" s="354"/>
      <c r="CO122" s="354"/>
      <c r="CP122" s="354"/>
      <c r="CQ122" s="354"/>
      <c r="CR122" s="354"/>
      <c r="CS122" s="354"/>
      <c r="CT122" s="354"/>
      <c r="CU122" s="354"/>
      <c r="CV122" s="354"/>
      <c r="CW122" s="354"/>
      <c r="CX122" s="354"/>
      <c r="CY122" s="354"/>
      <c r="CZ122" s="354"/>
      <c r="DA122" s="354"/>
      <c r="DB122" s="354"/>
      <c r="DC122" s="354"/>
      <c r="DD122" s="354"/>
      <c r="DE122" s="354"/>
      <c r="DF122" s="354"/>
      <c r="DG122" s="354"/>
      <c r="DH122" s="354"/>
      <c r="DI122" s="354"/>
      <c r="DJ122" s="354"/>
      <c r="DK122" s="354"/>
      <c r="DL122" s="354"/>
      <c r="DM122" s="354"/>
      <c r="DN122" s="354"/>
      <c r="DO122" s="354"/>
      <c r="DP122" s="354"/>
      <c r="DQ122" s="354"/>
      <c r="DR122" s="354"/>
      <c r="DS122" s="354"/>
      <c r="DT122" s="354"/>
      <c r="DU122" s="354"/>
      <c r="DV122" s="354"/>
      <c r="DW122" s="354"/>
      <c r="DX122" s="354"/>
      <c r="DY122" s="354"/>
      <c r="DZ122" s="354"/>
      <c r="EA122" s="354"/>
      <c r="EB122" s="354"/>
      <c r="EC122" s="354"/>
      <c r="ED122" s="354"/>
      <c r="EE122" s="354"/>
      <c r="EF122" s="354"/>
      <c r="EG122" s="354"/>
      <c r="EH122" s="354"/>
      <c r="EI122" s="354"/>
      <c r="EJ122" s="354"/>
      <c r="EK122" s="354"/>
      <c r="EL122" s="354"/>
      <c r="EM122" s="354"/>
      <c r="EN122" s="354"/>
      <c r="EO122" s="354"/>
      <c r="EP122" s="354"/>
      <c r="EQ122" s="354"/>
      <c r="ER122" s="354"/>
      <c r="ES122" s="354"/>
      <c r="ET122" s="354"/>
      <c r="EU122" s="354"/>
      <c r="EV122" s="354"/>
      <c r="EW122" s="354"/>
      <c r="EX122" s="354"/>
      <c r="EY122" s="354"/>
      <c r="EZ122" s="354"/>
      <c r="FA122" s="354"/>
      <c r="FB122" s="354"/>
      <c r="FC122" s="354"/>
      <c r="FD122" s="354"/>
      <c r="FE122" s="354"/>
      <c r="FF122" s="354"/>
      <c r="FG122" s="354"/>
      <c r="FH122" s="354"/>
      <c r="FI122" s="354"/>
      <c r="FJ122" s="354"/>
      <c r="FK122" s="354"/>
      <c r="FL122" s="354"/>
      <c r="FM122" s="354"/>
      <c r="FN122" s="354"/>
      <c r="FO122" s="354"/>
      <c r="FP122" s="354"/>
      <c r="FQ122" s="354"/>
      <c r="FR122" s="354"/>
      <c r="FS122" s="354"/>
      <c r="FT122" s="354"/>
      <c r="FU122" s="354"/>
      <c r="FV122" s="354"/>
      <c r="FW122" s="355"/>
      <c r="FX122" s="497"/>
      <c r="FY122" s="497"/>
      <c r="FZ122" s="1216"/>
      <c r="GA122" s="1181"/>
      <c r="GB122" s="1181"/>
      <c r="GC122" s="1181"/>
      <c r="GD122" s="1181"/>
    </row>
    <row s="1619" customFormat="1" customHeight="1" ht="16.5">
      <c r="A123" s="1461"/>
      <c r="B123" s="924"/>
      <c r="C123" s="1322"/>
      <c r="D123" s="1291"/>
      <c r="E123" s="794">
        <v>17.1</v>
      </c>
      <c r="F123" s="919" cm="1" t="str">
        <f t="array" ref="F123:F123">OFFSET(G123,-1,-1)</f>
        <v>2</v>
      </c>
      <c r="G123" s="497"/>
      <c r="H123" s="497"/>
      <c r="I123" s="497"/>
      <c r="J123" s="1314"/>
      <c r="K123" s="1314"/>
      <c r="L123" s="1314"/>
      <c r="M123" s="1314"/>
      <c r="N123" s="1314"/>
      <c r="O123" s="1314"/>
      <c r="P123" s="1314"/>
      <c r="Q123" s="1296"/>
      <c r="R123" s="925"/>
      <c r="S123" s="497"/>
      <c r="T123" s="805" cm="1" t="str">
        <f t="array" ref="T123:T123">T122</f>
        <v>true</v>
      </c>
      <c r="U123" s="1461"/>
      <c r="V123" s="1461"/>
      <c r="W123" s="1461"/>
      <c r="X123" s="1461"/>
      <c r="Y123" s="1461"/>
      <c r="Z123" s="1461"/>
      <c r="AA123" s="497"/>
      <c r="AB123" s="1442" t="s">
        <v>2084</v>
      </c>
      <c r="AC123" s="1444"/>
      <c r="AD123" s="351" cm="1" t="str">
        <f t="array" ref="AD123:AD123">INDEX('Общие сведения'!$AJ$169:$AJ$218,MATCH($F123,'Общие сведения'!$Z$169:$Z$218,0))</f>
        <v>Тариф: Носитель - горячая вода (Т); Носитель - горячая вода (Т)</v>
      </c>
      <c r="AE123" s="354"/>
      <c r="AF123" s="354"/>
      <c r="AG123" s="354"/>
      <c r="AH123" s="354"/>
      <c r="AI123" s="354"/>
      <c r="AJ123" s="354"/>
      <c r="AK123" s="354"/>
      <c r="AL123" s="354"/>
      <c r="AM123" s="354"/>
      <c r="AN123" s="354"/>
      <c r="AO123" s="354"/>
      <c r="AP123" s="354"/>
      <c r="AQ123" s="354"/>
      <c r="AR123" s="354"/>
      <c r="AS123" s="354"/>
      <c r="AT123" s="354"/>
      <c r="AU123" s="354"/>
      <c r="AV123" s="354"/>
      <c r="AW123" s="354"/>
      <c r="AX123" s="354"/>
      <c r="AY123" s="354"/>
      <c r="AZ123" s="354"/>
      <c r="BA123" s="354"/>
      <c r="BB123" s="354"/>
      <c r="BC123" s="354"/>
      <c r="BD123" s="354"/>
      <c r="BE123" s="354"/>
      <c r="BF123" s="354"/>
      <c r="BG123" s="354"/>
      <c r="BH123" s="354"/>
      <c r="BI123" s="354"/>
      <c r="BJ123" s="354"/>
      <c r="BK123" s="354"/>
      <c r="BL123" s="354"/>
      <c r="BM123" s="354"/>
      <c r="BN123" s="354"/>
      <c r="BO123" s="354"/>
      <c r="BP123" s="354"/>
      <c r="BQ123" s="354"/>
      <c r="BR123" s="354"/>
      <c r="BS123" s="354"/>
      <c r="BT123" s="354"/>
      <c r="BU123" s="354"/>
      <c r="BV123" s="354"/>
      <c r="BW123" s="354"/>
      <c r="BX123" s="354"/>
      <c r="BY123" s="354"/>
      <c r="BZ123" s="354"/>
      <c r="CA123" s="354"/>
      <c r="CB123" s="354"/>
      <c r="CC123" s="354"/>
      <c r="CD123" s="354"/>
      <c r="CE123" s="354"/>
      <c r="CF123" s="354"/>
      <c r="CG123" s="354"/>
      <c r="CH123" s="354"/>
      <c r="CI123" s="354"/>
      <c r="CJ123" s="354"/>
      <c r="CK123" s="354"/>
      <c r="CL123" s="354"/>
      <c r="CM123" s="354"/>
      <c r="CN123" s="354"/>
      <c r="CO123" s="354"/>
      <c r="CP123" s="354"/>
      <c r="CQ123" s="354"/>
      <c r="CR123" s="354"/>
      <c r="CS123" s="354"/>
      <c r="CT123" s="354"/>
      <c r="CU123" s="354"/>
      <c r="CV123" s="354"/>
      <c r="CW123" s="354"/>
      <c r="CX123" s="354"/>
      <c r="CY123" s="354"/>
      <c r="CZ123" s="354"/>
      <c r="DA123" s="354"/>
      <c r="DB123" s="354"/>
      <c r="DC123" s="354"/>
      <c r="DD123" s="354"/>
      <c r="DE123" s="354"/>
      <c r="DF123" s="354"/>
      <c r="DG123" s="354"/>
      <c r="DH123" s="354"/>
      <c r="DI123" s="354"/>
      <c r="DJ123" s="354"/>
      <c r="DK123" s="354"/>
      <c r="DL123" s="354"/>
      <c r="DM123" s="354"/>
      <c r="DN123" s="354"/>
      <c r="DO123" s="354"/>
      <c r="DP123" s="354"/>
      <c r="DQ123" s="354"/>
      <c r="DR123" s="354"/>
      <c r="DS123" s="354"/>
      <c r="DT123" s="354"/>
      <c r="DU123" s="354"/>
      <c r="DV123" s="354"/>
      <c r="DW123" s="354"/>
      <c r="DX123" s="354"/>
      <c r="DY123" s="354"/>
      <c r="DZ123" s="354"/>
      <c r="EA123" s="354"/>
      <c r="EB123" s="354"/>
      <c r="EC123" s="354"/>
      <c r="ED123" s="354"/>
      <c r="EE123" s="354"/>
      <c r="EF123" s="354"/>
      <c r="EG123" s="354"/>
      <c r="EH123" s="354"/>
      <c r="EI123" s="354"/>
      <c r="EJ123" s="354"/>
      <c r="EK123" s="354"/>
      <c r="EL123" s="354"/>
      <c r="EM123" s="354"/>
      <c r="EN123" s="354"/>
      <c r="EO123" s="354"/>
      <c r="EP123" s="354"/>
      <c r="EQ123" s="354"/>
      <c r="ER123" s="354"/>
      <c r="ES123" s="354"/>
      <c r="ET123" s="354"/>
      <c r="EU123" s="354"/>
      <c r="EV123" s="354"/>
      <c r="EW123" s="354"/>
      <c r="EX123" s="354"/>
      <c r="EY123" s="354"/>
      <c r="EZ123" s="354"/>
      <c r="FA123" s="354"/>
      <c r="FB123" s="354"/>
      <c r="FC123" s="354"/>
      <c r="FD123" s="354"/>
      <c r="FE123" s="354"/>
      <c r="FF123" s="354"/>
      <c r="FG123" s="354"/>
      <c r="FH123" s="354"/>
      <c r="FI123" s="354"/>
      <c r="FJ123" s="354"/>
      <c r="FK123" s="354"/>
      <c r="FL123" s="354"/>
      <c r="FM123" s="354"/>
      <c r="FN123" s="354"/>
      <c r="FO123" s="354"/>
      <c r="FP123" s="354"/>
      <c r="FQ123" s="354"/>
      <c r="FR123" s="354"/>
      <c r="FS123" s="354"/>
      <c r="FT123" s="354"/>
      <c r="FU123" s="354"/>
      <c r="FV123" s="354"/>
      <c r="FW123" s="355"/>
      <c r="FX123" s="497"/>
      <c r="FY123" s="497"/>
      <c r="FZ123" s="1216"/>
      <c r="GA123" s="1181"/>
      <c r="GB123" s="1181"/>
      <c r="GC123" s="1181"/>
      <c r="GD123" s="1181"/>
    </row>
    <row s="1619" customFormat="1" customHeight="1" ht="16.5">
      <c r="A124" s="1461"/>
      <c r="B124" s="961">
        <f>R120="одноставочный"</f>
        <v>1</v>
      </c>
      <c r="C124" s="1322"/>
      <c r="D124" s="1291"/>
      <c r="E124" s="794">
        <v>17.1</v>
      </c>
      <c r="F124" s="919" cm="1" t="str">
        <f t="array" ref="F124:F124">OFFSET(G124,-1,-1)</f>
        <v>2</v>
      </c>
      <c r="G124" s="497"/>
      <c r="H124" s="497"/>
      <c r="I124" s="497"/>
      <c r="J124" s="1314"/>
      <c r="K124" s="1314"/>
      <c r="L124" s="1314"/>
      <c r="M124" s="1314"/>
      <c r="N124" s="1314"/>
      <c r="O124" s="1314"/>
      <c r="P124" s="1314"/>
      <c r="Q124" s="1296"/>
      <c r="R124" s="925"/>
      <c r="S124" s="497"/>
      <c r="T124" s="805">
        <f>AND(F124&gt;0,G120="одноставочный")</f>
        <v>1</v>
      </c>
      <c r="U124" s="1461"/>
      <c r="V124" s="1461"/>
      <c r="W124" s="1461"/>
      <c r="X124" s="1461"/>
      <c r="Y124" s="1461"/>
      <c r="Z124" s="1461"/>
      <c r="AA124" s="497"/>
      <c r="AB124" s="356" t="s">
        <v>2085</v>
      </c>
      <c r="AC124" s="357"/>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9"/>
      <c r="BK124" s="358"/>
      <c r="BL124" s="358"/>
      <c r="BM124" s="359"/>
      <c r="BN124" s="358"/>
      <c r="BO124" s="358"/>
      <c r="BP124" s="359"/>
      <c r="BQ124" s="358"/>
      <c r="BR124" s="358"/>
      <c r="BS124" s="359"/>
      <c r="BT124" s="358"/>
      <c r="BU124" s="358"/>
      <c r="BV124" s="359"/>
      <c r="BW124" s="358"/>
      <c r="BX124" s="358"/>
      <c r="BY124" s="359"/>
      <c r="BZ124" s="358"/>
      <c r="CA124" s="358"/>
      <c r="CB124" s="359"/>
      <c r="CC124" s="358"/>
      <c r="CD124" s="358"/>
      <c r="CE124" s="359"/>
      <c r="CF124" s="358"/>
      <c r="CG124" s="358"/>
      <c r="CH124" s="359"/>
      <c r="CI124" s="358"/>
      <c r="CJ124" s="358"/>
      <c r="CK124" s="359"/>
      <c r="CL124" s="358"/>
      <c r="CM124" s="358"/>
      <c r="CN124" s="359"/>
      <c r="CO124" s="358"/>
      <c r="CP124" s="358"/>
      <c r="CQ124" s="359"/>
      <c r="CR124" s="358"/>
      <c r="CS124" s="358"/>
      <c r="CT124" s="359"/>
      <c r="CU124" s="358"/>
      <c r="CV124" s="358"/>
      <c r="CW124" s="359"/>
      <c r="CX124" s="358"/>
      <c r="CY124" s="358"/>
      <c r="CZ124" s="359"/>
      <c r="DA124" s="358"/>
      <c r="DB124" s="358"/>
      <c r="DC124" s="359"/>
      <c r="DD124" s="358"/>
      <c r="DE124" s="358"/>
      <c r="DF124" s="359"/>
      <c r="DG124" s="358"/>
      <c r="DH124" s="358"/>
      <c r="DI124" s="359"/>
      <c r="DJ124" s="358"/>
      <c r="DK124" s="358"/>
      <c r="DL124" s="359"/>
      <c r="DM124" s="358"/>
      <c r="DN124" s="358"/>
      <c r="DO124" s="359"/>
      <c r="DP124" s="358"/>
      <c r="DQ124" s="358"/>
      <c r="DR124" s="359"/>
      <c r="DS124" s="358"/>
      <c r="DT124" s="358"/>
      <c r="DU124" s="359"/>
      <c r="DV124" s="358"/>
      <c r="DW124" s="358"/>
      <c r="DX124" s="359"/>
      <c r="DY124" s="358"/>
      <c r="DZ124" s="358"/>
      <c r="EA124" s="359"/>
      <c r="EB124" s="358"/>
      <c r="EC124" s="358"/>
      <c r="ED124" s="359"/>
      <c r="EE124" s="358"/>
      <c r="EF124" s="358"/>
      <c r="EG124" s="359"/>
      <c r="EH124" s="358"/>
      <c r="EI124" s="358"/>
      <c r="EJ124" s="359"/>
      <c r="EK124" s="358"/>
      <c r="EL124" s="358"/>
      <c r="EM124" s="359"/>
      <c r="EN124" s="358"/>
      <c r="EO124" s="358"/>
      <c r="EP124" s="359"/>
      <c r="EQ124" s="358"/>
      <c r="ER124" s="358"/>
      <c r="ES124" s="359"/>
      <c r="ET124" s="358"/>
      <c r="EU124" s="358"/>
      <c r="EV124" s="359"/>
      <c r="EW124" s="358"/>
      <c r="EX124" s="358"/>
      <c r="EY124" s="359"/>
      <c r="EZ124" s="358"/>
      <c r="FA124" s="358"/>
      <c r="FB124" s="359"/>
      <c r="FC124" s="358"/>
      <c r="FD124" s="358"/>
      <c r="FE124" s="359"/>
      <c r="FF124" s="358"/>
      <c r="FG124" s="358"/>
      <c r="FH124" s="359"/>
      <c r="FI124" s="358"/>
      <c r="FJ124" s="358"/>
      <c r="FK124" s="359"/>
      <c r="FL124" s="358"/>
      <c r="FM124" s="358"/>
      <c r="FN124" s="359"/>
      <c r="FO124" s="358"/>
      <c r="FP124" s="358"/>
      <c r="FQ124" s="359"/>
      <c r="FR124" s="358"/>
      <c r="FS124" s="358"/>
      <c r="FT124" s="359"/>
      <c r="FU124" s="358"/>
      <c r="FV124" s="358"/>
      <c r="FW124" s="359"/>
      <c r="FX124" s="497"/>
      <c r="FY124" s="497"/>
      <c r="FZ124" s="1216"/>
      <c r="GA124" s="1181"/>
      <c r="GB124" s="1181"/>
      <c r="GC124" s="1181"/>
      <c r="GD124" s="1181"/>
    </row>
    <row s="2067" customFormat="1" customHeight="1" ht="16.5">
      <c r="A125" s="360"/>
      <c r="B125" s="961" cm="1" t="str">
        <f t="array" ref="B125:B125">B124</f>
        <v>true</v>
      </c>
      <c r="C125" s="1322" t="s">
        <v>2086</v>
      </c>
      <c r="D125" s="1291" t="s">
        <v>2087</v>
      </c>
      <c r="E125" s="794">
        <v>17.1</v>
      </c>
      <c r="F125" s="919" cm="1" t="str">
        <f t="array" ref="F125:F125">OFFSET(G125,-1,-1)</f>
        <v>2</v>
      </c>
      <c r="G125" s="736" t="s">
        <v>1729</v>
      </c>
      <c r="H125" s="210" t="s">
        <v>493</v>
      </c>
      <c r="I125" s="210" t="s">
        <v>2088</v>
      </c>
      <c r="J125" s="1312" t="s">
        <v>2089</v>
      </c>
      <c r="K125" s="1312" cm="1" t="str">
        <f t="array" ref="K125:K125">INDEX('Общие сведения'!$N$169:$N$218,MATCH($F125,'Общие сведения'!$Z$169:$Z$218,0)+1)</f>
        <v>ТЭ.42.26824396.0005</v>
      </c>
      <c r="L125" s="1312" t="s">
        <v>2090</v>
      </c>
      <c r="M125" s="1312" t="s">
        <v>1724</v>
      </c>
      <c r="N125" s="1312" t="s">
        <v>2091</v>
      </c>
      <c r="O125" s="1313" t="s">
        <v>2092</v>
      </c>
      <c r="P125" s="1312"/>
      <c r="Q125" s="1312"/>
      <c r="R125" s="360"/>
      <c r="S125" s="360"/>
      <c r="T125" s="805" cm="1" t="str">
        <f t="array" ref="T125:T125">T124</f>
        <v>true</v>
      </c>
      <c r="U125" s="360"/>
      <c r="V125" s="360"/>
      <c r="W125" s="360"/>
      <c r="X125" s="360"/>
      <c r="Y125" s="360"/>
      <c r="Z125" s="360"/>
      <c r="AA125" s="360"/>
      <c r="AB125" s="1351" t="s">
        <v>2093</v>
      </c>
      <c r="AC125" s="361" t="s">
        <v>895</v>
      </c>
      <c r="AD125" s="2060">
        <f>IF(method_reg="Метод экономически обоснованных расходов",_xlfn.SUMIFS('Калькуляция (4.6)'!AJ$25:AJ$229,'Калькуляция (4.6)'!$F$25:$F$229,$F125,'Калькуляция (4.6)'!$G$25:$G$229,$G125),IF(method_reg="Метод сравнения аналогов",_xlfn.SUMIFS(INDEX('Калькуляция (МСА)'!$AE$25:$BC$109,,MATCH(AD$8,'Калькуляция (МСА)'!$AE$8:$BC$8,0)),'Калькуляция (МСА)'!$F$25:$F$109,$F125,'Калькуляция (МСА)'!$G$25:$G$109,$G125),_xlfn.SUMIFS(INDEX('Калькуляция (5.9)'!$AJ$25:$BC$192,,MATCH(AD$8,'Калькуляция (5.9)'!$AJ$8:$BC$8,0)),'Калькуляция (5.9)'!$F$25:$F$192,$F125,'Калькуляция (5.9)'!$G$25:$G$192,$G125)))</f>
        <v>2935.33</v>
      </c>
      <c r="AE125" s="2060">
        <f>IF(method_reg="Метод экономически обоснованных расходов",_xlfn.SUMIFS('Калькуляция (4.6)'!AK$25:AK$229,'Калькуляция (4.6)'!$F$25:$F$229,$F125,'Калькуляция (4.6)'!$G$25:$G$229,$G125),IF(method_reg="Метод сравнения аналогов",_xlfn.SUMIFS(INDEX('Калькуляция (МСА)'!$AE$25:$BC$109,,MATCH(AE$8,'Калькуляция (МСА)'!$AE$8:$BC$8,0)),'Калькуляция (МСА)'!$F$25:$F$109,$F125,'Калькуляция (МСА)'!$G$25:$G$109,$G125),_xlfn.SUMIFS(INDEX('Калькуляция (5.9)'!$AJ$25:$BC$192,,MATCH(AE$8,'Калькуляция (5.9)'!$AJ$8:$BC$8,0)),'Калькуляция (5.9)'!$F$25:$F$192,$F125,'Калькуляция (5.9)'!$G$25:$G$192,$G125)))</f>
        <v>2935.33</v>
      </c>
      <c r="AF125" s="363">
        <f>IF(AD125=0,0,(AE125-AD125)/AD125*100)</f>
        <v>0</v>
      </c>
      <c r="AG125" s="362">
        <f>IF(method_reg="Метод сравнения аналогов",_xlfn.SUMIFS(INDEX('Калькуляция (МСА)'!$AE$25:$BC$109,,MATCH(AG$8,'Калькуляция (МСА)'!$AE$8:$BC$8,0)),'Калькуляция (МСА)'!$F$25:$F$109,$F125,'Калькуляция (МСА)'!$G$25:$G$109,$G125),_xlfn.SUMIFS(INDEX('Калькуляция (5.9)'!$AJ$25:$BC$192,,MATCH(AG$8,'Калькуляция (5.9)'!$AJ$8:$BC$8,0)),'Калькуляция (5.9)'!$F$25:$F$192,$F125,'Калькуляция (5.9)'!$G$25:$G$192,$G125))</f>
        <v>6917.15036615474</v>
      </c>
      <c r="AH125" s="362">
        <f>IF(method_reg="Метод сравнения аналогов",_xlfn.SUMIFS(INDEX('Калькуляция (МСА)'!$AE$25:$BC$109,,MATCH(AH$8,'Калькуляция (МСА)'!$AE$8:$BC$8,0)),'Калькуляция (МСА)'!$F$25:$F$109,$F125,'Калькуляция (МСА)'!$G$25:$G$109,$G125),_xlfn.SUMIFS(INDEX('Калькуляция (5.9)'!$AJ$25:$BC$192,,MATCH(AH$8,'Калькуляция (5.9)'!$AJ$8:$BC$8,0)),'Калькуляция (5.9)'!$F$25:$F$192,$F125,'Калькуляция (5.9)'!$G$25:$G$192,$G125))</f>
        <v>3228.86728754133</v>
      </c>
      <c r="AI125" s="363">
        <f>IF(AG125=0,0,(AH125-AG125)/AG125*100)</f>
        <v>-53.3208457728487</v>
      </c>
      <c r="AJ125" s="362">
        <f>IF(method_reg="Метод сравнения аналогов",_xlfn.SUMIFS(INDEX('Калькуляция (МСА)'!$AE$25:$BC$109,,MATCH(AJ$8,'Калькуляция (МСА)'!$AE$8:$BC$8,0)),'Калькуляция (МСА)'!$F$25:$F$109,$F125,'Калькуляция (МСА)'!$G$25:$G$109,$G125),_xlfn.SUMIFS(INDEX('Калькуляция (5.9)'!$AJ$25:$BC$192,,MATCH(AJ$8,'Калькуляция (5.9)'!$AJ$8:$BC$8,0)),'Калькуляция (5.9)'!$F$25:$F$192,$F125,'Калькуляция (5.9)'!$G$25:$G$192,$G125))</f>
        <v>6917.15036615477</v>
      </c>
      <c r="AK125" s="362">
        <f>IF(method_reg="Метод сравнения аналогов",_xlfn.SUMIFS(INDEX('Калькуляция (МСА)'!$AE$25:$BC$109,,MATCH(AK$8,'Калькуляция (МСА)'!$AE$8:$BC$8,0)),'Калькуляция (МСА)'!$F$25:$F$109,$F125,'Калькуляция (МСА)'!$G$25:$G$109,$G125),_xlfn.SUMIFS(INDEX('Калькуляция (5.9)'!$AJ$25:$BC$192,,MATCH(AK$8,'Калькуляция (5.9)'!$AJ$8:$BC$8,0)),'Калькуляция (5.9)'!$F$25:$F$192,$F125,'Калькуляция (5.9)'!$G$25:$G$192,$G125))</f>
        <v>4827.99161324375</v>
      </c>
      <c r="AL125" s="363">
        <f>IF(AJ125=0,0,(AK125-AJ125)/AJ125*100)</f>
        <v>-30.2025927198743</v>
      </c>
      <c r="AM125" s="362">
        <f>IF(method_reg="Метод сравнения аналогов",_xlfn.SUMIFS(INDEX('Калькуляция (МСА)'!$AE$25:$BC$109,,MATCH(AM$8,'Калькуляция (МСА)'!$AE$8:$BC$8,0)),'Калькуляция (МСА)'!$F$25:$F$109,$F125,'Калькуляция (МСА)'!$G$25:$G$109,$G125),_xlfn.SUMIFS(INDEX('Калькуляция (5.9)'!$AJ$25:$BC$192,,MATCH(AM$8,'Калькуляция (5.9)'!$AJ$8:$BC$8,0)),'Калькуляция (5.9)'!$F$25:$F$192,$F125,'Калькуляция (5.9)'!$G$25:$G$192,$G125))</f>
        <v>7342.58281529993</v>
      </c>
      <c r="AN125" s="362">
        <f>IF(method_reg="Метод сравнения аналогов",_xlfn.SUMIFS(INDEX('Калькуляция (МСА)'!$AE$25:$BC$109,,MATCH(AN$8,'Калькуляция (МСА)'!$AE$8:$BC$8,0)),'Калькуляция (МСА)'!$F$25:$F$109,$F125,'Калькуляция (МСА)'!$G$25:$G$109,$G125),_xlfn.SUMIFS(INDEX('Калькуляция (5.9)'!$AJ$25:$BC$192,,MATCH(AN$8,'Калькуляция (5.9)'!$AJ$8:$BC$8,0)),'Калькуляция (5.9)'!$F$25:$F$192,$F125,'Калькуляция (5.9)'!$G$25:$G$192,$G125))</f>
        <v>4827.99161324376</v>
      </c>
      <c r="AO125" s="363">
        <f>IF(AM125=0,0,(AN125-AM125)/AM125*100)</f>
        <v>-34.2466849242265</v>
      </c>
      <c r="AP125" s="362">
        <f>IF(method_reg="Метод сравнения аналогов",_xlfn.SUMIFS(INDEX('Калькуляция (МСА)'!$AE$25:$BC$109,,MATCH(AP$8,'Калькуляция (МСА)'!$AE$8:$BC$8,0)),'Калькуляция (МСА)'!$F$25:$F$109,$F125,'Калькуляция (МСА)'!$G$25:$G$109,$G125),_xlfn.SUMIFS(INDEX('Калькуляция (5.9)'!$AJ$25:$BC$192,,MATCH(AP$8,'Калькуляция (5.9)'!$AJ$8:$BC$8,0)),'Калькуляция (5.9)'!$F$25:$F$192,$F125,'Калькуляция (5.9)'!$G$25:$G$192,$G125))</f>
        <v>7342.58281529991</v>
      </c>
      <c r="AQ125" s="362">
        <f>IF(method_reg="Метод сравнения аналогов",_xlfn.SUMIFS(INDEX('Калькуляция (МСА)'!$AE$25:$BC$109,,MATCH(AQ$8,'Калькуляция (МСА)'!$AE$8:$BC$8,0)),'Калькуляция (МСА)'!$F$25:$F$109,$F125,'Калькуляция (МСА)'!$G$25:$G$109,$G125),_xlfn.SUMIFS(INDEX('Калькуляция (5.9)'!$AJ$25:$BC$192,,MATCH(AQ$8,'Калькуляция (5.9)'!$AJ$8:$BC$8,0)),'Калькуляция (5.9)'!$F$25:$F$192,$F125,'Калькуляция (5.9)'!$G$25:$G$192,$G125))</f>
        <v>5115.44438620049</v>
      </c>
      <c r="AR125" s="363">
        <f>IF(AP125=0,0,(AQ125-AP125)/AP125*100)</f>
        <v>-30.3318121854708</v>
      </c>
      <c r="AS125" s="2060">
        <f>IF(method_reg="Метод сравнения аналогов",_xlfn.SUMIFS(INDEX('Калькуляция (МСА)'!$AE$25:$BC$109,,MATCH(AS$8,'Калькуляция (МСА)'!$AE$8:$BC$8,0)),'Калькуляция (МСА)'!$F$25:$F$109,$F125,'Калькуляция (МСА)'!$G$25:$G$109,$G125),_xlfn.SUMIFS(INDEX('Калькуляция (5.9)'!$AJ$25:$BC$192,,MATCH(AS$8,'Калькуляция (5.9)'!$AJ$8:$BC$8,0)),'Калькуляция (5.9)'!$F$25:$F$192,$F125,'Калькуляция (5.9)'!$G$25:$G$192,$G125))</f>
        <v>2400.45285593701</v>
      </c>
      <c r="AT125" s="2060">
        <f>IF(method_reg="Метод сравнения аналогов",_xlfn.SUMIFS(INDEX('Калькуляция (МСА)'!$AE$25:$BC$109,,MATCH(AT$8,'Калькуляция (МСА)'!$AE$8:$BC$8,0)),'Калькуляция (МСА)'!$F$25:$F$109,$F125,'Калькуляция (МСА)'!$G$25:$G$109,$G125),_xlfn.SUMIFS(INDEX('Калькуляция (5.9)'!$AJ$25:$BC$192,,MATCH(AT$8,'Калькуляция (5.9)'!$AJ$8:$BC$8,0)),'Калькуляция (5.9)'!$F$25:$F$192,$F125,'Калькуляция (5.9)'!$G$25:$G$192,$G125))</f>
        <v>0</v>
      </c>
      <c r="AU125" s="363">
        <f>IF(AS125=0,0,(AT125-AS125)/AS125*100)</f>
        <v>-100</v>
      </c>
      <c r="AV125" s="2060">
        <f>IF(method_reg="Метод сравнения аналогов",_xlfn.SUMIFS(INDEX('Калькуляция (МСА)'!$AE$25:$BC$109,,MATCH(AV$8,'Калькуляция (МСА)'!$AE$8:$BC$8,0)),'Калькуляция (МСА)'!$F$25:$F$109,$F125,'Калькуляция (МСА)'!$G$25:$G$109,$G125),_xlfn.SUMIFS(INDEX('Калькуляция (5.9)'!$AJ$25:$BC$192,,MATCH(AV$8,'Калькуляция (5.9)'!$AJ$8:$BC$8,0)),'Калькуляция (5.9)'!$F$25:$F$192,$F125,'Калькуляция (5.9)'!$G$25:$G$192,$G125))</f>
        <v>2376.44832737764</v>
      </c>
      <c r="AW125" s="2060">
        <f>IF(method_reg="Метод сравнения аналогов",_xlfn.SUMIFS(INDEX('Калькуляция (МСА)'!$AE$25:$BC$109,,MATCH(AW$8,'Калькуляция (МСА)'!$AE$8:$BC$8,0)),'Калькуляция (МСА)'!$F$25:$F$109,$F125,'Калькуляция (МСА)'!$G$25:$G$109,$G125),_xlfn.SUMIFS(INDEX('Калькуляция (5.9)'!$AJ$25:$BC$192,,MATCH(AW$8,'Калькуляция (5.9)'!$AJ$8:$BC$8,0)),'Калькуляция (5.9)'!$F$25:$F$192,$F125,'Калькуляция (5.9)'!$G$25:$G$192,$G125))</f>
        <v>0</v>
      </c>
      <c r="AX125" s="363">
        <f>IF(AV125=0,0,(AW125-AV125)/AV125*100)</f>
        <v>-100</v>
      </c>
      <c r="AY125" s="2060">
        <f>IF(method_reg="Метод сравнения аналогов",_xlfn.SUMIFS(INDEX('Калькуляция (МСА)'!$AE$25:$BC$109,,MATCH(AY$8,'Калькуляция (МСА)'!$AE$8:$BC$8,0)),'Калькуляция (МСА)'!$F$25:$F$109,$F125,'Калькуляция (МСА)'!$G$25:$G$109,$G125),_xlfn.SUMIFS(INDEX('Калькуляция (5.9)'!$AJ$25:$BC$192,,MATCH(AY$8,'Калькуляция (5.9)'!$AJ$8:$BC$8,0)),'Калькуляция (5.9)'!$F$25:$F$192,$F125,'Калькуляция (5.9)'!$G$25:$G$192,$G125))</f>
        <v>2352.68384410387</v>
      </c>
      <c r="AZ125" s="2060">
        <f>IF(method_reg="Метод сравнения аналогов",_xlfn.SUMIFS(INDEX('Калькуляция (МСА)'!$AE$25:$BC$109,,MATCH(AZ$8,'Калькуляция (МСА)'!$AE$8:$BC$8,0)),'Калькуляция (МСА)'!$F$25:$F$109,$F125,'Калькуляция (МСА)'!$G$25:$G$109,$G125),_xlfn.SUMIFS(INDEX('Калькуляция (5.9)'!$AJ$25:$BC$192,,MATCH(AZ$8,'Калькуляция (5.9)'!$AJ$8:$BC$8,0)),'Калькуляция (5.9)'!$F$25:$F$192,$F125,'Калькуляция (5.9)'!$G$25:$G$192,$G125))</f>
        <v>0</v>
      </c>
      <c r="BA125" s="363">
        <f>IF(AY125=0,0,(AZ125-AY125)/AY125*100)</f>
        <v>-100</v>
      </c>
      <c r="BB125" s="2060">
        <f>IF(method_reg="Метод сравнения аналогов",_xlfn.SUMIFS(INDEX('Калькуляция (МСА)'!$AE$25:$BC$109,,MATCH(BB$8,'Калькуляция (МСА)'!$AE$8:$BC$8,0)),'Калькуляция (МСА)'!$F$25:$F$109,$F125,'Калькуляция (МСА)'!$G$25:$G$109,$G125),_xlfn.SUMIFS(INDEX('Калькуляция (5.9)'!$AJ$25:$BC$192,,MATCH(BB$8,'Калькуляция (5.9)'!$AJ$8:$BC$8,0)),'Калькуляция (5.9)'!$F$25:$F$192,$F125,'Калькуляция (5.9)'!$G$25:$G$192,$G125))</f>
        <v>2329.15700566283</v>
      </c>
      <c r="BC125" s="2060">
        <f>IF(method_reg="Метод сравнения аналогов",_xlfn.SUMIFS(INDEX('Калькуляция (МСА)'!$AE$25:$BC$109,,MATCH(BC$8,'Калькуляция (МСА)'!$AE$8:$BC$8,0)),'Калькуляция (МСА)'!$F$25:$F$109,$F125,'Калькуляция (МСА)'!$G$25:$G$109,$G125),_xlfn.SUMIFS(INDEX('Калькуляция (5.9)'!$AJ$25:$BC$192,,MATCH(BC$8,'Калькуляция (5.9)'!$AJ$8:$BC$8,0)),'Калькуляция (5.9)'!$F$25:$F$192,$F125,'Калькуляция (5.9)'!$G$25:$G$192,$G125))</f>
        <v>0</v>
      </c>
      <c r="BD125" s="363">
        <f>IF(BB125=0,0,(BC125-BB125)/BB125*100)</f>
        <v>-100</v>
      </c>
      <c r="BE125" s="2060">
        <f>IF(method_reg="Метод сравнения аналогов",_xlfn.SUMIFS(INDEX('Калькуляция (МСА)'!$AE$25:$BC$109,,MATCH(BE$8,'Калькуляция (МСА)'!$AE$8:$BC$8,0)),'Калькуляция (МСА)'!$F$25:$F$109,$F125,'Калькуляция (МСА)'!$G$25:$G$109,$G125),_xlfn.SUMIFS(INDEX('Калькуляция (5.9)'!$AJ$25:$BC$192,,MATCH(BE$8,'Калькуляция (5.9)'!$AJ$8:$BC$8,0)),'Калькуляция (5.9)'!$F$25:$F$192,$F125,'Калькуляция (5.9)'!$G$25:$G$192,$G125))</f>
        <v>2305.8654356062</v>
      </c>
      <c r="BF125" s="2060">
        <f>IF(method_reg="Метод сравнения аналогов",_xlfn.SUMIFS(INDEX('Калькуляция (МСА)'!$AE$25:$BC$109,,MATCH(BF$8,'Калькуляция (МСА)'!$AE$8:$BC$8,0)),'Калькуляция (МСА)'!$F$25:$F$109,$F125,'Калькуляция (МСА)'!$G$25:$G$109,$G125),_xlfn.SUMIFS(INDEX('Калькуляция (5.9)'!$AJ$25:$BC$192,,MATCH(BF$8,'Калькуляция (5.9)'!$AJ$8:$BC$8,0)),'Калькуляция (5.9)'!$F$25:$F$192,$F125,'Калькуляция (5.9)'!$G$25:$G$192,$G125))</f>
        <v>0</v>
      </c>
      <c r="BG125" s="363">
        <f>IF(BE125=0,0,(BF125-BE125)/BE125*100)</f>
        <v>-100</v>
      </c>
      <c r="BH125" s="2060"/>
      <c r="BI125" s="2060"/>
      <c r="BJ125" s="363">
        <f>IF(BH125=0,0,(BI125-BH125)/BH125*100)</f>
        <v>0</v>
      </c>
      <c r="BK125" s="2060"/>
      <c r="BL125" s="2060"/>
      <c r="BM125" s="363">
        <f>IF(BK125=0,0,(BL125-BK125)/BK125*100)</f>
        <v>0</v>
      </c>
      <c r="BN125" s="2060"/>
      <c r="BO125" s="2060"/>
      <c r="BP125" s="363">
        <f>IF(BN125=0,0,(BO125-BN125)/BN125*100)</f>
        <v>0</v>
      </c>
      <c r="BQ125" s="2060"/>
      <c r="BR125" s="2060"/>
      <c r="BS125" s="363">
        <f>IF(BQ125=0,0,(BR125-BQ125)/BQ125*100)</f>
        <v>0</v>
      </c>
      <c r="BT125" s="2060"/>
      <c r="BU125" s="2060"/>
      <c r="BV125" s="363">
        <f>IF(BT125=0,0,(BU125-BT125)/BT125*100)</f>
        <v>0</v>
      </c>
      <c r="BW125" s="2060"/>
      <c r="BX125" s="2060"/>
      <c r="BY125" s="363">
        <f>IF(BW125=0,0,(BX125-BW125)/BW125*100)</f>
        <v>0</v>
      </c>
      <c r="BZ125" s="2060"/>
      <c r="CA125" s="2060"/>
      <c r="CB125" s="363">
        <f>IF(BZ125=0,0,(CA125-BZ125)/BZ125*100)</f>
        <v>0</v>
      </c>
      <c r="CC125" s="2060"/>
      <c r="CD125" s="2060"/>
      <c r="CE125" s="363">
        <f>IF(CC125=0,0,(CD125-CC125)/CC125*100)</f>
        <v>0</v>
      </c>
      <c r="CF125" s="2060"/>
      <c r="CG125" s="2060"/>
      <c r="CH125" s="363">
        <f>IF(CF125=0,0,(CG125-CF125)/CF125*100)</f>
        <v>0</v>
      </c>
      <c r="CI125" s="2060"/>
      <c r="CJ125" s="2060"/>
      <c r="CK125" s="363">
        <f>IF(CI125=0,0,(CJ125-CI125)/CI125*100)</f>
        <v>0</v>
      </c>
      <c r="CL125" s="2060"/>
      <c r="CM125" s="2060"/>
      <c r="CN125" s="363">
        <f>IF(CL125=0,0,(CM125-CL125)/CL125*100)</f>
        <v>0</v>
      </c>
      <c r="CO125" s="2060"/>
      <c r="CP125" s="2060"/>
      <c r="CQ125" s="363">
        <f>IF(CO125=0,0,(CP125-CO125)/CO125*100)</f>
        <v>0</v>
      </c>
      <c r="CR125" s="2060"/>
      <c r="CS125" s="2060"/>
      <c r="CT125" s="363">
        <f>IF(CR125=0,0,(CS125-CR125)/CR125*100)</f>
        <v>0</v>
      </c>
      <c r="CU125" s="2060"/>
      <c r="CV125" s="2060"/>
      <c r="CW125" s="363">
        <f>IF(CU125=0,0,(CV125-CU125)/CU125*100)</f>
        <v>0</v>
      </c>
      <c r="CX125" s="2060"/>
      <c r="CY125" s="2060"/>
      <c r="CZ125" s="363">
        <f>IF(CX125=0,0,(CY125-CX125)/CX125*100)</f>
        <v>0</v>
      </c>
      <c r="DA125" s="2060"/>
      <c r="DB125" s="2060"/>
      <c r="DC125" s="363">
        <f>IF(DA125=0,0,(DB125-DA125)/DA125*100)</f>
        <v>0</v>
      </c>
      <c r="DD125" s="2060"/>
      <c r="DE125" s="2060"/>
      <c r="DF125" s="363">
        <f>IF(DD125=0,0,(DE125-DD125)/DD125*100)</f>
        <v>0</v>
      </c>
      <c r="DG125" s="2060"/>
      <c r="DH125" s="2060"/>
      <c r="DI125" s="363">
        <f>IF(DG125=0,0,(DH125-DG125)/DG125*100)</f>
        <v>0</v>
      </c>
      <c r="DJ125" s="2060"/>
      <c r="DK125" s="2060"/>
      <c r="DL125" s="363">
        <f>IF(DJ125=0,0,(DK125-DJ125)/DJ125*100)</f>
        <v>0</v>
      </c>
      <c r="DM125" s="2060"/>
      <c r="DN125" s="2060"/>
      <c r="DO125" s="363">
        <f>IF(DM125=0,0,(DN125-DM125)/DM125*100)</f>
        <v>0</v>
      </c>
      <c r="DP125" s="2060"/>
      <c r="DQ125" s="2060"/>
      <c r="DR125" s="363">
        <f>IF(DP125=0,0,(DQ125-DP125)/DP125*100)</f>
        <v>0</v>
      </c>
      <c r="DS125" s="2060"/>
      <c r="DT125" s="2060"/>
      <c r="DU125" s="363">
        <f>IF(DS125=0,0,(DT125-DS125)/DS125*100)</f>
        <v>0</v>
      </c>
      <c r="DV125" s="2060"/>
      <c r="DW125" s="2060"/>
      <c r="DX125" s="363">
        <f>IF(DV125=0,0,(DW125-DV125)/DV125*100)</f>
        <v>0</v>
      </c>
      <c r="DY125" s="2060"/>
      <c r="DZ125" s="2060"/>
      <c r="EA125" s="363">
        <f>IF(DY125=0,0,(DZ125-DY125)/DY125*100)</f>
        <v>0</v>
      </c>
      <c r="EB125" s="2060"/>
      <c r="EC125" s="2060"/>
      <c r="ED125" s="363">
        <f>IF(EB125=0,0,(EC125-EB125)/EB125*100)</f>
        <v>0</v>
      </c>
      <c r="EE125" s="2060"/>
      <c r="EF125" s="2060"/>
      <c r="EG125" s="363">
        <f>IF(EE125=0,0,(EF125-EE125)/EE125*100)</f>
        <v>0</v>
      </c>
      <c r="EH125" s="2060"/>
      <c r="EI125" s="2060"/>
      <c r="EJ125" s="363">
        <f>IF(EH125=0,0,(EI125-EH125)/EH125*100)</f>
        <v>0</v>
      </c>
      <c r="EK125" s="2060"/>
      <c r="EL125" s="2060"/>
      <c r="EM125" s="363">
        <f>IF(EK125=0,0,(EL125-EK125)/EK125*100)</f>
        <v>0</v>
      </c>
      <c r="EN125" s="2060"/>
      <c r="EO125" s="2060"/>
      <c r="EP125" s="363">
        <f>IF(EN125=0,0,(EO125-EN125)/EN125*100)</f>
        <v>0</v>
      </c>
      <c r="EQ125" s="2060"/>
      <c r="ER125" s="2060"/>
      <c r="ES125" s="363">
        <f>IF(EQ125=0,0,(ER125-EQ125)/EQ125*100)</f>
        <v>0</v>
      </c>
      <c r="ET125" s="2060"/>
      <c r="EU125" s="2060"/>
      <c r="EV125" s="363">
        <f>IF(ET125=0,0,(EU125-ET125)/ET125*100)</f>
        <v>0</v>
      </c>
      <c r="EW125" s="2060"/>
      <c r="EX125" s="2060"/>
      <c r="EY125" s="363">
        <f>IF(EW125=0,0,(EX125-EW125)/EW125*100)</f>
        <v>0</v>
      </c>
      <c r="EZ125" s="2060"/>
      <c r="FA125" s="2060"/>
      <c r="FB125" s="363">
        <f>IF(EZ125=0,0,(FA125-EZ125)/EZ125*100)</f>
        <v>0</v>
      </c>
      <c r="FC125" s="2060"/>
      <c r="FD125" s="2060"/>
      <c r="FE125" s="363">
        <f>IF(FC125=0,0,(FD125-FC125)/FC125*100)</f>
        <v>0</v>
      </c>
      <c r="FF125" s="2060"/>
      <c r="FG125" s="2060"/>
      <c r="FH125" s="363">
        <f>IF(FF125=0,0,(FG125-FF125)/FF125*100)</f>
        <v>0</v>
      </c>
      <c r="FI125" s="2060"/>
      <c r="FJ125" s="2060"/>
      <c r="FK125" s="363">
        <f>IF(FI125=0,0,(FJ125-FI125)/FI125*100)</f>
        <v>0</v>
      </c>
      <c r="FL125" s="2060"/>
      <c r="FM125" s="2060"/>
      <c r="FN125" s="363">
        <f>IF(FL125=0,0,(FM125-FL125)/FL125*100)</f>
        <v>0</v>
      </c>
      <c r="FO125" s="2060"/>
      <c r="FP125" s="2060"/>
      <c r="FQ125" s="363">
        <f>IF(FO125=0,0,(FP125-FO125)/FO125*100)</f>
        <v>0</v>
      </c>
      <c r="FR125" s="2060"/>
      <c r="FS125" s="2060"/>
      <c r="FT125" s="363">
        <f>IF(FR125=0,0,(FS125-FR125)/FR125*100)</f>
        <v>0</v>
      </c>
      <c r="FU125" s="2060"/>
      <c r="FV125" s="2060"/>
      <c r="FW125" s="363">
        <f>IF(FU125=0,0,(FV125-FU125)/FU125*100)</f>
        <v>0</v>
      </c>
      <c r="FX125" s="360"/>
      <c r="FY125" s="360"/>
      <c r="FZ125" s="1181" t="s">
        <v>2094</v>
      </c>
      <c r="GA125" s="1181"/>
      <c r="GB125" s="1181"/>
      <c r="GC125" s="1181"/>
      <c r="GD125" s="1181"/>
    </row>
    <row s="2068" customFormat="1" customHeight="1" ht="16.5">
      <c r="A126" s="360"/>
      <c r="B126" s="961" cm="1" t="str">
        <f t="array" ref="B126:B126">B125</f>
        <v>true</v>
      </c>
      <c r="C126" s="1322" t="s">
        <v>2086</v>
      </c>
      <c r="D126" s="1291" t="s">
        <v>2087</v>
      </c>
      <c r="E126" s="794">
        <v>17.1</v>
      </c>
      <c r="F126" s="919" cm="1" t="str">
        <f t="array" ref="F126:F126">OFFSET(G126,-1,-1)</f>
        <v>2</v>
      </c>
      <c r="G126" s="736" t="s">
        <v>1736</v>
      </c>
      <c r="H126" s="210" t="s">
        <v>493</v>
      </c>
      <c r="I126" s="210" t="s">
        <v>2095</v>
      </c>
      <c r="J126" s="1312" t="s">
        <v>2089</v>
      </c>
      <c r="K126" s="1312" cm="1" t="str">
        <f t="array" ref="K126:K126">OFFSET(J126,-1,1)</f>
        <v>ТЭ.42.26824396.0005</v>
      </c>
      <c r="L126" s="1312" t="s">
        <v>2090</v>
      </c>
      <c r="M126" s="1312" t="s">
        <v>1733</v>
      </c>
      <c r="N126" s="1312" t="s">
        <v>2091</v>
      </c>
      <c r="O126" s="1313" t="s">
        <v>2092</v>
      </c>
      <c r="P126" s="1312"/>
      <c r="Q126" s="1312"/>
      <c r="R126" s="360"/>
      <c r="S126" s="360"/>
      <c r="T126" s="805" cm="1" t="str">
        <f t="array" ref="T126:T126">T125</f>
        <v>true</v>
      </c>
      <c r="U126" s="360"/>
      <c r="V126" s="360"/>
      <c r="W126" s="360"/>
      <c r="X126" s="360"/>
      <c r="Y126" s="360"/>
      <c r="Z126" s="360"/>
      <c r="AA126" s="360"/>
      <c r="AB126" s="1351" t="s">
        <v>2096</v>
      </c>
      <c r="AC126" s="361" t="s">
        <v>895</v>
      </c>
      <c r="AD126" s="2060">
        <f>IF(method_reg="Метод экономически обоснованных расходов",_xlfn.SUMIFS('Калькуляция (4.6)'!AJ$25:AJ$229,'Калькуляция (4.6)'!$F$25:$F$229,$F126,'Калькуляция (4.6)'!$G$25:$G$229,$G126),IF(method_reg="Метод сравнения аналогов",_xlfn.SUMIFS(INDEX('Калькуляция (МСА)'!$AE$25:$BC$109,,MATCH(AD$8,'Калькуляция (МСА)'!$AE$8:$BC$8,0)),'Калькуляция (МСА)'!$F$25:$F$109,$F126,'Калькуляция (МСА)'!$G$25:$G$109,$G126),_xlfn.SUMIFS(INDEX('Калькуляция (5.9)'!$AJ$25:$BC$192,,MATCH(AD$8,'Калькуляция (5.9)'!$AJ$8:$BC$8,0)),'Калькуляция (5.9)'!$F$25:$F$192,$F126,'Калькуляция (5.9)'!$G$25:$G$192,$G126)))</f>
        <v>12629.95</v>
      </c>
      <c r="AE126" s="2060">
        <f>IF(method_reg="Метод экономически обоснованных расходов",_xlfn.SUMIFS('Калькуляция (4.6)'!AK$25:AK$229,'Калькуляция (4.6)'!$F$25:$F$229,$F126,'Калькуляция (4.6)'!$G$25:$G$229,$G126),IF(method_reg="Метод сравнения аналогов",_xlfn.SUMIFS(INDEX('Калькуляция (МСА)'!$AE$25:$BC$109,,MATCH(AE$8,'Калькуляция (МСА)'!$AE$8:$BC$8,0)),'Калькуляция (МСА)'!$F$25:$F$109,$F126,'Калькуляция (МСА)'!$G$25:$G$109,$G126),_xlfn.SUMIFS(INDEX('Калькуляция (5.9)'!$AJ$25:$BC$192,,MATCH(AE$8,'Калькуляция (5.9)'!$AJ$8:$BC$8,0)),'Калькуляция (5.9)'!$F$25:$F$192,$F126,'Калькуляция (5.9)'!$G$25:$G$192,$G126)))</f>
        <v>3228.86728754133</v>
      </c>
      <c r="AF126" s="363">
        <f>IF(AD126=0,0,(AE126-AD126)/AD126*100)</f>
        <v>-74.4348371328364</v>
      </c>
      <c r="AG126" s="362">
        <f>IF(method_reg="Метод сравнения аналогов",_xlfn.SUMIFS(INDEX('Калькуляция (МСА)'!$AE$25:$BC$109,,MATCH(AG$8,'Калькуляция (МСА)'!$AE$8:$BC$8,0)),'Калькуляция (МСА)'!$F$25:$F$109,$F126,'Калькуляция (МСА)'!$G$25:$G$109,$G126),_xlfn.SUMIFS(INDEX('Калькуляция (5.9)'!$AJ$25:$BC$192,,MATCH(AG$8,'Калькуляция (5.9)'!$AJ$8:$BC$8,0)),'Калькуляция (5.9)'!$F$25:$F$192,$F126,'Калькуляция (5.9)'!$G$25:$G$192,$G126))</f>
        <v>6917.15036615477</v>
      </c>
      <c r="AH126" s="362">
        <f>IF(method_reg="Метод сравнения аналогов",_xlfn.SUMIFS(INDEX('Калькуляция (МСА)'!$AE$25:$BC$109,,MATCH(AH$8,'Калькуляция (МСА)'!$AE$8:$BC$8,0)),'Калькуляция (МСА)'!$F$25:$F$109,$F126,'Калькуляция (МСА)'!$G$25:$G$109,$G126),_xlfn.SUMIFS(INDEX('Калькуляция (5.9)'!$AJ$25:$BC$192,,MATCH(AH$8,'Калькуляция (5.9)'!$AJ$8:$BC$8,0)),'Калькуляция (5.9)'!$F$25:$F$192,$F126,'Калькуляция (5.9)'!$G$25:$G$192,$G126))</f>
        <v>10057.1944070982</v>
      </c>
      <c r="AI126" s="363">
        <f>IF(AG126=0,0,(AH126-AG126)/AG126*100)</f>
        <v>45.3950525104599</v>
      </c>
      <c r="AJ126" s="362">
        <f>IF(method_reg="Метод сравнения аналогов",_xlfn.SUMIFS(INDEX('Калькуляция (МСА)'!$AE$25:$BC$109,,MATCH(AJ$8,'Калькуляция (МСА)'!$AE$8:$BC$8,0)),'Калькуляция (МСА)'!$F$25:$F$109,$F126,'Калькуляция (МСА)'!$G$25:$G$109,$G126),_xlfn.SUMIFS(INDEX('Калькуляция (5.9)'!$AJ$25:$BC$192,,MATCH(AJ$8,'Калькуляция (5.9)'!$AJ$8:$BC$8,0)),'Калькуляция (5.9)'!$F$25:$F$192,$F126,'Калькуляция (5.9)'!$G$25:$G$192,$G126))</f>
        <v>7804.68979974401</v>
      </c>
      <c r="AK126" s="362">
        <f>IF(method_reg="Метод сравнения аналогов",_xlfn.SUMIFS(INDEX('Калькуляция (МСА)'!$AE$25:$BC$109,,MATCH(AK$8,'Калькуляция (МСА)'!$AE$8:$BC$8,0)),'Калькуляция (МСА)'!$F$25:$F$109,$F126,'Калькуляция (МСА)'!$G$25:$G$109,$G126),_xlfn.SUMIFS(INDEX('Калькуляция (5.9)'!$AJ$25:$BC$192,,MATCH(AK$8,'Калькуляция (5.9)'!$AJ$8:$BC$8,0)),'Калькуляция (5.9)'!$F$25:$F$192,$F126,'Калькуляция (5.9)'!$G$25:$G$192,$G126))</f>
        <v>4827.99161324376</v>
      </c>
      <c r="AL126" s="363">
        <f>IF(AJ126=0,0,(AK126-AJ126)/AJ126*100)</f>
        <v>-38.139865425502</v>
      </c>
      <c r="AM126" s="362">
        <f>IF(method_reg="Метод сравнения аналогов",_xlfn.SUMIFS(INDEX('Калькуляция (МСА)'!$AE$25:$BC$109,,MATCH(AM$8,'Калькуляция (МСА)'!$AE$8:$BC$8,0)),'Калькуляция (МСА)'!$F$25:$F$109,$F126,'Калькуляция (МСА)'!$G$25:$G$109,$G126),_xlfn.SUMIFS(INDEX('Калькуляция (5.9)'!$AJ$25:$BC$192,,MATCH(AM$8,'Калькуляция (5.9)'!$AJ$8:$BC$8,0)),'Калькуляция (5.9)'!$F$25:$F$192,$F126,'Калькуляция (5.9)'!$G$25:$G$192,$G126))</f>
        <v>7342.58281529991</v>
      </c>
      <c r="AN126" s="362">
        <f>IF(method_reg="Метод сравнения аналогов",_xlfn.SUMIFS(INDEX('Калькуляция (МСА)'!$AE$25:$BC$109,,MATCH(AN$8,'Калькуляция (МСА)'!$AE$8:$BC$8,0)),'Калькуляция (МСА)'!$F$25:$F$109,$F126,'Калькуляция (МСА)'!$G$25:$G$109,$G126),_xlfn.SUMIFS(INDEX('Калькуляция (5.9)'!$AJ$25:$BC$192,,MATCH(AN$8,'Калькуляция (5.9)'!$AJ$8:$BC$8,0)),'Калькуляция (5.9)'!$F$25:$F$192,$F126,'Калькуляция (5.9)'!$G$25:$G$192,$G126))</f>
        <v>5393.39504678196</v>
      </c>
      <c r="AO126" s="363">
        <f>IF(AM126=0,0,(AN126-AM126)/AM126*100)</f>
        <v>-26.5463504811465</v>
      </c>
      <c r="AP126" s="362">
        <f>IF(method_reg="Метод сравнения аналогов",_xlfn.SUMIFS(INDEX('Калькуляция (МСА)'!$AE$25:$BC$109,,MATCH(AP$8,'Калькуляция (МСА)'!$AE$8:$BC$8,0)),'Калькуляция (МСА)'!$F$25:$F$109,$F126,'Калькуляция (МСА)'!$G$25:$G$109,$G126),_xlfn.SUMIFS(INDEX('Калькуляция (5.9)'!$AJ$25:$BC$192,,MATCH(AP$8,'Калькуляция (5.9)'!$AJ$8:$BC$8,0)),'Калькуляция (5.9)'!$F$25:$F$192,$F126,'Калькуляция (5.9)'!$G$25:$G$192,$G126))</f>
        <v>8234.21476379477</v>
      </c>
      <c r="AQ126" s="362">
        <f>IF(method_reg="Метод сравнения аналогов",_xlfn.SUMIFS(INDEX('Калькуляция (МСА)'!$AE$25:$BC$109,,MATCH(AQ$8,'Калькуляция (МСА)'!$AE$8:$BC$8,0)),'Калькуляция (МСА)'!$F$25:$F$109,$F126,'Калькуляция (МСА)'!$G$25:$G$109,$G126),_xlfn.SUMIFS(INDEX('Калькуляция (5.9)'!$AJ$25:$BC$192,,MATCH(AQ$8,'Калькуляция (5.9)'!$AJ$8:$BC$8,0)),'Калькуляция (5.9)'!$F$25:$F$192,$F126,'Калькуляция (5.9)'!$G$25:$G$192,$G126))</f>
        <v>5115.44438620049</v>
      </c>
      <c r="AR126" s="363">
        <f>IF(AP126=0,0,(AQ126-AP126)/AP126*100)</f>
        <v>-37.8757473184605</v>
      </c>
      <c r="AS126" s="2060">
        <f>IF(method_reg="Метод сравнения аналогов",_xlfn.SUMIFS(INDEX('Калькуляция (МСА)'!$AE$25:$BC$109,,MATCH(AS$8,'Калькуляция (МСА)'!$AE$8:$BC$8,0)),'Калькуляция (МСА)'!$F$25:$F$109,$F126,'Калькуляция (МСА)'!$G$25:$G$109,$G126),_xlfn.SUMIFS(INDEX('Калькуляция (5.9)'!$AJ$25:$BC$192,,MATCH(AS$8,'Калькуляция (5.9)'!$AJ$8:$BC$8,0)),'Калькуляция (5.9)'!$F$25:$F$192,$F126,'Калькуляция (5.9)'!$G$25:$G$192,$G126))</f>
        <v>2400.45285593702</v>
      </c>
      <c r="AT126" s="2060">
        <f>IF(method_reg="Метод сравнения аналогов",_xlfn.SUMIFS(INDEX('Калькуляция (МСА)'!$AE$25:$BC$109,,MATCH(AT$8,'Калькуляция (МСА)'!$AE$8:$BC$8,0)),'Калькуляция (МСА)'!$F$25:$F$109,$F126,'Калькуляция (МСА)'!$G$25:$G$109,$G126),_xlfn.SUMIFS(INDEX('Калькуляция (5.9)'!$AJ$25:$BC$192,,MATCH(AT$8,'Калькуляция (5.9)'!$AJ$8:$BC$8,0)),'Калькуляция (5.9)'!$F$25:$F$192,$F126,'Калькуляция (5.9)'!$G$25:$G$192,$G126))</f>
        <v>0</v>
      </c>
      <c r="AU126" s="363">
        <f>IF(AS126=0,0,(AT126-AS126)/AS126*100)</f>
        <v>-100</v>
      </c>
      <c r="AV126" s="2060">
        <f>IF(method_reg="Метод сравнения аналогов",_xlfn.SUMIFS(INDEX('Калькуляция (МСА)'!$AE$25:$BC$109,,MATCH(AV$8,'Калькуляция (МСА)'!$AE$8:$BC$8,0)),'Калькуляция (МСА)'!$F$25:$F$109,$F126,'Калькуляция (МСА)'!$G$25:$G$109,$G126),_xlfn.SUMIFS(INDEX('Калькуляция (5.9)'!$AJ$25:$BC$192,,MATCH(AV$8,'Калькуляция (5.9)'!$AJ$8:$BC$8,0)),'Калькуляция (5.9)'!$F$25:$F$192,$F126,'Калькуляция (5.9)'!$G$25:$G$192,$G126))</f>
        <v>2376.44832737766</v>
      </c>
      <c r="AW126" s="2060">
        <f>IF(method_reg="Метод сравнения аналогов",_xlfn.SUMIFS(INDEX('Калькуляция (МСА)'!$AE$25:$BC$109,,MATCH(AW$8,'Калькуляция (МСА)'!$AE$8:$BC$8,0)),'Калькуляция (МСА)'!$F$25:$F$109,$F126,'Калькуляция (МСА)'!$G$25:$G$109,$G126),_xlfn.SUMIFS(INDEX('Калькуляция (5.9)'!$AJ$25:$BC$192,,MATCH(AW$8,'Калькуляция (5.9)'!$AJ$8:$BC$8,0)),'Калькуляция (5.9)'!$F$25:$F$192,$F126,'Калькуляция (5.9)'!$G$25:$G$192,$G126))</f>
        <v>0</v>
      </c>
      <c r="AX126" s="363">
        <f>IF(AV126=0,0,(AW126-AV126)/AV126*100)</f>
        <v>-100</v>
      </c>
      <c r="AY126" s="2060">
        <f>IF(method_reg="Метод сравнения аналогов",_xlfn.SUMIFS(INDEX('Калькуляция (МСА)'!$AE$25:$BC$109,,MATCH(AY$8,'Калькуляция (МСА)'!$AE$8:$BC$8,0)),'Калькуляция (МСА)'!$F$25:$F$109,$F126,'Калькуляция (МСА)'!$G$25:$G$109,$G126),_xlfn.SUMIFS(INDEX('Калькуляция (5.9)'!$AJ$25:$BC$192,,MATCH(AY$8,'Калькуляция (5.9)'!$AJ$8:$BC$8,0)),'Калькуляция (5.9)'!$F$25:$F$192,$F126,'Калькуляция (5.9)'!$G$25:$G$192,$G126))</f>
        <v>2352.68384410387</v>
      </c>
      <c r="AZ126" s="2060">
        <f>IF(method_reg="Метод сравнения аналогов",_xlfn.SUMIFS(INDEX('Калькуляция (МСА)'!$AE$25:$BC$109,,MATCH(AZ$8,'Калькуляция (МСА)'!$AE$8:$BC$8,0)),'Калькуляция (МСА)'!$F$25:$F$109,$F126,'Калькуляция (МСА)'!$G$25:$G$109,$G126),_xlfn.SUMIFS(INDEX('Калькуляция (5.9)'!$AJ$25:$BC$192,,MATCH(AZ$8,'Калькуляция (5.9)'!$AJ$8:$BC$8,0)),'Калькуляция (5.9)'!$F$25:$F$192,$F126,'Калькуляция (5.9)'!$G$25:$G$192,$G126))</f>
        <v>0</v>
      </c>
      <c r="BA126" s="363">
        <f>IF(AY126=0,0,(AZ126-AY126)/AY126*100)</f>
        <v>-100</v>
      </c>
      <c r="BB126" s="2060">
        <f>IF(method_reg="Метод сравнения аналогов",_xlfn.SUMIFS(INDEX('Калькуляция (МСА)'!$AE$25:$BC$109,,MATCH(BB$8,'Калькуляция (МСА)'!$AE$8:$BC$8,0)),'Калькуляция (МСА)'!$F$25:$F$109,$F126,'Калькуляция (МСА)'!$G$25:$G$109,$G126),_xlfn.SUMIFS(INDEX('Калькуляция (5.9)'!$AJ$25:$BC$192,,MATCH(BB$8,'Калькуляция (5.9)'!$AJ$8:$BC$8,0)),'Калькуляция (5.9)'!$F$25:$F$192,$F126,'Калькуляция (5.9)'!$G$25:$G$192,$G126))</f>
        <v>2329.15700566283</v>
      </c>
      <c r="BC126" s="2060">
        <f>IF(method_reg="Метод сравнения аналогов",_xlfn.SUMIFS(INDEX('Калькуляция (МСА)'!$AE$25:$BC$109,,MATCH(BC$8,'Калькуляция (МСА)'!$AE$8:$BC$8,0)),'Калькуляция (МСА)'!$F$25:$F$109,$F126,'Калькуляция (МСА)'!$G$25:$G$109,$G126),_xlfn.SUMIFS(INDEX('Калькуляция (5.9)'!$AJ$25:$BC$192,,MATCH(BC$8,'Калькуляция (5.9)'!$AJ$8:$BC$8,0)),'Калькуляция (5.9)'!$F$25:$F$192,$F126,'Калькуляция (5.9)'!$G$25:$G$192,$G126))</f>
        <v>0</v>
      </c>
      <c r="BD126" s="363">
        <f>IF(BB126=0,0,(BC126-BB126)/BB126*100)</f>
        <v>-100</v>
      </c>
      <c r="BE126" s="2060">
        <f>IF(method_reg="Метод сравнения аналогов",_xlfn.SUMIFS(INDEX('Калькуляция (МСА)'!$AE$25:$BC$109,,MATCH(BE$8,'Калькуляция (МСА)'!$AE$8:$BC$8,0)),'Калькуляция (МСА)'!$F$25:$F$109,$F126,'Калькуляция (МСА)'!$G$25:$G$109,$G126),_xlfn.SUMIFS(INDEX('Калькуляция (5.9)'!$AJ$25:$BC$192,,MATCH(BE$8,'Калькуляция (5.9)'!$AJ$8:$BC$8,0)),'Калькуляция (5.9)'!$F$25:$F$192,$F126,'Калькуляция (5.9)'!$G$25:$G$192,$G126))</f>
        <v>2305.86543560621</v>
      </c>
      <c r="BF126" s="2060">
        <f>IF(method_reg="Метод сравнения аналогов",_xlfn.SUMIFS(INDEX('Калькуляция (МСА)'!$AE$25:$BC$109,,MATCH(BF$8,'Калькуляция (МСА)'!$AE$8:$BC$8,0)),'Калькуляция (МСА)'!$F$25:$F$109,$F126,'Калькуляция (МСА)'!$G$25:$G$109,$G126),_xlfn.SUMIFS(INDEX('Калькуляция (5.9)'!$AJ$25:$BC$192,,MATCH(BF$8,'Калькуляция (5.9)'!$AJ$8:$BC$8,0)),'Калькуляция (5.9)'!$F$25:$F$192,$F126,'Калькуляция (5.9)'!$G$25:$G$192,$G126))</f>
        <v>0</v>
      </c>
      <c r="BG126" s="363">
        <f>IF(BE126=0,0,(BF126-BE126)/BE126*100)</f>
        <v>-100</v>
      </c>
      <c r="BH126" s="2060"/>
      <c r="BI126" s="2060"/>
      <c r="BJ126" s="363">
        <f>IF(BH126=0,0,(BI126-BH126)/BH126*100)</f>
        <v>0</v>
      </c>
      <c r="BK126" s="2060"/>
      <c r="BL126" s="2060"/>
      <c r="BM126" s="363">
        <f>IF(BK126=0,0,(BL126-BK126)/BK126*100)</f>
        <v>0</v>
      </c>
      <c r="BN126" s="2060"/>
      <c r="BO126" s="2060"/>
      <c r="BP126" s="363">
        <f>IF(BN126=0,0,(BO126-BN126)/BN126*100)</f>
        <v>0</v>
      </c>
      <c r="BQ126" s="2060"/>
      <c r="BR126" s="2060"/>
      <c r="BS126" s="363">
        <f>IF(BQ126=0,0,(BR126-BQ126)/BQ126*100)</f>
        <v>0</v>
      </c>
      <c r="BT126" s="2060"/>
      <c r="BU126" s="2060"/>
      <c r="BV126" s="363">
        <f>IF(BT126=0,0,(BU126-BT126)/BT126*100)</f>
        <v>0</v>
      </c>
      <c r="BW126" s="2060"/>
      <c r="BX126" s="2060"/>
      <c r="BY126" s="363">
        <f>IF(BW126=0,0,(BX126-BW126)/BW126*100)</f>
        <v>0</v>
      </c>
      <c r="BZ126" s="2060"/>
      <c r="CA126" s="2060"/>
      <c r="CB126" s="363">
        <f>IF(BZ126=0,0,(CA126-BZ126)/BZ126*100)</f>
        <v>0</v>
      </c>
      <c r="CC126" s="2060"/>
      <c r="CD126" s="2060"/>
      <c r="CE126" s="363">
        <f>IF(CC126=0,0,(CD126-CC126)/CC126*100)</f>
        <v>0</v>
      </c>
      <c r="CF126" s="2060"/>
      <c r="CG126" s="2060"/>
      <c r="CH126" s="363">
        <f>IF(CF126=0,0,(CG126-CF126)/CF126*100)</f>
        <v>0</v>
      </c>
      <c r="CI126" s="2060"/>
      <c r="CJ126" s="2060"/>
      <c r="CK126" s="363">
        <f>IF(CI126=0,0,(CJ126-CI126)/CI126*100)</f>
        <v>0</v>
      </c>
      <c r="CL126" s="2060"/>
      <c r="CM126" s="2060"/>
      <c r="CN126" s="363">
        <f>IF(CL126=0,0,(CM126-CL126)/CL126*100)</f>
        <v>0</v>
      </c>
      <c r="CO126" s="2060"/>
      <c r="CP126" s="2060"/>
      <c r="CQ126" s="363">
        <f>IF(CO126=0,0,(CP126-CO126)/CO126*100)</f>
        <v>0</v>
      </c>
      <c r="CR126" s="2060"/>
      <c r="CS126" s="2060"/>
      <c r="CT126" s="363">
        <f>IF(CR126=0,0,(CS126-CR126)/CR126*100)</f>
        <v>0</v>
      </c>
      <c r="CU126" s="2060"/>
      <c r="CV126" s="2060"/>
      <c r="CW126" s="363">
        <f>IF(CU126=0,0,(CV126-CU126)/CU126*100)</f>
        <v>0</v>
      </c>
      <c r="CX126" s="2060"/>
      <c r="CY126" s="2060"/>
      <c r="CZ126" s="363">
        <f>IF(CX126=0,0,(CY126-CX126)/CX126*100)</f>
        <v>0</v>
      </c>
      <c r="DA126" s="2060"/>
      <c r="DB126" s="2060"/>
      <c r="DC126" s="363">
        <f>IF(DA126=0,0,(DB126-DA126)/DA126*100)</f>
        <v>0</v>
      </c>
      <c r="DD126" s="2060"/>
      <c r="DE126" s="2060"/>
      <c r="DF126" s="363">
        <f>IF(DD126=0,0,(DE126-DD126)/DD126*100)</f>
        <v>0</v>
      </c>
      <c r="DG126" s="2060"/>
      <c r="DH126" s="2060"/>
      <c r="DI126" s="363">
        <f>IF(DG126=0,0,(DH126-DG126)/DG126*100)</f>
        <v>0</v>
      </c>
      <c r="DJ126" s="2060"/>
      <c r="DK126" s="2060"/>
      <c r="DL126" s="363">
        <f>IF(DJ126=0,0,(DK126-DJ126)/DJ126*100)</f>
        <v>0</v>
      </c>
      <c r="DM126" s="2060"/>
      <c r="DN126" s="2060"/>
      <c r="DO126" s="363">
        <f>IF(DM126=0,0,(DN126-DM126)/DM126*100)</f>
        <v>0</v>
      </c>
      <c r="DP126" s="2060"/>
      <c r="DQ126" s="2060"/>
      <c r="DR126" s="363">
        <f>IF(DP126=0,0,(DQ126-DP126)/DP126*100)</f>
        <v>0</v>
      </c>
      <c r="DS126" s="2060"/>
      <c r="DT126" s="2060"/>
      <c r="DU126" s="363">
        <f>IF(DS126=0,0,(DT126-DS126)/DS126*100)</f>
        <v>0</v>
      </c>
      <c r="DV126" s="2060"/>
      <c r="DW126" s="2060"/>
      <c r="DX126" s="363">
        <f>IF(DV126=0,0,(DW126-DV126)/DV126*100)</f>
        <v>0</v>
      </c>
      <c r="DY126" s="2060"/>
      <c r="DZ126" s="2060"/>
      <c r="EA126" s="363">
        <f>IF(DY126=0,0,(DZ126-DY126)/DY126*100)</f>
        <v>0</v>
      </c>
      <c r="EB126" s="2060"/>
      <c r="EC126" s="2060"/>
      <c r="ED126" s="363">
        <f>IF(EB126=0,0,(EC126-EB126)/EB126*100)</f>
        <v>0</v>
      </c>
      <c r="EE126" s="2060"/>
      <c r="EF126" s="2060"/>
      <c r="EG126" s="363">
        <f>IF(EE126=0,0,(EF126-EE126)/EE126*100)</f>
        <v>0</v>
      </c>
      <c r="EH126" s="2060"/>
      <c r="EI126" s="2060"/>
      <c r="EJ126" s="363">
        <f>IF(EH126=0,0,(EI126-EH126)/EH126*100)</f>
        <v>0</v>
      </c>
      <c r="EK126" s="2060"/>
      <c r="EL126" s="2060"/>
      <c r="EM126" s="363">
        <f>IF(EK126=0,0,(EL126-EK126)/EK126*100)</f>
        <v>0</v>
      </c>
      <c r="EN126" s="2060"/>
      <c r="EO126" s="2060"/>
      <c r="EP126" s="363">
        <f>IF(EN126=0,0,(EO126-EN126)/EN126*100)</f>
        <v>0</v>
      </c>
      <c r="EQ126" s="2060"/>
      <c r="ER126" s="2060"/>
      <c r="ES126" s="363">
        <f>IF(EQ126=0,0,(ER126-EQ126)/EQ126*100)</f>
        <v>0</v>
      </c>
      <c r="ET126" s="2060"/>
      <c r="EU126" s="2060"/>
      <c r="EV126" s="363">
        <f>IF(ET126=0,0,(EU126-ET126)/ET126*100)</f>
        <v>0</v>
      </c>
      <c r="EW126" s="2060"/>
      <c r="EX126" s="2060"/>
      <c r="EY126" s="363">
        <f>IF(EW126=0,0,(EX126-EW126)/EW126*100)</f>
        <v>0</v>
      </c>
      <c r="EZ126" s="2060"/>
      <c r="FA126" s="2060"/>
      <c r="FB126" s="363">
        <f>IF(EZ126=0,0,(FA126-EZ126)/EZ126*100)</f>
        <v>0</v>
      </c>
      <c r="FC126" s="2060"/>
      <c r="FD126" s="2060"/>
      <c r="FE126" s="363">
        <f>IF(FC126=0,0,(FD126-FC126)/FC126*100)</f>
        <v>0</v>
      </c>
      <c r="FF126" s="2060"/>
      <c r="FG126" s="2060"/>
      <c r="FH126" s="363">
        <f>IF(FF126=0,0,(FG126-FF126)/FF126*100)</f>
        <v>0</v>
      </c>
      <c r="FI126" s="2060"/>
      <c r="FJ126" s="2060"/>
      <c r="FK126" s="363">
        <f>IF(FI126=0,0,(FJ126-FI126)/FI126*100)</f>
        <v>0</v>
      </c>
      <c r="FL126" s="2060"/>
      <c r="FM126" s="2060"/>
      <c r="FN126" s="363">
        <f>IF(FL126=0,0,(FM126-FL126)/FL126*100)</f>
        <v>0</v>
      </c>
      <c r="FO126" s="2060"/>
      <c r="FP126" s="2060"/>
      <c r="FQ126" s="363">
        <f>IF(FO126=0,0,(FP126-FO126)/FO126*100)</f>
        <v>0</v>
      </c>
      <c r="FR126" s="2060"/>
      <c r="FS126" s="2060"/>
      <c r="FT126" s="363">
        <f>IF(FR126=0,0,(FS126-FR126)/FR126*100)</f>
        <v>0</v>
      </c>
      <c r="FU126" s="2060"/>
      <c r="FV126" s="2060"/>
      <c r="FW126" s="363">
        <f>IF(FU126=0,0,(FV126-FU126)/FU126*100)</f>
        <v>0</v>
      </c>
      <c r="FX126" s="360"/>
      <c r="FY126" s="360"/>
      <c r="FZ126" s="1181" t="s">
        <v>2097</v>
      </c>
      <c r="GA126" s="1181"/>
      <c r="GB126" s="1181"/>
      <c r="GC126" s="1181"/>
      <c r="GD126" s="1181"/>
    </row>
    <row s="1619" customFormat="1" customHeight="1" ht="16.5">
      <c r="A127" s="1461"/>
      <c r="B127" s="961" cm="1" t="str">
        <f t="array" ref="B127:B127">B126</f>
        <v>true</v>
      </c>
      <c r="C127" s="1322" t="s">
        <v>1739</v>
      </c>
      <c r="D127" s="1291" t="s">
        <v>1740</v>
      </c>
      <c r="E127" s="794">
        <v>17.1</v>
      </c>
      <c r="F127" s="919" cm="1" t="str">
        <f t="array" ref="F127:F127">OFFSET(G127,-1,-1)</f>
        <v>2</v>
      </c>
      <c r="G127" s="497"/>
      <c r="H127" s="210" t="s">
        <v>496</v>
      </c>
      <c r="I127" s="210" t="s">
        <v>2098</v>
      </c>
      <c r="J127" s="1312" t="s">
        <v>2089</v>
      </c>
      <c r="K127" s="1312" cm="1" t="str">
        <f t="array" ref="K127:K127">OFFSET(J127,-1,1)</f>
        <v>ТЭ.42.26824396.0005</v>
      </c>
      <c r="L127" s="1312" t="s">
        <v>2099</v>
      </c>
      <c r="M127" s="1312"/>
      <c r="N127" s="1312" t="s">
        <v>2091</v>
      </c>
      <c r="O127" s="1313" t="s">
        <v>2092</v>
      </c>
      <c r="P127" s="1312"/>
      <c r="Q127" s="1312"/>
      <c r="R127" s="925"/>
      <c r="S127" s="497"/>
      <c r="T127" s="805" cm="1" t="str">
        <f t="array" ref="T127:T127">T126</f>
        <v>true</v>
      </c>
      <c r="U127" s="1461"/>
      <c r="V127" s="1461"/>
      <c r="W127" s="1461"/>
      <c r="X127" s="1461"/>
      <c r="Y127" s="1461"/>
      <c r="Z127" s="1461"/>
      <c r="AA127" s="497"/>
      <c r="AB127" s="1057" t="s">
        <v>2100</v>
      </c>
      <c r="AC127" s="169" t="s">
        <v>490</v>
      </c>
      <c r="AD127" s="1041">
        <f>IF(AD125=0,0,AD126/AD125)</f>
        <v>4.30273597857822</v>
      </c>
      <c r="AE127" s="1041">
        <f>IF(AE125=0,0,AE126/AE125)</f>
        <v>1.10000146066757</v>
      </c>
      <c r="AF127" s="1066"/>
      <c r="AG127" s="1041">
        <f>IF(AG125=0,0,AG126/AG125)</f>
        <v>1</v>
      </c>
      <c r="AH127" s="1041">
        <f>IF(AH125=0,0,AH126/AH125)</f>
        <v>3.11477478368472</v>
      </c>
      <c r="AI127" s="1066"/>
      <c r="AJ127" s="1041">
        <f>IF(AJ125=0,0,AJ126/AJ125)</f>
        <v>1.12830998122174</v>
      </c>
      <c r="AK127" s="1041">
        <f>IF(AK125=0,0,AK126/AK125)</f>
        <v>1</v>
      </c>
      <c r="AL127" s="1066"/>
      <c r="AM127" s="1041">
        <f>IF(AM125=0,0,AM126/AM125)</f>
        <v>1</v>
      </c>
      <c r="AN127" s="1041">
        <f>IF(AN125=0,0,AN126/AN125)</f>
        <v>1.11710944815795</v>
      </c>
      <c r="AO127" s="1066"/>
      <c r="AP127" s="1041">
        <f>IF(AP125=0,0,AP126/AP125)</f>
        <v>1.12143301218707</v>
      </c>
      <c r="AQ127" s="1041">
        <f>IF(AQ125=0,0,AQ126/AQ125)</f>
        <v>1</v>
      </c>
      <c r="AR127" s="1066"/>
      <c r="AS127" s="1041">
        <f>IF(AS125=0,0,AS126/AS125)</f>
        <v>1</v>
      </c>
      <c r="AT127" s="1041">
        <f>IF(AT125=0,0,AT126/AT125)</f>
        <v>0</v>
      </c>
      <c r="AU127" s="1066"/>
      <c r="AV127" s="1041">
        <f>IF(AV125=0,0,AV126/AV125)</f>
        <v>1</v>
      </c>
      <c r="AW127" s="1041">
        <f>IF(AW125=0,0,AW126/AW125)</f>
        <v>0</v>
      </c>
      <c r="AX127" s="1066"/>
      <c r="AY127" s="1041">
        <f>IF(AY125=0,0,AY126/AY125)</f>
        <v>1</v>
      </c>
      <c r="AZ127" s="1041">
        <f>IF(AZ125=0,0,AZ126/AZ125)</f>
        <v>0</v>
      </c>
      <c r="BA127" s="1066"/>
      <c r="BB127" s="1041">
        <f>IF(BB125=0,0,BB126/BB125)</f>
        <v>1</v>
      </c>
      <c r="BC127" s="1041">
        <f>IF(BC125=0,0,BC126/BC125)</f>
        <v>0</v>
      </c>
      <c r="BD127" s="1066"/>
      <c r="BE127" s="1041">
        <f>IF(BE125=0,0,BE126/BE125)</f>
        <v>1</v>
      </c>
      <c r="BF127" s="1041">
        <f>IF(BF125=0,0,BF126/BF125)</f>
        <v>0</v>
      </c>
      <c r="BG127" s="1066"/>
      <c r="BH127" s="1041">
        <f>IF(BH125=0,0,BH126/BH125)</f>
        <v>0</v>
      </c>
      <c r="BI127" s="1041">
        <f>IF(BI125=0,0,BI126/BI125)</f>
        <v>0</v>
      </c>
      <c r="BJ127" s="365"/>
      <c r="BK127" s="1041">
        <f>IF(BK125=0,0,BK126/BK125)</f>
        <v>0</v>
      </c>
      <c r="BL127" s="1041">
        <f>IF(BL125=0,0,BL126/BL125)</f>
        <v>0</v>
      </c>
      <c r="BM127" s="365"/>
      <c r="BN127" s="1041">
        <f>IF(BN125=0,0,BN126/BN125)</f>
        <v>0</v>
      </c>
      <c r="BO127" s="1041">
        <f>IF(BO125=0,0,BO126/BO125)</f>
        <v>0</v>
      </c>
      <c r="BP127" s="365"/>
      <c r="BQ127" s="1041">
        <f>IF(BQ125=0,0,BQ126/BQ125)</f>
        <v>0</v>
      </c>
      <c r="BR127" s="1041">
        <f>IF(BR125=0,0,BR126/BR125)</f>
        <v>0</v>
      </c>
      <c r="BS127" s="365"/>
      <c r="BT127" s="1041">
        <f>IF(BT125=0,0,BT126/BT125)</f>
        <v>0</v>
      </c>
      <c r="BU127" s="1041">
        <f>IF(BU125=0,0,BU126/BU125)</f>
        <v>0</v>
      </c>
      <c r="BV127" s="365"/>
      <c r="BW127" s="1041">
        <f>IF(BW125=0,0,BW126/BW125)</f>
        <v>0</v>
      </c>
      <c r="BX127" s="1041">
        <f>IF(BX125=0,0,BX126/BX125)</f>
        <v>0</v>
      </c>
      <c r="BY127" s="365"/>
      <c r="BZ127" s="1041">
        <f>IF(BZ125=0,0,BZ126/BZ125)</f>
        <v>0</v>
      </c>
      <c r="CA127" s="1041">
        <f>IF(CA125=0,0,CA126/CA125)</f>
        <v>0</v>
      </c>
      <c r="CB127" s="365"/>
      <c r="CC127" s="1041">
        <f>IF(CC125=0,0,CC126/CC125)</f>
        <v>0</v>
      </c>
      <c r="CD127" s="1041">
        <f>IF(CD125=0,0,CD126/CD125)</f>
        <v>0</v>
      </c>
      <c r="CE127" s="365"/>
      <c r="CF127" s="1041">
        <f>IF(CF125=0,0,CF126/CF125)</f>
        <v>0</v>
      </c>
      <c r="CG127" s="1041">
        <f>IF(CG125=0,0,CG126/CG125)</f>
        <v>0</v>
      </c>
      <c r="CH127" s="365"/>
      <c r="CI127" s="1041">
        <f>IF(CI125=0,0,CI126/CI125)</f>
        <v>0</v>
      </c>
      <c r="CJ127" s="1041">
        <f>IF(CJ125=0,0,CJ126/CJ125)</f>
        <v>0</v>
      </c>
      <c r="CK127" s="365"/>
      <c r="CL127" s="1041">
        <f>IF(CL125=0,0,CL126/CL125)</f>
        <v>0</v>
      </c>
      <c r="CM127" s="1041">
        <f>IF(CM125=0,0,CM126/CM125)</f>
        <v>0</v>
      </c>
      <c r="CN127" s="365"/>
      <c r="CO127" s="1041">
        <f>IF(CO125=0,0,CO126/CO125)</f>
        <v>0</v>
      </c>
      <c r="CP127" s="1041">
        <f>IF(CP125=0,0,CP126/CP125)</f>
        <v>0</v>
      </c>
      <c r="CQ127" s="365"/>
      <c r="CR127" s="1041">
        <f>IF(CR125=0,0,CR126/CR125)</f>
        <v>0</v>
      </c>
      <c r="CS127" s="1041">
        <f>IF(CS125=0,0,CS126/CS125)</f>
        <v>0</v>
      </c>
      <c r="CT127" s="365"/>
      <c r="CU127" s="1041">
        <f>IF(CU125=0,0,CU126/CU125)</f>
        <v>0</v>
      </c>
      <c r="CV127" s="1041">
        <f>IF(CV125=0,0,CV126/CV125)</f>
        <v>0</v>
      </c>
      <c r="CW127" s="365"/>
      <c r="CX127" s="1041">
        <f>IF(CX125=0,0,CX126/CX125)</f>
        <v>0</v>
      </c>
      <c r="CY127" s="1041">
        <f>IF(CY125=0,0,CY126/CY125)</f>
        <v>0</v>
      </c>
      <c r="CZ127" s="365"/>
      <c r="DA127" s="1041">
        <f>IF(DA125=0,0,DA126/DA125)</f>
        <v>0</v>
      </c>
      <c r="DB127" s="1041">
        <f>IF(DB125=0,0,DB126/DB125)</f>
        <v>0</v>
      </c>
      <c r="DC127" s="365"/>
      <c r="DD127" s="1041">
        <f>IF(DD125=0,0,DD126/DD125)</f>
        <v>0</v>
      </c>
      <c r="DE127" s="1041">
        <f>IF(DE125=0,0,DE126/DE125)</f>
        <v>0</v>
      </c>
      <c r="DF127" s="365"/>
      <c r="DG127" s="1041">
        <f>IF(DG125=0,0,DG126/DG125)</f>
        <v>0</v>
      </c>
      <c r="DH127" s="1041">
        <f>IF(DH125=0,0,DH126/DH125)</f>
        <v>0</v>
      </c>
      <c r="DI127" s="365"/>
      <c r="DJ127" s="1041">
        <f>IF(DJ125=0,0,DJ126/DJ125)</f>
        <v>0</v>
      </c>
      <c r="DK127" s="1041">
        <f>IF(DK125=0,0,DK126/DK125)</f>
        <v>0</v>
      </c>
      <c r="DL127" s="365"/>
      <c r="DM127" s="1041">
        <f>IF(DM125=0,0,DM126/DM125)</f>
        <v>0</v>
      </c>
      <c r="DN127" s="1041">
        <f>IF(DN125=0,0,DN126/DN125)</f>
        <v>0</v>
      </c>
      <c r="DO127" s="365"/>
      <c r="DP127" s="1041">
        <f>IF(DP125=0,0,DP126/DP125)</f>
        <v>0</v>
      </c>
      <c r="DQ127" s="1041">
        <f>IF(DQ125=0,0,DQ126/DQ125)</f>
        <v>0</v>
      </c>
      <c r="DR127" s="365"/>
      <c r="DS127" s="1041">
        <f>IF(DS125=0,0,DS126/DS125)</f>
        <v>0</v>
      </c>
      <c r="DT127" s="1041">
        <f>IF(DT125=0,0,DT126/DT125)</f>
        <v>0</v>
      </c>
      <c r="DU127" s="365"/>
      <c r="DV127" s="1041">
        <f>IF(DV125=0,0,DV126/DV125)</f>
        <v>0</v>
      </c>
      <c r="DW127" s="1041">
        <f>IF(DW125=0,0,DW126/DW125)</f>
        <v>0</v>
      </c>
      <c r="DX127" s="365"/>
      <c r="DY127" s="1041">
        <f>IF(DY125=0,0,DY126/DY125)</f>
        <v>0</v>
      </c>
      <c r="DZ127" s="1041">
        <f>IF(DZ125=0,0,DZ126/DZ125)</f>
        <v>0</v>
      </c>
      <c r="EA127" s="365"/>
      <c r="EB127" s="1041">
        <f>IF(EB125=0,0,EB126/EB125)</f>
        <v>0</v>
      </c>
      <c r="EC127" s="1041">
        <f>IF(EC125=0,0,EC126/EC125)</f>
        <v>0</v>
      </c>
      <c r="ED127" s="365"/>
      <c r="EE127" s="1041">
        <f>IF(EE125=0,0,EE126/EE125)</f>
        <v>0</v>
      </c>
      <c r="EF127" s="1041">
        <f>IF(EF125=0,0,EF126/EF125)</f>
        <v>0</v>
      </c>
      <c r="EG127" s="365"/>
      <c r="EH127" s="1041">
        <f>IF(EH125=0,0,EH126/EH125)</f>
        <v>0</v>
      </c>
      <c r="EI127" s="1041">
        <f>IF(EI125=0,0,EI126/EI125)</f>
        <v>0</v>
      </c>
      <c r="EJ127" s="365"/>
      <c r="EK127" s="1041">
        <f>IF(EK125=0,0,EK126/EK125)</f>
        <v>0</v>
      </c>
      <c r="EL127" s="1041">
        <f>IF(EL125=0,0,EL126/EL125)</f>
        <v>0</v>
      </c>
      <c r="EM127" s="365"/>
      <c r="EN127" s="1041">
        <f>IF(EN125=0,0,EN126/EN125)</f>
        <v>0</v>
      </c>
      <c r="EO127" s="1041">
        <f>IF(EO125=0,0,EO126/EO125)</f>
        <v>0</v>
      </c>
      <c r="EP127" s="365"/>
      <c r="EQ127" s="1041">
        <f>IF(EQ125=0,0,EQ126/EQ125)</f>
        <v>0</v>
      </c>
      <c r="ER127" s="1041">
        <f>IF(ER125=0,0,ER126/ER125)</f>
        <v>0</v>
      </c>
      <c r="ES127" s="365"/>
      <c r="ET127" s="1041">
        <f>IF(ET125=0,0,ET126/ET125)</f>
        <v>0</v>
      </c>
      <c r="EU127" s="1041">
        <f>IF(EU125=0,0,EU126/EU125)</f>
        <v>0</v>
      </c>
      <c r="EV127" s="365"/>
      <c r="EW127" s="1041">
        <f>IF(EW125=0,0,EW126/EW125)</f>
        <v>0</v>
      </c>
      <c r="EX127" s="1041">
        <f>IF(EX125=0,0,EX126/EX125)</f>
        <v>0</v>
      </c>
      <c r="EY127" s="365"/>
      <c r="EZ127" s="1041">
        <f>IF(EZ125=0,0,EZ126/EZ125)</f>
        <v>0</v>
      </c>
      <c r="FA127" s="1041">
        <f>IF(FA125=0,0,FA126/FA125)</f>
        <v>0</v>
      </c>
      <c r="FB127" s="365"/>
      <c r="FC127" s="1041">
        <f>IF(FC125=0,0,FC126/FC125)</f>
        <v>0</v>
      </c>
      <c r="FD127" s="1041">
        <f>IF(FD125=0,0,FD126/FD125)</f>
        <v>0</v>
      </c>
      <c r="FE127" s="365"/>
      <c r="FF127" s="1041">
        <f>IF(FF125=0,0,FF126/FF125)</f>
        <v>0</v>
      </c>
      <c r="FG127" s="1041">
        <f>IF(FG125=0,0,FG126/FG125)</f>
        <v>0</v>
      </c>
      <c r="FH127" s="365"/>
      <c r="FI127" s="1041">
        <f>IF(FI125=0,0,FI126/FI125)</f>
        <v>0</v>
      </c>
      <c r="FJ127" s="1041">
        <f>IF(FJ125=0,0,FJ126/FJ125)</f>
        <v>0</v>
      </c>
      <c r="FK127" s="365"/>
      <c r="FL127" s="1041">
        <f>IF(FL125=0,0,FL126/FL125)</f>
        <v>0</v>
      </c>
      <c r="FM127" s="1041">
        <f>IF(FM125=0,0,FM126/FM125)</f>
        <v>0</v>
      </c>
      <c r="FN127" s="365"/>
      <c r="FO127" s="1041">
        <f>IF(FO125=0,0,FO126/FO125)</f>
        <v>0</v>
      </c>
      <c r="FP127" s="1041">
        <f>IF(FP125=0,0,FP126/FP125)</f>
        <v>0</v>
      </c>
      <c r="FQ127" s="365"/>
      <c r="FR127" s="1041">
        <f>IF(FR125=0,0,FR126/FR125)</f>
        <v>0</v>
      </c>
      <c r="FS127" s="1041">
        <f>IF(FS125=0,0,FS126/FS125)</f>
        <v>0</v>
      </c>
      <c r="FT127" s="365"/>
      <c r="FU127" s="1041">
        <f>IF(FU125=0,0,FU126/FU125)</f>
        <v>0</v>
      </c>
      <c r="FV127" s="1041">
        <f>IF(FV125=0,0,FV126/FV125)</f>
        <v>0</v>
      </c>
      <c r="FW127" s="365"/>
      <c r="FX127" s="497"/>
      <c r="FY127" s="497"/>
      <c r="FZ127" s="1181" t="s">
        <v>2101</v>
      </c>
      <c r="GA127" s="1181"/>
      <c r="GB127" s="1181"/>
      <c r="GC127" s="1181"/>
      <c r="GD127" s="1181"/>
    </row>
    <row s="1619" customFormat="1" customHeight="1" ht="16.5">
      <c r="A128" s="1461"/>
      <c r="B128" s="961" cm="1" t="str">
        <f t="array" ref="B128:B128">B127</f>
        <v>true</v>
      </c>
      <c r="C128" s="1322" t="s">
        <v>1721</v>
      </c>
      <c r="D128" s="1291" t="s">
        <v>1722</v>
      </c>
      <c r="E128" s="794">
        <v>17.1</v>
      </c>
      <c r="F128" s="919" cm="1" t="str">
        <f t="array" ref="F128:F128">OFFSET(G128,-1,-1)</f>
        <v>2</v>
      </c>
      <c r="G128" s="190" t="s">
        <v>2102</v>
      </c>
      <c r="H128" s="210" t="s">
        <v>503</v>
      </c>
      <c r="I128" s="210" t="s">
        <v>2098</v>
      </c>
      <c r="J128" s="1312" t="s">
        <v>2089</v>
      </c>
      <c r="K128" s="1312" cm="1" t="str">
        <f t="array" ref="K128:K128">OFFSET(J128,-1,1)</f>
        <v>ТЭ.42.26824396.0005</v>
      </c>
      <c r="L128" s="1312" t="s">
        <v>2103</v>
      </c>
      <c r="M128" s="1312"/>
      <c r="N128" s="1312" t="s">
        <v>2091</v>
      </c>
      <c r="O128" s="1313" t="s">
        <v>2092</v>
      </c>
      <c r="P128" s="1312"/>
      <c r="Q128" s="1312"/>
      <c r="R128" s="925"/>
      <c r="S128" s="497"/>
      <c r="T128" s="805" cm="1" t="str">
        <f t="array" ref="T128:T128">T127</f>
        <v>true</v>
      </c>
      <c r="U128" s="1461"/>
      <c r="V128" s="1461"/>
      <c r="W128" s="1461"/>
      <c r="X128" s="1461"/>
      <c r="Y128" s="1461"/>
      <c r="Z128" s="1461"/>
      <c r="AA128" s="497"/>
      <c r="AB128" s="1057" t="s">
        <v>2104</v>
      </c>
      <c r="AC128" s="169" t="s">
        <v>591</v>
      </c>
      <c r="AD128" s="2063">
        <f>SUM(AD129:AD130)</f>
        <v>1370</v>
      </c>
      <c r="AE128" s="2063">
        <f>SUM(AE129:AE130)</f>
        <v>1370</v>
      </c>
      <c r="AF128" s="397">
        <f>IF(AD128=0,0,(AE128-AD128)/AD128*100)</f>
        <v>0</v>
      </c>
      <c r="AG128" s="413">
        <f>SUM(AG129:AG130)</f>
        <v>1370</v>
      </c>
      <c r="AH128" s="413">
        <f>SUM(AH129:AH130)</f>
        <v>1370</v>
      </c>
      <c r="AI128" s="397">
        <f>IF(AG128=0,0,(AH128-AG128)/AG128*100)</f>
        <v>0</v>
      </c>
      <c r="AJ128" s="413">
        <f>SUM(AJ129:AJ130)</f>
        <v>1370</v>
      </c>
      <c r="AK128" s="413">
        <f>SUM(AK129:AK130)</f>
        <v>1370</v>
      </c>
      <c r="AL128" s="397">
        <f>IF(AJ128=0,0,(AK128-AJ128)/AJ128*100)</f>
        <v>0</v>
      </c>
      <c r="AM128" s="413">
        <f>SUM(AM129:AM130)</f>
        <v>1370</v>
      </c>
      <c r="AN128" s="413">
        <f>SUM(AN129:AN130)</f>
        <v>1370</v>
      </c>
      <c r="AO128" s="397">
        <f>IF(AM128=0,0,(AN128-AM128)/AM128*100)</f>
        <v>0</v>
      </c>
      <c r="AP128" s="413">
        <f>SUM(AP129:AP130)</f>
        <v>1370</v>
      </c>
      <c r="AQ128" s="413">
        <f>SUM(AQ129:AQ130)</f>
        <v>1370</v>
      </c>
      <c r="AR128" s="397">
        <f>IF(AP128=0,0,(AQ128-AP128)/AP128*100)</f>
        <v>0</v>
      </c>
      <c r="AS128" s="2063">
        <f>SUM(AS129:AS130)</f>
        <v>1370</v>
      </c>
      <c r="AT128" s="2063">
        <f>SUM(AT129:AT130)</f>
        <v>0</v>
      </c>
      <c r="AU128" s="397">
        <f>IF(AS128=0,0,(AT128-AS128)/AS128*100)</f>
        <v>-100</v>
      </c>
      <c r="AV128" s="2063">
        <f>SUM(AV129:AV130)</f>
        <v>1370</v>
      </c>
      <c r="AW128" s="2063">
        <f>SUM(AW129:AW130)</f>
        <v>0</v>
      </c>
      <c r="AX128" s="397">
        <f>IF(AV128=0,0,(AW128-AV128)/AV128*100)</f>
        <v>-100</v>
      </c>
      <c r="AY128" s="2063">
        <f>SUM(AY129:AY130)</f>
        <v>1370</v>
      </c>
      <c r="AZ128" s="2063">
        <f>SUM(AZ129:AZ130)</f>
        <v>0</v>
      </c>
      <c r="BA128" s="397">
        <f>IF(AY128=0,0,(AZ128-AY128)/AY128*100)</f>
        <v>-100</v>
      </c>
      <c r="BB128" s="2063">
        <f>SUM(BB129:BB130)</f>
        <v>1370</v>
      </c>
      <c r="BC128" s="2063">
        <f>SUM(BC129:BC130)</f>
        <v>0</v>
      </c>
      <c r="BD128" s="397">
        <f>IF(BB128=0,0,(BC128-BB128)/BB128*100)</f>
        <v>-100</v>
      </c>
      <c r="BE128" s="2063">
        <f>SUM(BE129:BE130)</f>
        <v>1370</v>
      </c>
      <c r="BF128" s="2063">
        <f>SUM(BF129:BF130)</f>
        <v>0</v>
      </c>
      <c r="BG128" s="397">
        <f>IF(BE128=0,0,(BF128-BE128)/BE128*100)</f>
        <v>-100</v>
      </c>
      <c r="BH128" s="2063">
        <f>SUM(BH129:BH130)</f>
        <v>0</v>
      </c>
      <c r="BI128" s="2063">
        <f>SUM(BI129:BI130)</f>
        <v>0</v>
      </c>
      <c r="BJ128" s="397">
        <f>IF(BH128=0,0,(BI128-BH128)/BH128*100)</f>
        <v>0</v>
      </c>
      <c r="BK128" s="2063">
        <f>SUM(BK129:BK130)</f>
        <v>0</v>
      </c>
      <c r="BL128" s="2063">
        <f>SUM(BL129:BL130)</f>
        <v>0</v>
      </c>
      <c r="BM128" s="397">
        <f>IF(BK128=0,0,(BL128-BK128)/BK128*100)</f>
        <v>0</v>
      </c>
      <c r="BN128" s="2063">
        <f>SUM(BN129:BN130)</f>
        <v>0</v>
      </c>
      <c r="BO128" s="2063">
        <f>SUM(BO129:BO130)</f>
        <v>0</v>
      </c>
      <c r="BP128" s="397">
        <f>IF(BN128=0,0,(BO128-BN128)/BN128*100)</f>
        <v>0</v>
      </c>
      <c r="BQ128" s="2063">
        <f>SUM(BQ129:BQ130)</f>
        <v>0</v>
      </c>
      <c r="BR128" s="2063">
        <f>SUM(BR129:BR130)</f>
        <v>0</v>
      </c>
      <c r="BS128" s="397">
        <f>IF(BQ128=0,0,(BR128-BQ128)/BQ128*100)</f>
        <v>0</v>
      </c>
      <c r="BT128" s="2063">
        <f>SUM(BT129:BT130)</f>
        <v>0</v>
      </c>
      <c r="BU128" s="2063">
        <f>SUM(BU129:BU130)</f>
        <v>0</v>
      </c>
      <c r="BV128" s="397">
        <f>IF(BT128=0,0,(BU128-BT128)/BT128*100)</f>
        <v>0</v>
      </c>
      <c r="BW128" s="2063">
        <f>SUM(BW129:BW130)</f>
        <v>0</v>
      </c>
      <c r="BX128" s="2063">
        <f>SUM(BX129:BX130)</f>
        <v>0</v>
      </c>
      <c r="BY128" s="397">
        <f>IF(BW128=0,0,(BX128-BW128)/BW128*100)</f>
        <v>0</v>
      </c>
      <c r="BZ128" s="2063">
        <f>SUM(BZ129:BZ130)</f>
        <v>0</v>
      </c>
      <c r="CA128" s="2063">
        <f>SUM(CA129:CA130)</f>
        <v>0</v>
      </c>
      <c r="CB128" s="397">
        <f>IF(BZ128=0,0,(CA128-BZ128)/BZ128*100)</f>
        <v>0</v>
      </c>
      <c r="CC128" s="2063">
        <f>SUM(CC129:CC130)</f>
        <v>0</v>
      </c>
      <c r="CD128" s="2063">
        <f>SUM(CD129:CD130)</f>
        <v>0</v>
      </c>
      <c r="CE128" s="397">
        <f>IF(CC128=0,0,(CD128-CC128)/CC128*100)</f>
        <v>0</v>
      </c>
      <c r="CF128" s="2063">
        <f>SUM(CF129:CF130)</f>
        <v>0</v>
      </c>
      <c r="CG128" s="2063">
        <f>SUM(CG129:CG130)</f>
        <v>0</v>
      </c>
      <c r="CH128" s="397">
        <f>IF(CF128=0,0,(CG128-CF128)/CF128*100)</f>
        <v>0</v>
      </c>
      <c r="CI128" s="2063">
        <f>SUM(CI129:CI130)</f>
        <v>0</v>
      </c>
      <c r="CJ128" s="2063">
        <f>SUM(CJ129:CJ130)</f>
        <v>0</v>
      </c>
      <c r="CK128" s="397">
        <f>IF(CI128=0,0,(CJ128-CI128)/CI128*100)</f>
        <v>0</v>
      </c>
      <c r="CL128" s="2063">
        <f>SUM(CL129:CL130)</f>
        <v>0</v>
      </c>
      <c r="CM128" s="2063">
        <f>SUM(CM129:CM130)</f>
        <v>0</v>
      </c>
      <c r="CN128" s="397">
        <f>IF(CL128=0,0,(CM128-CL128)/CL128*100)</f>
        <v>0</v>
      </c>
      <c r="CO128" s="2063">
        <f>SUM(CO129:CO130)</f>
        <v>0</v>
      </c>
      <c r="CP128" s="2063">
        <f>SUM(CP129:CP130)</f>
        <v>0</v>
      </c>
      <c r="CQ128" s="397">
        <f>IF(CO128=0,0,(CP128-CO128)/CO128*100)</f>
        <v>0</v>
      </c>
      <c r="CR128" s="2063">
        <f>SUM(CR129:CR130)</f>
        <v>0</v>
      </c>
      <c r="CS128" s="2063">
        <f>SUM(CS129:CS130)</f>
        <v>0</v>
      </c>
      <c r="CT128" s="397">
        <f>IF(CR128=0,0,(CS128-CR128)/CR128*100)</f>
        <v>0</v>
      </c>
      <c r="CU128" s="2063">
        <f>SUM(CU129:CU130)</f>
        <v>0</v>
      </c>
      <c r="CV128" s="2063">
        <f>SUM(CV129:CV130)</f>
        <v>0</v>
      </c>
      <c r="CW128" s="397">
        <f>IF(CU128=0,0,(CV128-CU128)/CU128*100)</f>
        <v>0</v>
      </c>
      <c r="CX128" s="2063">
        <f>SUM(CX129:CX130)</f>
        <v>0</v>
      </c>
      <c r="CY128" s="2063">
        <f>SUM(CY129:CY130)</f>
        <v>0</v>
      </c>
      <c r="CZ128" s="397">
        <f>IF(CX128=0,0,(CY128-CX128)/CX128*100)</f>
        <v>0</v>
      </c>
      <c r="DA128" s="2063">
        <f>SUM(DA129:DA130)</f>
        <v>0</v>
      </c>
      <c r="DB128" s="2063">
        <f>SUM(DB129:DB130)</f>
        <v>0</v>
      </c>
      <c r="DC128" s="397">
        <f>IF(DA128=0,0,(DB128-DA128)/DA128*100)</f>
        <v>0</v>
      </c>
      <c r="DD128" s="2063">
        <f>SUM(DD129:DD130)</f>
        <v>0</v>
      </c>
      <c r="DE128" s="2063">
        <f>SUM(DE129:DE130)</f>
        <v>0</v>
      </c>
      <c r="DF128" s="397">
        <f>IF(DD128=0,0,(DE128-DD128)/DD128*100)</f>
        <v>0</v>
      </c>
      <c r="DG128" s="2063">
        <f>SUM(DG129:DG130)</f>
        <v>0</v>
      </c>
      <c r="DH128" s="2063">
        <f>SUM(DH129:DH130)</f>
        <v>0</v>
      </c>
      <c r="DI128" s="397">
        <f>IF(DG128=0,0,(DH128-DG128)/DG128*100)</f>
        <v>0</v>
      </c>
      <c r="DJ128" s="2063">
        <f>SUM(DJ129:DJ130)</f>
        <v>0</v>
      </c>
      <c r="DK128" s="2063">
        <f>SUM(DK129:DK130)</f>
        <v>0</v>
      </c>
      <c r="DL128" s="397">
        <f>IF(DJ128=0,0,(DK128-DJ128)/DJ128*100)</f>
        <v>0</v>
      </c>
      <c r="DM128" s="2063">
        <f>SUM(DM129:DM130)</f>
        <v>0</v>
      </c>
      <c r="DN128" s="2063">
        <f>SUM(DN129:DN130)</f>
        <v>0</v>
      </c>
      <c r="DO128" s="397">
        <f>IF(DM128=0,0,(DN128-DM128)/DM128*100)</f>
        <v>0</v>
      </c>
      <c r="DP128" s="2063">
        <f>SUM(DP129:DP130)</f>
        <v>0</v>
      </c>
      <c r="DQ128" s="2063">
        <f>SUM(DQ129:DQ130)</f>
        <v>0</v>
      </c>
      <c r="DR128" s="397">
        <f>IF(DP128=0,0,(DQ128-DP128)/DP128*100)</f>
        <v>0</v>
      </c>
      <c r="DS128" s="2063">
        <f>SUM(DS129:DS130)</f>
        <v>0</v>
      </c>
      <c r="DT128" s="2063">
        <f>SUM(DT129:DT130)</f>
        <v>0</v>
      </c>
      <c r="DU128" s="397">
        <f>IF(DS128=0,0,(DT128-DS128)/DS128*100)</f>
        <v>0</v>
      </c>
      <c r="DV128" s="2063">
        <f>SUM(DV129:DV130)</f>
        <v>0</v>
      </c>
      <c r="DW128" s="2063">
        <f>SUM(DW129:DW130)</f>
        <v>0</v>
      </c>
      <c r="DX128" s="397">
        <f>IF(DV128=0,0,(DW128-DV128)/DV128*100)</f>
        <v>0</v>
      </c>
      <c r="DY128" s="2063">
        <f>SUM(DY129:DY130)</f>
        <v>0</v>
      </c>
      <c r="DZ128" s="2063">
        <f>SUM(DZ129:DZ130)</f>
        <v>0</v>
      </c>
      <c r="EA128" s="397">
        <f>IF(DY128=0,0,(DZ128-DY128)/DY128*100)</f>
        <v>0</v>
      </c>
      <c r="EB128" s="2063">
        <f>SUM(EB129:EB130)</f>
        <v>0</v>
      </c>
      <c r="EC128" s="2063">
        <f>SUM(EC129:EC130)</f>
        <v>0</v>
      </c>
      <c r="ED128" s="397">
        <f>IF(EB128=0,0,(EC128-EB128)/EB128*100)</f>
        <v>0</v>
      </c>
      <c r="EE128" s="2063">
        <f>SUM(EE129:EE130)</f>
        <v>0</v>
      </c>
      <c r="EF128" s="2063">
        <f>SUM(EF129:EF130)</f>
        <v>0</v>
      </c>
      <c r="EG128" s="397">
        <f>IF(EE128=0,0,(EF128-EE128)/EE128*100)</f>
        <v>0</v>
      </c>
      <c r="EH128" s="2063">
        <f>SUM(EH129:EH130)</f>
        <v>0</v>
      </c>
      <c r="EI128" s="2063">
        <f>SUM(EI129:EI130)</f>
        <v>0</v>
      </c>
      <c r="EJ128" s="397">
        <f>IF(EH128=0,0,(EI128-EH128)/EH128*100)</f>
        <v>0</v>
      </c>
      <c r="EK128" s="2063">
        <f>SUM(EK129:EK130)</f>
        <v>0</v>
      </c>
      <c r="EL128" s="2063">
        <f>SUM(EL129:EL130)</f>
        <v>0</v>
      </c>
      <c r="EM128" s="397">
        <f>IF(EK128=0,0,(EL128-EK128)/EK128*100)</f>
        <v>0</v>
      </c>
      <c r="EN128" s="2063">
        <f>SUM(EN129:EN130)</f>
        <v>0</v>
      </c>
      <c r="EO128" s="2063">
        <f>SUM(EO129:EO130)</f>
        <v>0</v>
      </c>
      <c r="EP128" s="397">
        <f>IF(EN128=0,0,(EO128-EN128)/EN128*100)</f>
        <v>0</v>
      </c>
      <c r="EQ128" s="2063">
        <f>SUM(EQ129:EQ130)</f>
        <v>0</v>
      </c>
      <c r="ER128" s="2063">
        <f>SUM(ER129:ER130)</f>
        <v>0</v>
      </c>
      <c r="ES128" s="397">
        <f>IF(EQ128=0,0,(ER128-EQ128)/EQ128*100)</f>
        <v>0</v>
      </c>
      <c r="ET128" s="2063">
        <f>SUM(ET129:ET130)</f>
        <v>0</v>
      </c>
      <c r="EU128" s="2063">
        <f>SUM(EU129:EU130)</f>
        <v>0</v>
      </c>
      <c r="EV128" s="397">
        <f>IF(ET128=0,0,(EU128-ET128)/ET128*100)</f>
        <v>0</v>
      </c>
      <c r="EW128" s="2063">
        <f>SUM(EW129:EW130)</f>
        <v>0</v>
      </c>
      <c r="EX128" s="2063">
        <f>SUM(EX129:EX130)</f>
        <v>0</v>
      </c>
      <c r="EY128" s="397">
        <f>IF(EW128=0,0,(EX128-EW128)/EW128*100)</f>
        <v>0</v>
      </c>
      <c r="EZ128" s="2063">
        <f>SUM(EZ129:EZ130)</f>
        <v>0</v>
      </c>
      <c r="FA128" s="2063">
        <f>SUM(FA129:FA130)</f>
        <v>0</v>
      </c>
      <c r="FB128" s="397">
        <f>IF(EZ128=0,0,(FA128-EZ128)/EZ128*100)</f>
        <v>0</v>
      </c>
      <c r="FC128" s="2063">
        <f>SUM(FC129:FC130)</f>
        <v>0</v>
      </c>
      <c r="FD128" s="2063">
        <f>SUM(FD129:FD130)</f>
        <v>0</v>
      </c>
      <c r="FE128" s="397">
        <f>IF(FC128=0,0,(FD128-FC128)/FC128*100)</f>
        <v>0</v>
      </c>
      <c r="FF128" s="2063">
        <f>SUM(FF129:FF130)</f>
        <v>0</v>
      </c>
      <c r="FG128" s="2063">
        <f>SUM(FG129:FG130)</f>
        <v>0</v>
      </c>
      <c r="FH128" s="397">
        <f>IF(FF128=0,0,(FG128-FF128)/FF128*100)</f>
        <v>0</v>
      </c>
      <c r="FI128" s="2063">
        <f>SUM(FI129:FI130)</f>
        <v>0</v>
      </c>
      <c r="FJ128" s="2063">
        <f>SUM(FJ129:FJ130)</f>
        <v>0</v>
      </c>
      <c r="FK128" s="397">
        <f>IF(FI128=0,0,(FJ128-FI128)/FI128*100)</f>
        <v>0</v>
      </c>
      <c r="FL128" s="2063">
        <f>SUM(FL129:FL130)</f>
        <v>0</v>
      </c>
      <c r="FM128" s="2063">
        <f>SUM(FM129:FM130)</f>
        <v>0</v>
      </c>
      <c r="FN128" s="397">
        <f>IF(FL128=0,0,(FM128-FL128)/FL128*100)</f>
        <v>0</v>
      </c>
      <c r="FO128" s="2063">
        <f>SUM(FO129:FO130)</f>
        <v>0</v>
      </c>
      <c r="FP128" s="2063">
        <f>SUM(FP129:FP130)</f>
        <v>0</v>
      </c>
      <c r="FQ128" s="397">
        <f>IF(FO128=0,0,(FP128-FO128)/FO128*100)</f>
        <v>0</v>
      </c>
      <c r="FR128" s="2063">
        <f>SUM(FR129:FR130)</f>
        <v>0</v>
      </c>
      <c r="FS128" s="2063">
        <f>SUM(FS129:FS130)</f>
        <v>0</v>
      </c>
      <c r="FT128" s="397">
        <f>IF(FR128=0,0,(FS128-FR128)/FR128*100)</f>
        <v>0</v>
      </c>
      <c r="FU128" s="2063">
        <f>SUM(FU129:FU130)</f>
        <v>0</v>
      </c>
      <c r="FV128" s="2063">
        <f>SUM(FV129:FV130)</f>
        <v>0</v>
      </c>
      <c r="FW128" s="397">
        <f>IF(FU128=0,0,(FV128-FU128)/FU128*100)</f>
        <v>0</v>
      </c>
      <c r="FX128" s="497"/>
      <c r="FY128" s="497"/>
      <c r="FZ128" s="1181" t="s">
        <v>2105</v>
      </c>
      <c r="GA128" s="1181"/>
      <c r="GB128" s="1181"/>
      <c r="GC128" s="1181"/>
      <c r="GD128" s="1181"/>
    </row>
    <row s="1619" customFormat="1" customHeight="1" ht="16.5">
      <c r="A129" s="1461"/>
      <c r="B129" s="961" cm="1" t="str">
        <f t="array" ref="B129:B129">B128</f>
        <v>true</v>
      </c>
      <c r="C129" s="1322" t="s">
        <v>1721</v>
      </c>
      <c r="D129" s="1291" t="s">
        <v>1722</v>
      </c>
      <c r="E129" s="794">
        <v>17.1</v>
      </c>
      <c r="F129" s="919" cm="1" t="str">
        <f t="array" ref="F129:F129">OFFSET(G129,-1,-1)</f>
        <v>2</v>
      </c>
      <c r="G129" s="190" t="s">
        <v>1723</v>
      </c>
      <c r="H129" s="497"/>
      <c r="I129" s="497"/>
      <c r="J129" s="1312" t="s">
        <v>2089</v>
      </c>
      <c r="K129" s="1312" cm="1" t="str">
        <f t="array" ref="K129:K129">OFFSET(J129,-1,1)</f>
        <v>ТЭ.42.26824396.0005</v>
      </c>
      <c r="L129" s="1312" t="s">
        <v>2103</v>
      </c>
      <c r="M129" s="1312" t="s">
        <v>1724</v>
      </c>
      <c r="N129" s="1312" t="s">
        <v>2091</v>
      </c>
      <c r="O129" s="1313" t="s">
        <v>2092</v>
      </c>
      <c r="P129" s="1312"/>
      <c r="Q129" s="1312"/>
      <c r="R129" s="925"/>
      <c r="S129" s="497"/>
      <c r="T129" s="805" cm="1" t="str">
        <f t="array" ref="T129:T129">T128</f>
        <v>true</v>
      </c>
      <c r="U129" s="1461"/>
      <c r="V129" s="1461"/>
      <c r="W129" s="1461"/>
      <c r="X129" s="1461"/>
      <c r="Y129" s="1461"/>
      <c r="Z129" s="1461"/>
      <c r="AA129" s="497"/>
      <c r="AB129" s="286" t="s">
        <v>1725</v>
      </c>
      <c r="AC129" s="169" t="s">
        <v>591</v>
      </c>
      <c r="AD129" s="2063">
        <f>IF(method_reg="Метод экономически обоснованных расходов",_xlfn.SUMIFS('Калькуляция (4.6)'!AJ$25:AJ$229,'Калькуляция (4.6)'!$F$25:$F$229,$F129,'Калькуляция (4.6)'!$G$25:$G$229,$G129),IF(method_reg="Метод сравнения аналогов",_xlfn.SUMIFS(INDEX('Калькуляция (МСА)'!$AE$25:$BC$109,,MATCH(AD$8,'Калькуляция (МСА)'!$AE$8:$BC$8,0)),'Калькуляция (МСА)'!$F$25:$F$109,$F129,'Калькуляция (МСА)'!$G$25:$G$109,$G129),_xlfn.SUMIFS(INDEX('Калькуляция (5.9)'!$AJ$25:$BC$192,,MATCH(AD$8,'Калькуляция (5.9)'!$AJ$8:$BC$8,0)),'Калькуляция (5.9)'!$F$25:$F$192,$F129,'Калькуляция (5.9)'!$G$25:$G$192,$G129)))</f>
        <v>1024</v>
      </c>
      <c r="AE129" s="2063">
        <f>IF(method_reg="Метод экономически обоснованных расходов",_xlfn.SUMIFS('Калькуляция (4.6)'!AK$25:AK$229,'Калькуляция (4.6)'!$F$25:$F$229,$F129,'Калькуляция (4.6)'!$G$25:$G$229,$G129),IF(method_reg="Метод сравнения аналогов",_xlfn.SUMIFS(INDEX('Калькуляция (МСА)'!$AE$25:$BC$109,,MATCH(AE$8,'Калькуляция (МСА)'!$AE$8:$BC$8,0)),'Калькуляция (МСА)'!$F$25:$F$109,$F129,'Калькуляция (МСА)'!$G$25:$G$109,$G129),_xlfn.SUMIFS(INDEX('Калькуляция (5.9)'!$AJ$25:$BC$192,,MATCH(AE$8,'Калькуляция (5.9)'!$AJ$8:$BC$8,0)),'Калькуляция (5.9)'!$F$25:$F$192,$F129,'Калькуляция (5.9)'!$G$25:$G$192,$G129)))</f>
        <v>1024</v>
      </c>
      <c r="AF129" s="397">
        <f>IF(AD129=0,0,(AE129-AD129)/AD129*100)</f>
        <v>0</v>
      </c>
      <c r="AG129" s="413">
        <f>IF(method_reg="Метод сравнения аналогов",_xlfn.SUMIFS(INDEX('Калькуляция (МСА)'!$AE$25:$BC$109,,MATCH(AG$8,'Калькуляция (МСА)'!$AE$8:$BC$8,0)),'Калькуляция (МСА)'!$F$25:$F$109,$F129,'Калькуляция (МСА)'!$G$25:$G$109,$G129),_xlfn.SUMIFS(INDEX('Калькуляция (5.9)'!$AJ$25:$BC$192,,MATCH(AG$8,'Калькуляция (5.9)'!$AJ$8:$BC$8,0)),'Калькуляция (5.9)'!$F$25:$F$192,$F129,'Калькуляция (5.9)'!$G$25:$G$192,$G129))</f>
        <v>1024</v>
      </c>
      <c r="AH129" s="413">
        <f>IF(method_reg="Метод сравнения аналогов",_xlfn.SUMIFS(INDEX('Калькуляция (МСА)'!$AE$25:$BC$109,,MATCH(AH$8,'Калькуляция (МСА)'!$AE$8:$BC$8,0)),'Калькуляция (МСА)'!$F$25:$F$109,$F129,'Калькуляция (МСА)'!$G$25:$G$109,$G129),_xlfn.SUMIFS(INDEX('Калькуляция (5.9)'!$AJ$25:$BC$192,,MATCH(AH$8,'Калькуляция (5.9)'!$AJ$8:$BC$8,0)),'Калькуляция (5.9)'!$F$25:$F$192,$F129,'Калькуляция (5.9)'!$G$25:$G$192,$G129))</f>
        <v>1024</v>
      </c>
      <c r="AI129" s="397">
        <f>IF(AG129=0,0,(AH129-AG129)/AG129*100)</f>
        <v>0</v>
      </c>
      <c r="AJ129" s="413">
        <f>IF(method_reg="Метод сравнения аналогов",_xlfn.SUMIFS(INDEX('Калькуляция (МСА)'!$AE$25:$BC$109,,MATCH(AJ$8,'Калькуляция (МСА)'!$AE$8:$BC$8,0)),'Калькуляция (МСА)'!$F$25:$F$109,$F129,'Калькуляция (МСА)'!$G$25:$G$109,$G129),_xlfn.SUMIFS(INDEX('Калькуляция (5.9)'!$AJ$25:$BC$192,,MATCH(AJ$8,'Калькуляция (5.9)'!$AJ$8:$BC$8,0)),'Калькуляция (5.9)'!$F$25:$F$192,$F129,'Калькуляция (5.9)'!$G$25:$G$192,$G129))</f>
        <v>1024</v>
      </c>
      <c r="AK129" s="413">
        <f>IF(method_reg="Метод сравнения аналогов",_xlfn.SUMIFS(INDEX('Калькуляция (МСА)'!$AE$25:$BC$109,,MATCH(AK$8,'Калькуляция (МСА)'!$AE$8:$BC$8,0)),'Калькуляция (МСА)'!$F$25:$F$109,$F129,'Калькуляция (МСА)'!$G$25:$G$109,$G129),_xlfn.SUMIFS(INDEX('Калькуляция (5.9)'!$AJ$25:$BC$192,,MATCH(AK$8,'Калькуляция (5.9)'!$AJ$8:$BC$8,0)),'Калькуляция (5.9)'!$F$25:$F$192,$F129,'Калькуляция (5.9)'!$G$25:$G$192,$G129))</f>
        <v>1024</v>
      </c>
      <c r="AL129" s="397">
        <f>IF(AJ129=0,0,(AK129-AJ129)/AJ129*100)</f>
        <v>0</v>
      </c>
      <c r="AM129" s="413">
        <f>IF(method_reg="Метод сравнения аналогов",_xlfn.SUMIFS(INDEX('Калькуляция (МСА)'!$AE$25:$BC$109,,MATCH(AM$8,'Калькуляция (МСА)'!$AE$8:$BC$8,0)),'Калькуляция (МСА)'!$F$25:$F$109,$F129,'Калькуляция (МСА)'!$G$25:$G$109,$G129),_xlfn.SUMIFS(INDEX('Калькуляция (5.9)'!$AJ$25:$BC$192,,MATCH(AM$8,'Калькуляция (5.9)'!$AJ$8:$BC$8,0)),'Калькуляция (5.9)'!$F$25:$F$192,$F129,'Калькуляция (5.9)'!$G$25:$G$192,$G129))</f>
        <v>1024</v>
      </c>
      <c r="AN129" s="413">
        <f>IF(method_reg="Метод сравнения аналогов",_xlfn.SUMIFS(INDEX('Калькуляция (МСА)'!$AE$25:$BC$109,,MATCH(AN$8,'Калькуляция (МСА)'!$AE$8:$BC$8,0)),'Калькуляция (МСА)'!$F$25:$F$109,$F129,'Калькуляция (МСА)'!$G$25:$G$109,$G129),_xlfn.SUMIFS(INDEX('Калькуляция (5.9)'!$AJ$25:$BC$192,,MATCH(AN$8,'Калькуляция (5.9)'!$AJ$8:$BC$8,0)),'Калькуляция (5.9)'!$F$25:$F$192,$F129,'Калькуляция (5.9)'!$G$25:$G$192,$G129))</f>
        <v>1024</v>
      </c>
      <c r="AO129" s="397">
        <f>IF(AM129=0,0,(AN129-AM129)/AM129*100)</f>
        <v>0</v>
      </c>
      <c r="AP129" s="413">
        <f>IF(method_reg="Метод сравнения аналогов",_xlfn.SUMIFS(INDEX('Калькуляция (МСА)'!$AE$25:$BC$109,,MATCH(AP$8,'Калькуляция (МСА)'!$AE$8:$BC$8,0)),'Калькуляция (МСА)'!$F$25:$F$109,$F129,'Калькуляция (МСА)'!$G$25:$G$109,$G129),_xlfn.SUMIFS(INDEX('Калькуляция (5.9)'!$AJ$25:$BC$192,,MATCH(AP$8,'Калькуляция (5.9)'!$AJ$8:$BC$8,0)),'Калькуляция (5.9)'!$F$25:$F$192,$F129,'Калькуляция (5.9)'!$G$25:$G$192,$G129))</f>
        <v>1024</v>
      </c>
      <c r="AQ129" s="413">
        <f>IF(method_reg="Метод сравнения аналогов",_xlfn.SUMIFS(INDEX('Калькуляция (МСА)'!$AE$25:$BC$109,,MATCH(AQ$8,'Калькуляция (МСА)'!$AE$8:$BC$8,0)),'Калькуляция (МСА)'!$F$25:$F$109,$F129,'Калькуляция (МСА)'!$G$25:$G$109,$G129),_xlfn.SUMIFS(INDEX('Калькуляция (5.9)'!$AJ$25:$BC$192,,MATCH(AQ$8,'Калькуляция (5.9)'!$AJ$8:$BC$8,0)),'Калькуляция (5.9)'!$F$25:$F$192,$F129,'Калькуляция (5.9)'!$G$25:$G$192,$G129))</f>
        <v>1024</v>
      </c>
      <c r="AR129" s="397">
        <f>IF(AP129=0,0,(AQ129-AP129)/AP129*100)</f>
        <v>0</v>
      </c>
      <c r="AS129" s="2063">
        <f>IF(method_reg="Метод сравнения аналогов",_xlfn.SUMIFS(INDEX('Калькуляция (МСА)'!$AE$25:$BC$109,,MATCH(AS$8,'Калькуляция (МСА)'!$AE$8:$BC$8,0)),'Калькуляция (МСА)'!$F$25:$F$109,$F129,'Калькуляция (МСА)'!$G$25:$G$109,$G129),_xlfn.SUMIFS(INDEX('Калькуляция (5.9)'!$AJ$25:$BC$192,,MATCH(AS$8,'Калькуляция (5.9)'!$AJ$8:$BC$8,0)),'Калькуляция (5.9)'!$F$25:$F$192,$F129,'Калькуляция (5.9)'!$G$25:$G$192,$G129))</f>
        <v>1024</v>
      </c>
      <c r="AT129" s="2063">
        <f>IF(method_reg="Метод сравнения аналогов",_xlfn.SUMIFS(INDEX('Калькуляция (МСА)'!$AE$25:$BC$109,,MATCH(AT$8,'Калькуляция (МСА)'!$AE$8:$BC$8,0)),'Калькуляция (МСА)'!$F$25:$F$109,$F129,'Калькуляция (МСА)'!$G$25:$G$109,$G129),_xlfn.SUMIFS(INDEX('Калькуляция (5.9)'!$AJ$25:$BC$192,,MATCH(AT$8,'Калькуляция (5.9)'!$AJ$8:$BC$8,0)),'Калькуляция (5.9)'!$F$25:$F$192,$F129,'Калькуляция (5.9)'!$G$25:$G$192,$G129))</f>
        <v>0</v>
      </c>
      <c r="AU129" s="397">
        <f>IF(AS129=0,0,(AT129-AS129)/AS129*100)</f>
        <v>-100</v>
      </c>
      <c r="AV129" s="2063">
        <f>IF(method_reg="Метод сравнения аналогов",_xlfn.SUMIFS(INDEX('Калькуляция (МСА)'!$AE$25:$BC$109,,MATCH(AV$8,'Калькуляция (МСА)'!$AE$8:$BC$8,0)),'Калькуляция (МСА)'!$F$25:$F$109,$F129,'Калькуляция (МСА)'!$G$25:$G$109,$G129),_xlfn.SUMIFS(INDEX('Калькуляция (5.9)'!$AJ$25:$BC$192,,MATCH(AV$8,'Калькуляция (5.9)'!$AJ$8:$BC$8,0)),'Калькуляция (5.9)'!$F$25:$F$192,$F129,'Калькуляция (5.9)'!$G$25:$G$192,$G129))</f>
        <v>1024</v>
      </c>
      <c r="AW129" s="2063">
        <f>IF(method_reg="Метод сравнения аналогов",_xlfn.SUMIFS(INDEX('Калькуляция (МСА)'!$AE$25:$BC$109,,MATCH(AW$8,'Калькуляция (МСА)'!$AE$8:$BC$8,0)),'Калькуляция (МСА)'!$F$25:$F$109,$F129,'Калькуляция (МСА)'!$G$25:$G$109,$G129),_xlfn.SUMIFS(INDEX('Калькуляция (5.9)'!$AJ$25:$BC$192,,MATCH(AW$8,'Калькуляция (5.9)'!$AJ$8:$BC$8,0)),'Калькуляция (5.9)'!$F$25:$F$192,$F129,'Калькуляция (5.9)'!$G$25:$G$192,$G129))</f>
        <v>0</v>
      </c>
      <c r="AX129" s="397">
        <f>IF(AV129=0,0,(AW129-AV129)/AV129*100)</f>
        <v>-100</v>
      </c>
      <c r="AY129" s="2063">
        <f>IF(method_reg="Метод сравнения аналогов",_xlfn.SUMIFS(INDEX('Калькуляция (МСА)'!$AE$25:$BC$109,,MATCH(AY$8,'Калькуляция (МСА)'!$AE$8:$BC$8,0)),'Калькуляция (МСА)'!$F$25:$F$109,$F129,'Калькуляция (МСА)'!$G$25:$G$109,$G129),_xlfn.SUMIFS(INDEX('Калькуляция (5.9)'!$AJ$25:$BC$192,,MATCH(AY$8,'Калькуляция (5.9)'!$AJ$8:$BC$8,0)),'Калькуляция (5.9)'!$F$25:$F$192,$F129,'Калькуляция (5.9)'!$G$25:$G$192,$G129))</f>
        <v>1024</v>
      </c>
      <c r="AZ129" s="2063">
        <f>IF(method_reg="Метод сравнения аналогов",_xlfn.SUMIFS(INDEX('Калькуляция (МСА)'!$AE$25:$BC$109,,MATCH(AZ$8,'Калькуляция (МСА)'!$AE$8:$BC$8,0)),'Калькуляция (МСА)'!$F$25:$F$109,$F129,'Калькуляция (МСА)'!$G$25:$G$109,$G129),_xlfn.SUMIFS(INDEX('Калькуляция (5.9)'!$AJ$25:$BC$192,,MATCH(AZ$8,'Калькуляция (5.9)'!$AJ$8:$BC$8,0)),'Калькуляция (5.9)'!$F$25:$F$192,$F129,'Калькуляция (5.9)'!$G$25:$G$192,$G129))</f>
        <v>0</v>
      </c>
      <c r="BA129" s="397">
        <f>IF(AY129=0,0,(AZ129-AY129)/AY129*100)</f>
        <v>-100</v>
      </c>
      <c r="BB129" s="2063">
        <f>IF(method_reg="Метод сравнения аналогов",_xlfn.SUMIFS(INDEX('Калькуляция (МСА)'!$AE$25:$BC$109,,MATCH(BB$8,'Калькуляция (МСА)'!$AE$8:$BC$8,0)),'Калькуляция (МСА)'!$F$25:$F$109,$F129,'Калькуляция (МСА)'!$G$25:$G$109,$G129),_xlfn.SUMIFS(INDEX('Калькуляция (5.9)'!$AJ$25:$BC$192,,MATCH(BB$8,'Калькуляция (5.9)'!$AJ$8:$BC$8,0)),'Калькуляция (5.9)'!$F$25:$F$192,$F129,'Калькуляция (5.9)'!$G$25:$G$192,$G129))</f>
        <v>1024</v>
      </c>
      <c r="BC129" s="2063">
        <f>IF(method_reg="Метод сравнения аналогов",_xlfn.SUMIFS(INDEX('Калькуляция (МСА)'!$AE$25:$BC$109,,MATCH(BC$8,'Калькуляция (МСА)'!$AE$8:$BC$8,0)),'Калькуляция (МСА)'!$F$25:$F$109,$F129,'Калькуляция (МСА)'!$G$25:$G$109,$G129),_xlfn.SUMIFS(INDEX('Калькуляция (5.9)'!$AJ$25:$BC$192,,MATCH(BC$8,'Калькуляция (5.9)'!$AJ$8:$BC$8,0)),'Калькуляция (5.9)'!$F$25:$F$192,$F129,'Калькуляция (5.9)'!$G$25:$G$192,$G129))</f>
        <v>0</v>
      </c>
      <c r="BD129" s="397">
        <f>IF(BB129=0,0,(BC129-BB129)/BB129*100)</f>
        <v>-100</v>
      </c>
      <c r="BE129" s="2063">
        <f>IF(method_reg="Метод сравнения аналогов",_xlfn.SUMIFS(INDEX('Калькуляция (МСА)'!$AE$25:$BC$109,,MATCH(BE$8,'Калькуляция (МСА)'!$AE$8:$BC$8,0)),'Калькуляция (МСА)'!$F$25:$F$109,$F129,'Калькуляция (МСА)'!$G$25:$G$109,$G129),_xlfn.SUMIFS(INDEX('Калькуляция (5.9)'!$AJ$25:$BC$192,,MATCH(BE$8,'Калькуляция (5.9)'!$AJ$8:$BC$8,0)),'Калькуляция (5.9)'!$F$25:$F$192,$F129,'Калькуляция (5.9)'!$G$25:$G$192,$G129))</f>
        <v>1024</v>
      </c>
      <c r="BF129" s="2063">
        <f>IF(method_reg="Метод сравнения аналогов",_xlfn.SUMIFS(INDEX('Калькуляция (МСА)'!$AE$25:$BC$109,,MATCH(BF$8,'Калькуляция (МСА)'!$AE$8:$BC$8,0)),'Калькуляция (МСА)'!$F$25:$F$109,$F129,'Калькуляция (МСА)'!$G$25:$G$109,$G129),_xlfn.SUMIFS(INDEX('Калькуляция (5.9)'!$AJ$25:$BC$192,,MATCH(BF$8,'Калькуляция (5.9)'!$AJ$8:$BC$8,0)),'Калькуляция (5.9)'!$F$25:$F$192,$F129,'Калькуляция (5.9)'!$G$25:$G$192,$G129))</f>
        <v>0</v>
      </c>
      <c r="BG129" s="397">
        <f>IF(BE129=0,0,(BF129-BE129)/BE129*100)</f>
        <v>-100</v>
      </c>
      <c r="BH129" s="2063"/>
      <c r="BI129" s="2063"/>
      <c r="BJ129" s="397">
        <f>IF(BH129=0,0,(BI129-BH129)/BH129*100)</f>
        <v>0</v>
      </c>
      <c r="BK129" s="2063"/>
      <c r="BL129" s="2063"/>
      <c r="BM129" s="397">
        <f>IF(BK129=0,0,(BL129-BK129)/BK129*100)</f>
        <v>0</v>
      </c>
      <c r="BN129" s="2063"/>
      <c r="BO129" s="2063"/>
      <c r="BP129" s="397">
        <f>IF(BN129=0,0,(BO129-BN129)/BN129*100)</f>
        <v>0</v>
      </c>
      <c r="BQ129" s="2063"/>
      <c r="BR129" s="2063"/>
      <c r="BS129" s="397">
        <f>IF(BQ129=0,0,(BR129-BQ129)/BQ129*100)</f>
        <v>0</v>
      </c>
      <c r="BT129" s="2063"/>
      <c r="BU129" s="2063"/>
      <c r="BV129" s="397">
        <f>IF(BT129=0,0,(BU129-BT129)/BT129*100)</f>
        <v>0</v>
      </c>
      <c r="BW129" s="2063"/>
      <c r="BX129" s="2063"/>
      <c r="BY129" s="397">
        <f>IF(BW129=0,0,(BX129-BW129)/BW129*100)</f>
        <v>0</v>
      </c>
      <c r="BZ129" s="2063"/>
      <c r="CA129" s="2063"/>
      <c r="CB129" s="397">
        <f>IF(BZ129=0,0,(CA129-BZ129)/BZ129*100)</f>
        <v>0</v>
      </c>
      <c r="CC129" s="2063"/>
      <c r="CD129" s="2063"/>
      <c r="CE129" s="397">
        <f>IF(CC129=0,0,(CD129-CC129)/CC129*100)</f>
        <v>0</v>
      </c>
      <c r="CF129" s="2063"/>
      <c r="CG129" s="2063"/>
      <c r="CH129" s="397">
        <f>IF(CF129=0,0,(CG129-CF129)/CF129*100)</f>
        <v>0</v>
      </c>
      <c r="CI129" s="2063"/>
      <c r="CJ129" s="2063"/>
      <c r="CK129" s="397">
        <f>IF(CI129=0,0,(CJ129-CI129)/CI129*100)</f>
        <v>0</v>
      </c>
      <c r="CL129" s="2063"/>
      <c r="CM129" s="2063"/>
      <c r="CN129" s="397">
        <f>IF(CL129=0,0,(CM129-CL129)/CL129*100)</f>
        <v>0</v>
      </c>
      <c r="CO129" s="2063"/>
      <c r="CP129" s="2063"/>
      <c r="CQ129" s="397">
        <f>IF(CO129=0,0,(CP129-CO129)/CO129*100)</f>
        <v>0</v>
      </c>
      <c r="CR129" s="2063"/>
      <c r="CS129" s="2063"/>
      <c r="CT129" s="397">
        <f>IF(CR129=0,0,(CS129-CR129)/CR129*100)</f>
        <v>0</v>
      </c>
      <c r="CU129" s="2063"/>
      <c r="CV129" s="2063"/>
      <c r="CW129" s="397">
        <f>IF(CU129=0,0,(CV129-CU129)/CU129*100)</f>
        <v>0</v>
      </c>
      <c r="CX129" s="2063"/>
      <c r="CY129" s="2063"/>
      <c r="CZ129" s="397">
        <f>IF(CX129=0,0,(CY129-CX129)/CX129*100)</f>
        <v>0</v>
      </c>
      <c r="DA129" s="2063"/>
      <c r="DB129" s="2063"/>
      <c r="DC129" s="397">
        <f>IF(DA129=0,0,(DB129-DA129)/DA129*100)</f>
        <v>0</v>
      </c>
      <c r="DD129" s="2063"/>
      <c r="DE129" s="2063"/>
      <c r="DF129" s="397">
        <f>IF(DD129=0,0,(DE129-DD129)/DD129*100)</f>
        <v>0</v>
      </c>
      <c r="DG129" s="2063"/>
      <c r="DH129" s="2063"/>
      <c r="DI129" s="397">
        <f>IF(DG129=0,0,(DH129-DG129)/DG129*100)</f>
        <v>0</v>
      </c>
      <c r="DJ129" s="2063"/>
      <c r="DK129" s="2063"/>
      <c r="DL129" s="397">
        <f>IF(DJ129=0,0,(DK129-DJ129)/DJ129*100)</f>
        <v>0</v>
      </c>
      <c r="DM129" s="2063"/>
      <c r="DN129" s="2063"/>
      <c r="DO129" s="397">
        <f>IF(DM129=0,0,(DN129-DM129)/DM129*100)</f>
        <v>0</v>
      </c>
      <c r="DP129" s="2063"/>
      <c r="DQ129" s="2063"/>
      <c r="DR129" s="397">
        <f>IF(DP129=0,0,(DQ129-DP129)/DP129*100)</f>
        <v>0</v>
      </c>
      <c r="DS129" s="2063"/>
      <c r="DT129" s="2063"/>
      <c r="DU129" s="397">
        <f>IF(DS129=0,0,(DT129-DS129)/DS129*100)</f>
        <v>0</v>
      </c>
      <c r="DV129" s="2063"/>
      <c r="DW129" s="2063"/>
      <c r="DX129" s="397">
        <f>IF(DV129=0,0,(DW129-DV129)/DV129*100)</f>
        <v>0</v>
      </c>
      <c r="DY129" s="2063"/>
      <c r="DZ129" s="2063"/>
      <c r="EA129" s="397">
        <f>IF(DY129=0,0,(DZ129-DY129)/DY129*100)</f>
        <v>0</v>
      </c>
      <c r="EB129" s="2063"/>
      <c r="EC129" s="2063"/>
      <c r="ED129" s="397">
        <f>IF(EB129=0,0,(EC129-EB129)/EB129*100)</f>
        <v>0</v>
      </c>
      <c r="EE129" s="2063"/>
      <c r="EF129" s="2063"/>
      <c r="EG129" s="397">
        <f>IF(EE129=0,0,(EF129-EE129)/EE129*100)</f>
        <v>0</v>
      </c>
      <c r="EH129" s="2063"/>
      <c r="EI129" s="2063"/>
      <c r="EJ129" s="397">
        <f>IF(EH129=0,0,(EI129-EH129)/EH129*100)</f>
        <v>0</v>
      </c>
      <c r="EK129" s="2063"/>
      <c r="EL129" s="2063"/>
      <c r="EM129" s="397">
        <f>IF(EK129=0,0,(EL129-EK129)/EK129*100)</f>
        <v>0</v>
      </c>
      <c r="EN129" s="2063"/>
      <c r="EO129" s="2063"/>
      <c r="EP129" s="397">
        <f>IF(EN129=0,0,(EO129-EN129)/EN129*100)</f>
        <v>0</v>
      </c>
      <c r="EQ129" s="2063"/>
      <c r="ER129" s="2063"/>
      <c r="ES129" s="397">
        <f>IF(EQ129=0,0,(ER129-EQ129)/EQ129*100)</f>
        <v>0</v>
      </c>
      <c r="ET129" s="2063"/>
      <c r="EU129" s="2063"/>
      <c r="EV129" s="397">
        <f>IF(ET129=0,0,(EU129-ET129)/ET129*100)</f>
        <v>0</v>
      </c>
      <c r="EW129" s="2063"/>
      <c r="EX129" s="2063"/>
      <c r="EY129" s="397">
        <f>IF(EW129=0,0,(EX129-EW129)/EW129*100)</f>
        <v>0</v>
      </c>
      <c r="EZ129" s="2063"/>
      <c r="FA129" s="2063"/>
      <c r="FB129" s="397">
        <f>IF(EZ129=0,0,(FA129-EZ129)/EZ129*100)</f>
        <v>0</v>
      </c>
      <c r="FC129" s="2063"/>
      <c r="FD129" s="2063"/>
      <c r="FE129" s="397">
        <f>IF(FC129=0,0,(FD129-FC129)/FC129*100)</f>
        <v>0</v>
      </c>
      <c r="FF129" s="2063"/>
      <c r="FG129" s="2063"/>
      <c r="FH129" s="397">
        <f>IF(FF129=0,0,(FG129-FF129)/FF129*100)</f>
        <v>0</v>
      </c>
      <c r="FI129" s="2063"/>
      <c r="FJ129" s="2063"/>
      <c r="FK129" s="397">
        <f>IF(FI129=0,0,(FJ129-FI129)/FI129*100)</f>
        <v>0</v>
      </c>
      <c r="FL129" s="2063"/>
      <c r="FM129" s="2063"/>
      <c r="FN129" s="397">
        <f>IF(FL129=0,0,(FM129-FL129)/FL129*100)</f>
        <v>0</v>
      </c>
      <c r="FO129" s="2063"/>
      <c r="FP129" s="2063"/>
      <c r="FQ129" s="397">
        <f>IF(FO129=0,0,(FP129-FO129)/FO129*100)</f>
        <v>0</v>
      </c>
      <c r="FR129" s="2063"/>
      <c r="FS129" s="2063"/>
      <c r="FT129" s="397">
        <f>IF(FR129=0,0,(FS129-FR129)/FR129*100)</f>
        <v>0</v>
      </c>
      <c r="FU129" s="2063"/>
      <c r="FV129" s="2063"/>
      <c r="FW129" s="397">
        <f>IF(FU129=0,0,(FV129-FU129)/FU129*100)</f>
        <v>0</v>
      </c>
      <c r="FX129" s="497"/>
      <c r="FY129" s="497"/>
      <c r="FZ129" s="1181" t="s">
        <v>2106</v>
      </c>
      <c r="GA129" s="1181"/>
      <c r="GB129" s="1181"/>
      <c r="GC129" s="1181"/>
      <c r="GD129" s="1181"/>
    </row>
    <row s="1619" customFormat="1" customHeight="1" ht="16.5">
      <c r="A130" s="1461"/>
      <c r="B130" s="961" cm="1" t="str">
        <f t="array" ref="B130:B130">B129</f>
        <v>true</v>
      </c>
      <c r="C130" s="1322" t="s">
        <v>1721</v>
      </c>
      <c r="D130" s="1291" t="s">
        <v>1722</v>
      </c>
      <c r="E130" s="794">
        <v>17.1</v>
      </c>
      <c r="F130" s="919" cm="1" t="str">
        <f t="array" ref="F130:F130">OFFSET(G130,-1,-1)</f>
        <v>2</v>
      </c>
      <c r="G130" s="190" t="s">
        <v>1732</v>
      </c>
      <c r="H130" s="497"/>
      <c r="I130" s="497"/>
      <c r="J130" s="1312" t="s">
        <v>2089</v>
      </c>
      <c r="K130" s="1312" cm="1" t="str">
        <f t="array" ref="K130:K130">OFFSET(J130,-1,1)</f>
        <v>ТЭ.42.26824396.0005</v>
      </c>
      <c r="L130" s="1312" t="s">
        <v>2103</v>
      </c>
      <c r="M130" s="1312" t="s">
        <v>1733</v>
      </c>
      <c r="N130" s="1312" t="s">
        <v>2091</v>
      </c>
      <c r="O130" s="1313" t="s">
        <v>2092</v>
      </c>
      <c r="P130" s="1312"/>
      <c r="Q130" s="1312"/>
      <c r="R130" s="925"/>
      <c r="S130" s="497"/>
      <c r="T130" s="805" cm="1" t="str">
        <f t="array" ref="T130:T130">T129</f>
        <v>true</v>
      </c>
      <c r="U130" s="1461"/>
      <c r="V130" s="1461"/>
      <c r="W130" s="1461"/>
      <c r="X130" s="1461"/>
      <c r="Y130" s="1461"/>
      <c r="Z130" s="1461"/>
      <c r="AA130" s="497"/>
      <c r="AB130" s="286" t="s">
        <v>1734</v>
      </c>
      <c r="AC130" s="169" t="s">
        <v>591</v>
      </c>
      <c r="AD130" s="2063">
        <f>IF(method_reg="Метод экономически обоснованных расходов",_xlfn.SUMIFS('Калькуляция (4.6)'!AJ$25:AJ$229,'Калькуляция (4.6)'!$F$25:$F$229,$F130,'Калькуляция (4.6)'!$G$25:$G$229,$G130),IF(method_reg="Метод сравнения аналогов",_xlfn.SUMIFS(INDEX('Калькуляция (МСА)'!$AE$25:$BC$109,,MATCH(AD$8,'Калькуляция (МСА)'!$AE$8:$BC$8,0)),'Калькуляция (МСА)'!$F$25:$F$109,$F130,'Калькуляция (МСА)'!$G$25:$G$109,$G130),_xlfn.SUMIFS(INDEX('Калькуляция (5.9)'!$AJ$25:$BC$192,,MATCH(AD$8,'Калькуляция (5.9)'!$AJ$8:$BC$8,0)),'Калькуляция (5.9)'!$F$25:$F$192,$F130,'Калькуляция (5.9)'!$G$25:$G$192,$G130)))</f>
        <v>346</v>
      </c>
      <c r="AE130" s="2063">
        <f>IF(method_reg="Метод экономически обоснованных расходов",_xlfn.SUMIFS('Калькуляция (4.6)'!AK$25:AK$229,'Калькуляция (4.6)'!$F$25:$F$229,$F130,'Калькуляция (4.6)'!$G$25:$G$229,$G130),IF(method_reg="Метод сравнения аналогов",_xlfn.SUMIFS(INDEX('Калькуляция (МСА)'!$AE$25:$BC$109,,MATCH(AE$8,'Калькуляция (МСА)'!$AE$8:$BC$8,0)),'Калькуляция (МСА)'!$F$25:$F$109,$F130,'Калькуляция (МСА)'!$G$25:$G$109,$G130),_xlfn.SUMIFS(INDEX('Калькуляция (5.9)'!$AJ$25:$BC$192,,MATCH(AE$8,'Калькуляция (5.9)'!$AJ$8:$BC$8,0)),'Калькуляция (5.9)'!$F$25:$F$192,$F130,'Калькуляция (5.9)'!$G$25:$G$192,$G130)))</f>
        <v>346</v>
      </c>
      <c r="AF130" s="397">
        <f>IF(AD130=0,0,(AE130-AD130)/AD130*100)</f>
        <v>0</v>
      </c>
      <c r="AG130" s="413">
        <f>IF(method_reg="Метод сравнения аналогов",_xlfn.SUMIFS(INDEX('Калькуляция (МСА)'!$AE$25:$BC$109,,MATCH(AG$8,'Калькуляция (МСА)'!$AE$8:$BC$8,0)),'Калькуляция (МСА)'!$F$25:$F$109,$F130,'Калькуляция (МСА)'!$G$25:$G$109,$G130),_xlfn.SUMIFS(INDEX('Калькуляция (5.9)'!$AJ$25:$BC$192,,MATCH(AG$8,'Калькуляция (5.9)'!$AJ$8:$BC$8,0)),'Калькуляция (5.9)'!$F$25:$F$192,$F130,'Калькуляция (5.9)'!$G$25:$G$192,$G130))</f>
        <v>346</v>
      </c>
      <c r="AH130" s="413">
        <f>IF(method_reg="Метод сравнения аналогов",_xlfn.SUMIFS(INDEX('Калькуляция (МСА)'!$AE$25:$BC$109,,MATCH(AH$8,'Калькуляция (МСА)'!$AE$8:$BC$8,0)),'Калькуляция (МСА)'!$F$25:$F$109,$F130,'Калькуляция (МСА)'!$G$25:$G$109,$G130),_xlfn.SUMIFS(INDEX('Калькуляция (5.9)'!$AJ$25:$BC$192,,MATCH(AH$8,'Калькуляция (5.9)'!$AJ$8:$BC$8,0)),'Калькуляция (5.9)'!$F$25:$F$192,$F130,'Калькуляция (5.9)'!$G$25:$G$192,$G130))</f>
        <v>346</v>
      </c>
      <c r="AI130" s="397">
        <f>IF(AG130=0,0,(AH130-AG130)/AG130*100)</f>
        <v>0</v>
      </c>
      <c r="AJ130" s="413">
        <f>IF(method_reg="Метод сравнения аналогов",_xlfn.SUMIFS(INDEX('Калькуляция (МСА)'!$AE$25:$BC$109,,MATCH(AJ$8,'Калькуляция (МСА)'!$AE$8:$BC$8,0)),'Калькуляция (МСА)'!$F$25:$F$109,$F130,'Калькуляция (МСА)'!$G$25:$G$109,$G130),_xlfn.SUMIFS(INDEX('Калькуляция (5.9)'!$AJ$25:$BC$192,,MATCH(AJ$8,'Калькуляция (5.9)'!$AJ$8:$BC$8,0)),'Калькуляция (5.9)'!$F$25:$F$192,$F130,'Калькуляция (5.9)'!$G$25:$G$192,$G130))</f>
        <v>346</v>
      </c>
      <c r="AK130" s="413">
        <f>IF(method_reg="Метод сравнения аналогов",_xlfn.SUMIFS(INDEX('Калькуляция (МСА)'!$AE$25:$BC$109,,MATCH(AK$8,'Калькуляция (МСА)'!$AE$8:$BC$8,0)),'Калькуляция (МСА)'!$F$25:$F$109,$F130,'Калькуляция (МСА)'!$G$25:$G$109,$G130),_xlfn.SUMIFS(INDEX('Калькуляция (5.9)'!$AJ$25:$BC$192,,MATCH(AK$8,'Калькуляция (5.9)'!$AJ$8:$BC$8,0)),'Калькуляция (5.9)'!$F$25:$F$192,$F130,'Калькуляция (5.9)'!$G$25:$G$192,$G130))</f>
        <v>346</v>
      </c>
      <c r="AL130" s="397">
        <f>IF(AJ130=0,0,(AK130-AJ130)/AJ130*100)</f>
        <v>0</v>
      </c>
      <c r="AM130" s="413">
        <f>IF(method_reg="Метод сравнения аналогов",_xlfn.SUMIFS(INDEX('Калькуляция (МСА)'!$AE$25:$BC$109,,MATCH(AM$8,'Калькуляция (МСА)'!$AE$8:$BC$8,0)),'Калькуляция (МСА)'!$F$25:$F$109,$F130,'Калькуляция (МСА)'!$G$25:$G$109,$G130),_xlfn.SUMIFS(INDEX('Калькуляция (5.9)'!$AJ$25:$BC$192,,MATCH(AM$8,'Калькуляция (5.9)'!$AJ$8:$BC$8,0)),'Калькуляция (5.9)'!$F$25:$F$192,$F130,'Калькуляция (5.9)'!$G$25:$G$192,$G130))</f>
        <v>346</v>
      </c>
      <c r="AN130" s="413">
        <f>IF(method_reg="Метод сравнения аналогов",_xlfn.SUMIFS(INDEX('Калькуляция (МСА)'!$AE$25:$BC$109,,MATCH(AN$8,'Калькуляция (МСА)'!$AE$8:$BC$8,0)),'Калькуляция (МСА)'!$F$25:$F$109,$F130,'Калькуляция (МСА)'!$G$25:$G$109,$G130),_xlfn.SUMIFS(INDEX('Калькуляция (5.9)'!$AJ$25:$BC$192,,MATCH(AN$8,'Калькуляция (5.9)'!$AJ$8:$BC$8,0)),'Калькуляция (5.9)'!$F$25:$F$192,$F130,'Калькуляция (5.9)'!$G$25:$G$192,$G130))</f>
        <v>346</v>
      </c>
      <c r="AO130" s="397">
        <f>IF(AM130=0,0,(AN130-AM130)/AM130*100)</f>
        <v>0</v>
      </c>
      <c r="AP130" s="413">
        <f>IF(method_reg="Метод сравнения аналогов",_xlfn.SUMIFS(INDEX('Калькуляция (МСА)'!$AE$25:$BC$109,,MATCH(AP$8,'Калькуляция (МСА)'!$AE$8:$BC$8,0)),'Калькуляция (МСА)'!$F$25:$F$109,$F130,'Калькуляция (МСА)'!$G$25:$G$109,$G130),_xlfn.SUMIFS(INDEX('Калькуляция (5.9)'!$AJ$25:$BC$192,,MATCH(AP$8,'Калькуляция (5.9)'!$AJ$8:$BC$8,0)),'Калькуляция (5.9)'!$F$25:$F$192,$F130,'Калькуляция (5.9)'!$G$25:$G$192,$G130))</f>
        <v>346</v>
      </c>
      <c r="AQ130" s="413">
        <f>IF(method_reg="Метод сравнения аналогов",_xlfn.SUMIFS(INDEX('Калькуляция (МСА)'!$AE$25:$BC$109,,MATCH(AQ$8,'Калькуляция (МСА)'!$AE$8:$BC$8,0)),'Калькуляция (МСА)'!$F$25:$F$109,$F130,'Калькуляция (МСА)'!$G$25:$G$109,$G130),_xlfn.SUMIFS(INDEX('Калькуляция (5.9)'!$AJ$25:$BC$192,,MATCH(AQ$8,'Калькуляция (5.9)'!$AJ$8:$BC$8,0)),'Калькуляция (5.9)'!$F$25:$F$192,$F130,'Калькуляция (5.9)'!$G$25:$G$192,$G130))</f>
        <v>346</v>
      </c>
      <c r="AR130" s="397">
        <f>IF(AP130=0,0,(AQ130-AP130)/AP130*100)</f>
        <v>0</v>
      </c>
      <c r="AS130" s="2063">
        <f>IF(method_reg="Метод сравнения аналогов",_xlfn.SUMIFS(INDEX('Калькуляция (МСА)'!$AE$25:$BC$109,,MATCH(AS$8,'Калькуляция (МСА)'!$AE$8:$BC$8,0)),'Калькуляция (МСА)'!$F$25:$F$109,$F130,'Калькуляция (МСА)'!$G$25:$G$109,$G130),_xlfn.SUMIFS(INDEX('Калькуляция (5.9)'!$AJ$25:$BC$192,,MATCH(AS$8,'Калькуляция (5.9)'!$AJ$8:$BC$8,0)),'Калькуляция (5.9)'!$F$25:$F$192,$F130,'Калькуляция (5.9)'!$G$25:$G$192,$G130))</f>
        <v>346</v>
      </c>
      <c r="AT130" s="2063">
        <f>IF(method_reg="Метод сравнения аналогов",_xlfn.SUMIFS(INDEX('Калькуляция (МСА)'!$AE$25:$BC$109,,MATCH(AT$8,'Калькуляция (МСА)'!$AE$8:$BC$8,0)),'Калькуляция (МСА)'!$F$25:$F$109,$F130,'Калькуляция (МСА)'!$G$25:$G$109,$G130),_xlfn.SUMIFS(INDEX('Калькуляция (5.9)'!$AJ$25:$BC$192,,MATCH(AT$8,'Калькуляция (5.9)'!$AJ$8:$BC$8,0)),'Калькуляция (5.9)'!$F$25:$F$192,$F130,'Калькуляция (5.9)'!$G$25:$G$192,$G130))</f>
        <v>0</v>
      </c>
      <c r="AU130" s="397">
        <f>IF(AS130=0,0,(AT130-AS130)/AS130*100)</f>
        <v>-100</v>
      </c>
      <c r="AV130" s="2063">
        <f>IF(method_reg="Метод сравнения аналогов",_xlfn.SUMIFS(INDEX('Калькуляция (МСА)'!$AE$25:$BC$109,,MATCH(AV$8,'Калькуляция (МСА)'!$AE$8:$BC$8,0)),'Калькуляция (МСА)'!$F$25:$F$109,$F130,'Калькуляция (МСА)'!$G$25:$G$109,$G130),_xlfn.SUMIFS(INDEX('Калькуляция (5.9)'!$AJ$25:$BC$192,,MATCH(AV$8,'Калькуляция (5.9)'!$AJ$8:$BC$8,0)),'Калькуляция (5.9)'!$F$25:$F$192,$F130,'Калькуляция (5.9)'!$G$25:$G$192,$G130))</f>
        <v>346</v>
      </c>
      <c r="AW130" s="2063">
        <f>IF(method_reg="Метод сравнения аналогов",_xlfn.SUMIFS(INDEX('Калькуляция (МСА)'!$AE$25:$BC$109,,MATCH(AW$8,'Калькуляция (МСА)'!$AE$8:$BC$8,0)),'Калькуляция (МСА)'!$F$25:$F$109,$F130,'Калькуляция (МСА)'!$G$25:$G$109,$G130),_xlfn.SUMIFS(INDEX('Калькуляция (5.9)'!$AJ$25:$BC$192,,MATCH(AW$8,'Калькуляция (5.9)'!$AJ$8:$BC$8,0)),'Калькуляция (5.9)'!$F$25:$F$192,$F130,'Калькуляция (5.9)'!$G$25:$G$192,$G130))</f>
        <v>0</v>
      </c>
      <c r="AX130" s="397">
        <f>IF(AV130=0,0,(AW130-AV130)/AV130*100)</f>
        <v>-100</v>
      </c>
      <c r="AY130" s="2063">
        <f>IF(method_reg="Метод сравнения аналогов",_xlfn.SUMIFS(INDEX('Калькуляция (МСА)'!$AE$25:$BC$109,,MATCH(AY$8,'Калькуляция (МСА)'!$AE$8:$BC$8,0)),'Калькуляция (МСА)'!$F$25:$F$109,$F130,'Калькуляция (МСА)'!$G$25:$G$109,$G130),_xlfn.SUMIFS(INDEX('Калькуляция (5.9)'!$AJ$25:$BC$192,,MATCH(AY$8,'Калькуляция (5.9)'!$AJ$8:$BC$8,0)),'Калькуляция (5.9)'!$F$25:$F$192,$F130,'Калькуляция (5.9)'!$G$25:$G$192,$G130))</f>
        <v>346</v>
      </c>
      <c r="AZ130" s="2063">
        <f>IF(method_reg="Метод сравнения аналогов",_xlfn.SUMIFS(INDEX('Калькуляция (МСА)'!$AE$25:$BC$109,,MATCH(AZ$8,'Калькуляция (МСА)'!$AE$8:$BC$8,0)),'Калькуляция (МСА)'!$F$25:$F$109,$F130,'Калькуляция (МСА)'!$G$25:$G$109,$G130),_xlfn.SUMIFS(INDEX('Калькуляция (5.9)'!$AJ$25:$BC$192,,MATCH(AZ$8,'Калькуляция (5.9)'!$AJ$8:$BC$8,0)),'Калькуляция (5.9)'!$F$25:$F$192,$F130,'Калькуляция (5.9)'!$G$25:$G$192,$G130))</f>
        <v>0</v>
      </c>
      <c r="BA130" s="397">
        <f>IF(AY130=0,0,(AZ130-AY130)/AY130*100)</f>
        <v>-100</v>
      </c>
      <c r="BB130" s="2063">
        <f>IF(method_reg="Метод сравнения аналогов",_xlfn.SUMIFS(INDEX('Калькуляция (МСА)'!$AE$25:$BC$109,,MATCH(BB$8,'Калькуляция (МСА)'!$AE$8:$BC$8,0)),'Калькуляция (МСА)'!$F$25:$F$109,$F130,'Калькуляция (МСА)'!$G$25:$G$109,$G130),_xlfn.SUMIFS(INDEX('Калькуляция (5.9)'!$AJ$25:$BC$192,,MATCH(BB$8,'Калькуляция (5.9)'!$AJ$8:$BC$8,0)),'Калькуляция (5.9)'!$F$25:$F$192,$F130,'Калькуляция (5.9)'!$G$25:$G$192,$G130))</f>
        <v>346</v>
      </c>
      <c r="BC130" s="2063">
        <f>IF(method_reg="Метод сравнения аналогов",_xlfn.SUMIFS(INDEX('Калькуляция (МСА)'!$AE$25:$BC$109,,MATCH(BC$8,'Калькуляция (МСА)'!$AE$8:$BC$8,0)),'Калькуляция (МСА)'!$F$25:$F$109,$F130,'Калькуляция (МСА)'!$G$25:$G$109,$G130),_xlfn.SUMIFS(INDEX('Калькуляция (5.9)'!$AJ$25:$BC$192,,MATCH(BC$8,'Калькуляция (5.9)'!$AJ$8:$BC$8,0)),'Калькуляция (5.9)'!$F$25:$F$192,$F130,'Калькуляция (5.9)'!$G$25:$G$192,$G130))</f>
        <v>0</v>
      </c>
      <c r="BD130" s="397">
        <f>IF(BB130=0,0,(BC130-BB130)/BB130*100)</f>
        <v>-100</v>
      </c>
      <c r="BE130" s="2063">
        <f>IF(method_reg="Метод сравнения аналогов",_xlfn.SUMIFS(INDEX('Калькуляция (МСА)'!$AE$25:$BC$109,,MATCH(BE$8,'Калькуляция (МСА)'!$AE$8:$BC$8,0)),'Калькуляция (МСА)'!$F$25:$F$109,$F130,'Калькуляция (МСА)'!$G$25:$G$109,$G130),_xlfn.SUMIFS(INDEX('Калькуляция (5.9)'!$AJ$25:$BC$192,,MATCH(BE$8,'Калькуляция (5.9)'!$AJ$8:$BC$8,0)),'Калькуляция (5.9)'!$F$25:$F$192,$F130,'Калькуляция (5.9)'!$G$25:$G$192,$G130))</f>
        <v>346</v>
      </c>
      <c r="BF130" s="2063">
        <f>IF(method_reg="Метод сравнения аналогов",_xlfn.SUMIFS(INDEX('Калькуляция (МСА)'!$AE$25:$BC$109,,MATCH(BF$8,'Калькуляция (МСА)'!$AE$8:$BC$8,0)),'Калькуляция (МСА)'!$F$25:$F$109,$F130,'Калькуляция (МСА)'!$G$25:$G$109,$G130),_xlfn.SUMIFS(INDEX('Калькуляция (5.9)'!$AJ$25:$BC$192,,MATCH(BF$8,'Калькуляция (5.9)'!$AJ$8:$BC$8,0)),'Калькуляция (5.9)'!$F$25:$F$192,$F130,'Калькуляция (5.9)'!$G$25:$G$192,$G130))</f>
        <v>0</v>
      </c>
      <c r="BG130" s="397">
        <f>IF(BE130=0,0,(BF130-BE130)/BE130*100)</f>
        <v>-100</v>
      </c>
      <c r="BH130" s="2063"/>
      <c r="BI130" s="2063"/>
      <c r="BJ130" s="397">
        <f>IF(BH130=0,0,(BI130-BH130)/BH130*100)</f>
        <v>0</v>
      </c>
      <c r="BK130" s="2063"/>
      <c r="BL130" s="2063"/>
      <c r="BM130" s="397">
        <f>IF(BK130=0,0,(BL130-BK130)/BK130*100)</f>
        <v>0</v>
      </c>
      <c r="BN130" s="2063"/>
      <c r="BO130" s="2063"/>
      <c r="BP130" s="397">
        <f>IF(BN130=0,0,(BO130-BN130)/BN130*100)</f>
        <v>0</v>
      </c>
      <c r="BQ130" s="2063"/>
      <c r="BR130" s="2063"/>
      <c r="BS130" s="397">
        <f>IF(BQ130=0,0,(BR130-BQ130)/BQ130*100)</f>
        <v>0</v>
      </c>
      <c r="BT130" s="2063"/>
      <c r="BU130" s="2063"/>
      <c r="BV130" s="397">
        <f>IF(BT130=0,0,(BU130-BT130)/BT130*100)</f>
        <v>0</v>
      </c>
      <c r="BW130" s="2063"/>
      <c r="BX130" s="2063"/>
      <c r="BY130" s="397">
        <f>IF(BW130=0,0,(BX130-BW130)/BW130*100)</f>
        <v>0</v>
      </c>
      <c r="BZ130" s="2063"/>
      <c r="CA130" s="2063"/>
      <c r="CB130" s="397">
        <f>IF(BZ130=0,0,(CA130-BZ130)/BZ130*100)</f>
        <v>0</v>
      </c>
      <c r="CC130" s="2063"/>
      <c r="CD130" s="2063"/>
      <c r="CE130" s="397">
        <f>IF(CC130=0,0,(CD130-CC130)/CC130*100)</f>
        <v>0</v>
      </c>
      <c r="CF130" s="2063"/>
      <c r="CG130" s="2063"/>
      <c r="CH130" s="397">
        <f>IF(CF130=0,0,(CG130-CF130)/CF130*100)</f>
        <v>0</v>
      </c>
      <c r="CI130" s="2063"/>
      <c r="CJ130" s="2063"/>
      <c r="CK130" s="397">
        <f>IF(CI130=0,0,(CJ130-CI130)/CI130*100)</f>
        <v>0</v>
      </c>
      <c r="CL130" s="2063"/>
      <c r="CM130" s="2063"/>
      <c r="CN130" s="397">
        <f>IF(CL130=0,0,(CM130-CL130)/CL130*100)</f>
        <v>0</v>
      </c>
      <c r="CO130" s="2063"/>
      <c r="CP130" s="2063"/>
      <c r="CQ130" s="397">
        <f>IF(CO130=0,0,(CP130-CO130)/CO130*100)</f>
        <v>0</v>
      </c>
      <c r="CR130" s="2063"/>
      <c r="CS130" s="2063"/>
      <c r="CT130" s="397">
        <f>IF(CR130=0,0,(CS130-CR130)/CR130*100)</f>
        <v>0</v>
      </c>
      <c r="CU130" s="2063"/>
      <c r="CV130" s="2063"/>
      <c r="CW130" s="397">
        <f>IF(CU130=0,0,(CV130-CU130)/CU130*100)</f>
        <v>0</v>
      </c>
      <c r="CX130" s="2063"/>
      <c r="CY130" s="2063"/>
      <c r="CZ130" s="397">
        <f>IF(CX130=0,0,(CY130-CX130)/CX130*100)</f>
        <v>0</v>
      </c>
      <c r="DA130" s="2063"/>
      <c r="DB130" s="2063"/>
      <c r="DC130" s="397">
        <f>IF(DA130=0,0,(DB130-DA130)/DA130*100)</f>
        <v>0</v>
      </c>
      <c r="DD130" s="2063"/>
      <c r="DE130" s="2063"/>
      <c r="DF130" s="397">
        <f>IF(DD130=0,0,(DE130-DD130)/DD130*100)</f>
        <v>0</v>
      </c>
      <c r="DG130" s="2063"/>
      <c r="DH130" s="2063"/>
      <c r="DI130" s="397">
        <f>IF(DG130=0,0,(DH130-DG130)/DG130*100)</f>
        <v>0</v>
      </c>
      <c r="DJ130" s="2063"/>
      <c r="DK130" s="2063"/>
      <c r="DL130" s="397">
        <f>IF(DJ130=0,0,(DK130-DJ130)/DJ130*100)</f>
        <v>0</v>
      </c>
      <c r="DM130" s="2063"/>
      <c r="DN130" s="2063"/>
      <c r="DO130" s="397">
        <f>IF(DM130=0,0,(DN130-DM130)/DM130*100)</f>
        <v>0</v>
      </c>
      <c r="DP130" s="2063"/>
      <c r="DQ130" s="2063"/>
      <c r="DR130" s="397">
        <f>IF(DP130=0,0,(DQ130-DP130)/DP130*100)</f>
        <v>0</v>
      </c>
      <c r="DS130" s="2063"/>
      <c r="DT130" s="2063"/>
      <c r="DU130" s="397">
        <f>IF(DS130=0,0,(DT130-DS130)/DS130*100)</f>
        <v>0</v>
      </c>
      <c r="DV130" s="2063"/>
      <c r="DW130" s="2063"/>
      <c r="DX130" s="397">
        <f>IF(DV130=0,0,(DW130-DV130)/DV130*100)</f>
        <v>0</v>
      </c>
      <c r="DY130" s="2063"/>
      <c r="DZ130" s="2063"/>
      <c r="EA130" s="397">
        <f>IF(DY130=0,0,(DZ130-DY130)/DY130*100)</f>
        <v>0</v>
      </c>
      <c r="EB130" s="2063"/>
      <c r="EC130" s="2063"/>
      <c r="ED130" s="397">
        <f>IF(EB130=0,0,(EC130-EB130)/EB130*100)</f>
        <v>0</v>
      </c>
      <c r="EE130" s="2063"/>
      <c r="EF130" s="2063"/>
      <c r="EG130" s="397">
        <f>IF(EE130=0,0,(EF130-EE130)/EE130*100)</f>
        <v>0</v>
      </c>
      <c r="EH130" s="2063"/>
      <c r="EI130" s="2063"/>
      <c r="EJ130" s="397">
        <f>IF(EH130=0,0,(EI130-EH130)/EH130*100)</f>
        <v>0</v>
      </c>
      <c r="EK130" s="2063"/>
      <c r="EL130" s="2063"/>
      <c r="EM130" s="397">
        <f>IF(EK130=0,0,(EL130-EK130)/EK130*100)</f>
        <v>0</v>
      </c>
      <c r="EN130" s="2063"/>
      <c r="EO130" s="2063"/>
      <c r="EP130" s="397">
        <f>IF(EN130=0,0,(EO130-EN130)/EN130*100)</f>
        <v>0</v>
      </c>
      <c r="EQ130" s="2063"/>
      <c r="ER130" s="2063"/>
      <c r="ES130" s="397">
        <f>IF(EQ130=0,0,(ER130-EQ130)/EQ130*100)</f>
        <v>0</v>
      </c>
      <c r="ET130" s="2063"/>
      <c r="EU130" s="2063"/>
      <c r="EV130" s="397">
        <f>IF(ET130=0,0,(EU130-ET130)/ET130*100)</f>
        <v>0</v>
      </c>
      <c r="EW130" s="2063"/>
      <c r="EX130" s="2063"/>
      <c r="EY130" s="397">
        <f>IF(EW130=0,0,(EX130-EW130)/EW130*100)</f>
        <v>0</v>
      </c>
      <c r="EZ130" s="2063"/>
      <c r="FA130" s="2063"/>
      <c r="FB130" s="397">
        <f>IF(EZ130=0,0,(FA130-EZ130)/EZ130*100)</f>
        <v>0</v>
      </c>
      <c r="FC130" s="2063"/>
      <c r="FD130" s="2063"/>
      <c r="FE130" s="397">
        <f>IF(FC130=0,0,(FD130-FC130)/FC130*100)</f>
        <v>0</v>
      </c>
      <c r="FF130" s="2063"/>
      <c r="FG130" s="2063"/>
      <c r="FH130" s="397">
        <f>IF(FF130=0,0,(FG130-FF130)/FF130*100)</f>
        <v>0</v>
      </c>
      <c r="FI130" s="2063"/>
      <c r="FJ130" s="2063"/>
      <c r="FK130" s="397">
        <f>IF(FI130=0,0,(FJ130-FI130)/FI130*100)</f>
        <v>0</v>
      </c>
      <c r="FL130" s="2063"/>
      <c r="FM130" s="2063"/>
      <c r="FN130" s="397">
        <f>IF(FL130=0,0,(FM130-FL130)/FL130*100)</f>
        <v>0</v>
      </c>
      <c r="FO130" s="2063"/>
      <c r="FP130" s="2063"/>
      <c r="FQ130" s="397">
        <f>IF(FO130=0,0,(FP130-FO130)/FO130*100)</f>
        <v>0</v>
      </c>
      <c r="FR130" s="2063"/>
      <c r="FS130" s="2063"/>
      <c r="FT130" s="397">
        <f>IF(FR130=0,0,(FS130-FR130)/FR130*100)</f>
        <v>0</v>
      </c>
      <c r="FU130" s="2063"/>
      <c r="FV130" s="2063"/>
      <c r="FW130" s="397">
        <f>IF(FU130=0,0,(FV130-FU130)/FU130*100)</f>
        <v>0</v>
      </c>
      <c r="FX130" s="497"/>
      <c r="FY130" s="497"/>
      <c r="FZ130" s="1181" t="s">
        <v>2107</v>
      </c>
      <c r="GA130" s="1181"/>
      <c r="GB130" s="1181"/>
      <c r="GC130" s="1181"/>
      <c r="GD130" s="1181"/>
    </row>
    <row s="2069" customFormat="1" customHeight="1" ht="16.5">
      <c r="A131" s="360"/>
      <c r="B131" s="961" cm="1" t="str">
        <f t="array" ref="B131:B131">B130</f>
        <v>true</v>
      </c>
      <c r="C131" s="1322" t="s">
        <v>2108</v>
      </c>
      <c r="D131" s="1291" t="s">
        <v>2109</v>
      </c>
      <c r="E131" s="794">
        <v>17.1</v>
      </c>
      <c r="F131" s="919" cm="1" t="str">
        <f t="array" ref="F131:F131">OFFSET(G131,-1,-1)</f>
        <v>2</v>
      </c>
      <c r="G131" s="360"/>
      <c r="H131" s="210" t="s">
        <v>493</v>
      </c>
      <c r="I131" s="210" t="s">
        <v>2110</v>
      </c>
      <c r="J131" s="1312" t="s">
        <v>2089</v>
      </c>
      <c r="K131" s="1312" cm="1" t="str">
        <f t="array" ref="K131:K131">OFFSET(J131,-1,1)</f>
        <v>ТЭ.42.26824396.0005</v>
      </c>
      <c r="L131" s="1312"/>
      <c r="M131" s="1312" t="s">
        <v>1724</v>
      </c>
      <c r="N131" s="1312" t="s">
        <v>2111</v>
      </c>
      <c r="O131" s="1313" t="s">
        <v>2112</v>
      </c>
      <c r="P131" s="1312"/>
      <c r="Q131" s="1312"/>
      <c r="R131" s="360"/>
      <c r="S131" s="360"/>
      <c r="T131" s="805" cm="1" t="str">
        <f t="array" ref="T131:T131">T130</f>
        <v>true</v>
      </c>
      <c r="U131" s="360"/>
      <c r="V131" s="360"/>
      <c r="W131" s="360"/>
      <c r="X131" s="360"/>
      <c r="Y131" s="360"/>
      <c r="Z131" s="360"/>
      <c r="AA131" s="360"/>
      <c r="AB131" s="1351" t="s">
        <v>2113</v>
      </c>
      <c r="AC131" s="361" t="s">
        <v>895</v>
      </c>
      <c r="AD131" s="2060">
        <f>IF(tax_system="ОСНО",AD125*Сценарии!AE$26,AD125)</f>
        <v>3581.1026</v>
      </c>
      <c r="AE131" s="2060">
        <f>IF(tax_system="ОСНО",AE125*Сценарии!AO$26,AE125)</f>
        <v>3581.1026</v>
      </c>
      <c r="AF131" s="363">
        <f>IF(AD131=0,0,(AE131-AD131)/AD131*100)</f>
        <v>0</v>
      </c>
      <c r="AG131" s="362">
        <f>IF(tax_system="ОСНО",AG125*Сценарии!AF$26,AG125)</f>
        <v>8438.92344670878</v>
      </c>
      <c r="AH131" s="362">
        <f>IF(tax_system="ОСНО",AH125*Сценарии!AP$26,AH125)</f>
        <v>3939.21809080042</v>
      </c>
      <c r="AI131" s="363">
        <f>IF(AG131=0,0,(AH131-AG131)/AG131*100)</f>
        <v>-53.3208457728487</v>
      </c>
      <c r="AJ131" s="362">
        <f>IF(tax_system="ОСНО",AJ125*Сценарии!AG$26,AJ125)</f>
        <v>8438.92344670882</v>
      </c>
      <c r="AK131" s="362">
        <f>IF(tax_system="ОСНО",AK125*Сценарии!AQ$26,AK125)</f>
        <v>5890.14976815737</v>
      </c>
      <c r="AL131" s="363">
        <f>IF(AJ131=0,0,(AK131-AJ131)/AJ131*100)</f>
        <v>-30.2025927198744</v>
      </c>
      <c r="AM131" s="362">
        <f>IF(tax_system="ОСНО",AM125*Сценарии!AH$26,AM125)</f>
        <v>8957.95103466592</v>
      </c>
      <c r="AN131" s="362">
        <f>IF(tax_system="ОСНО",AN125*Сценарии!AR$26,AN125)</f>
        <v>5890.14976815739</v>
      </c>
      <c r="AO131" s="363">
        <f>IF(AM131=0,0,(AN131-AM131)/AM131*100)</f>
        <v>-34.2466849242266</v>
      </c>
      <c r="AP131" s="362">
        <f>IF(tax_system="ОСНО",AP125*Сценарии!AI$26,AP125)</f>
        <v>8957.95103466589</v>
      </c>
      <c r="AQ131" s="362">
        <f>IF(tax_system="ОСНО",AQ125*Сценарии!AS$26,AQ125)</f>
        <v>6240.8421511646</v>
      </c>
      <c r="AR131" s="363">
        <f>IF(AP131=0,0,(AQ131-AP131)/AP131*100)</f>
        <v>-30.3318121854707</v>
      </c>
      <c r="AS131" s="2060">
        <f>IF(tax_system="ОСНО",AS125*Сценарии!AJ$26,AS125)</f>
        <v>0</v>
      </c>
      <c r="AT131" s="2060">
        <f>IF(tax_system="ОСНО",AT125*Сценарии!AT$26,AT125)</f>
        <v>0</v>
      </c>
      <c r="AU131" s="363">
        <f>IF(AS131=0,0,(AT131-AS131)/AS131*100)</f>
        <v>0</v>
      </c>
      <c r="AV131" s="2060">
        <f>IF(tax_system="ОСНО",AV125*Сценарии!AK$26,AV125)</f>
        <v>0</v>
      </c>
      <c r="AW131" s="2060">
        <f>IF(tax_system="ОСНО",AW125*Сценарии!AU$26,AW125)</f>
        <v>0</v>
      </c>
      <c r="AX131" s="363">
        <f>IF(AV131=0,0,(AW131-AV131)/AV131*100)</f>
        <v>0</v>
      </c>
      <c r="AY131" s="2060">
        <f>IF(tax_system="ОСНО",AY125*Сценарии!AL$26,AY125)</f>
        <v>0</v>
      </c>
      <c r="AZ131" s="2060">
        <f>IF(tax_system="ОСНО",AZ125*Сценарии!AV$26,AZ125)</f>
        <v>0</v>
      </c>
      <c r="BA131" s="363">
        <f>IF(AY131=0,0,(AZ131-AY131)/AY131*100)</f>
        <v>0</v>
      </c>
      <c r="BB131" s="2060">
        <f>IF(tax_system="ОСНО",BB125*Сценарии!AM$26,BB125)</f>
        <v>0</v>
      </c>
      <c r="BC131" s="2060">
        <f>IF(tax_system="ОСНО",BC125*Сценарии!AW$26,BC125)</f>
        <v>0</v>
      </c>
      <c r="BD131" s="363">
        <f>IF(BB131=0,0,(BC131-BB131)/BB131*100)</f>
        <v>0</v>
      </c>
      <c r="BE131" s="2060">
        <f>IF(tax_system="ОСНО",BE125*Сценарии!AN$26,BE125)</f>
        <v>0</v>
      </c>
      <c r="BF131" s="2060">
        <f>IF(tax_system="ОСНО",BF125*Сценарии!AX$26,BF125)</f>
        <v>0</v>
      </c>
      <c r="BG131" s="363">
        <f>IF(BE131=0,0,(BF131-BE131)/BE131*100)</f>
        <v>0</v>
      </c>
      <c r="BH131" s="2060"/>
      <c r="BI131" s="2060"/>
      <c r="BJ131" s="363">
        <f>IF(BH131=0,0,(BI131-BH131)/BH131*100)</f>
        <v>0</v>
      </c>
      <c r="BK131" s="2060"/>
      <c r="BL131" s="2060"/>
      <c r="BM131" s="363">
        <f>IF(BK131=0,0,(BL131-BK131)/BK131*100)</f>
        <v>0</v>
      </c>
      <c r="BN131" s="2060"/>
      <c r="BO131" s="2060"/>
      <c r="BP131" s="363">
        <f>IF(BN131=0,0,(BO131-BN131)/BN131*100)</f>
        <v>0</v>
      </c>
      <c r="BQ131" s="2060"/>
      <c r="BR131" s="2060"/>
      <c r="BS131" s="363">
        <f>IF(BQ131=0,0,(BR131-BQ131)/BQ131*100)</f>
        <v>0</v>
      </c>
      <c r="BT131" s="2060"/>
      <c r="BU131" s="2060"/>
      <c r="BV131" s="363">
        <f>IF(BT131=0,0,(BU131-BT131)/BT131*100)</f>
        <v>0</v>
      </c>
      <c r="BW131" s="2060"/>
      <c r="BX131" s="2060"/>
      <c r="BY131" s="363">
        <f>IF(BW131=0,0,(BX131-BW131)/BW131*100)</f>
        <v>0</v>
      </c>
      <c r="BZ131" s="2060"/>
      <c r="CA131" s="2060"/>
      <c r="CB131" s="363">
        <f>IF(BZ131=0,0,(CA131-BZ131)/BZ131*100)</f>
        <v>0</v>
      </c>
      <c r="CC131" s="2060"/>
      <c r="CD131" s="2060"/>
      <c r="CE131" s="363">
        <f>IF(CC131=0,0,(CD131-CC131)/CC131*100)</f>
        <v>0</v>
      </c>
      <c r="CF131" s="2060"/>
      <c r="CG131" s="2060"/>
      <c r="CH131" s="363">
        <f>IF(CF131=0,0,(CG131-CF131)/CF131*100)</f>
        <v>0</v>
      </c>
      <c r="CI131" s="2060"/>
      <c r="CJ131" s="2060"/>
      <c r="CK131" s="363">
        <f>IF(CI131=0,0,(CJ131-CI131)/CI131*100)</f>
        <v>0</v>
      </c>
      <c r="CL131" s="2060"/>
      <c r="CM131" s="2060"/>
      <c r="CN131" s="363">
        <f>IF(CL131=0,0,(CM131-CL131)/CL131*100)</f>
        <v>0</v>
      </c>
      <c r="CO131" s="2060"/>
      <c r="CP131" s="2060"/>
      <c r="CQ131" s="363">
        <f>IF(CO131=0,0,(CP131-CO131)/CO131*100)</f>
        <v>0</v>
      </c>
      <c r="CR131" s="2060"/>
      <c r="CS131" s="2060"/>
      <c r="CT131" s="363">
        <f>IF(CR131=0,0,(CS131-CR131)/CR131*100)</f>
        <v>0</v>
      </c>
      <c r="CU131" s="2060"/>
      <c r="CV131" s="2060"/>
      <c r="CW131" s="363">
        <f>IF(CU131=0,0,(CV131-CU131)/CU131*100)</f>
        <v>0</v>
      </c>
      <c r="CX131" s="2060"/>
      <c r="CY131" s="2060"/>
      <c r="CZ131" s="363">
        <f>IF(CX131=0,0,(CY131-CX131)/CX131*100)</f>
        <v>0</v>
      </c>
      <c r="DA131" s="2060"/>
      <c r="DB131" s="2060"/>
      <c r="DC131" s="363">
        <f>IF(DA131=0,0,(DB131-DA131)/DA131*100)</f>
        <v>0</v>
      </c>
      <c r="DD131" s="2060"/>
      <c r="DE131" s="2060"/>
      <c r="DF131" s="363">
        <f>IF(DD131=0,0,(DE131-DD131)/DD131*100)</f>
        <v>0</v>
      </c>
      <c r="DG131" s="2060"/>
      <c r="DH131" s="2060"/>
      <c r="DI131" s="363">
        <f>IF(DG131=0,0,(DH131-DG131)/DG131*100)</f>
        <v>0</v>
      </c>
      <c r="DJ131" s="2060"/>
      <c r="DK131" s="2060"/>
      <c r="DL131" s="363">
        <f>IF(DJ131=0,0,(DK131-DJ131)/DJ131*100)</f>
        <v>0</v>
      </c>
      <c r="DM131" s="2060"/>
      <c r="DN131" s="2060"/>
      <c r="DO131" s="363">
        <f>IF(DM131=0,0,(DN131-DM131)/DM131*100)</f>
        <v>0</v>
      </c>
      <c r="DP131" s="2060"/>
      <c r="DQ131" s="2060"/>
      <c r="DR131" s="363">
        <f>IF(DP131=0,0,(DQ131-DP131)/DP131*100)</f>
        <v>0</v>
      </c>
      <c r="DS131" s="2060"/>
      <c r="DT131" s="2060"/>
      <c r="DU131" s="363">
        <f>IF(DS131=0,0,(DT131-DS131)/DS131*100)</f>
        <v>0</v>
      </c>
      <c r="DV131" s="2060"/>
      <c r="DW131" s="2060"/>
      <c r="DX131" s="363">
        <f>IF(DV131=0,0,(DW131-DV131)/DV131*100)</f>
        <v>0</v>
      </c>
      <c r="DY131" s="2060"/>
      <c r="DZ131" s="2060"/>
      <c r="EA131" s="363">
        <f>IF(DY131=0,0,(DZ131-DY131)/DY131*100)</f>
        <v>0</v>
      </c>
      <c r="EB131" s="2060"/>
      <c r="EC131" s="2060"/>
      <c r="ED131" s="363">
        <f>IF(EB131=0,0,(EC131-EB131)/EB131*100)</f>
        <v>0</v>
      </c>
      <c r="EE131" s="2060"/>
      <c r="EF131" s="2060"/>
      <c r="EG131" s="363">
        <f>IF(EE131=0,0,(EF131-EE131)/EE131*100)</f>
        <v>0</v>
      </c>
      <c r="EH131" s="2060"/>
      <c r="EI131" s="2060"/>
      <c r="EJ131" s="363">
        <f>IF(EH131=0,0,(EI131-EH131)/EH131*100)</f>
        <v>0</v>
      </c>
      <c r="EK131" s="2060"/>
      <c r="EL131" s="2060"/>
      <c r="EM131" s="363">
        <f>IF(EK131=0,0,(EL131-EK131)/EK131*100)</f>
        <v>0</v>
      </c>
      <c r="EN131" s="2060"/>
      <c r="EO131" s="2060"/>
      <c r="EP131" s="363">
        <f>IF(EN131=0,0,(EO131-EN131)/EN131*100)</f>
        <v>0</v>
      </c>
      <c r="EQ131" s="2060"/>
      <c r="ER131" s="2060"/>
      <c r="ES131" s="363">
        <f>IF(EQ131=0,0,(ER131-EQ131)/EQ131*100)</f>
        <v>0</v>
      </c>
      <c r="ET131" s="2060"/>
      <c r="EU131" s="2060"/>
      <c r="EV131" s="363">
        <f>IF(ET131=0,0,(EU131-ET131)/ET131*100)</f>
        <v>0</v>
      </c>
      <c r="EW131" s="2060"/>
      <c r="EX131" s="2060"/>
      <c r="EY131" s="363">
        <f>IF(EW131=0,0,(EX131-EW131)/EW131*100)</f>
        <v>0</v>
      </c>
      <c r="EZ131" s="2060"/>
      <c r="FA131" s="2060"/>
      <c r="FB131" s="363">
        <f>IF(EZ131=0,0,(FA131-EZ131)/EZ131*100)</f>
        <v>0</v>
      </c>
      <c r="FC131" s="2060"/>
      <c r="FD131" s="2060"/>
      <c r="FE131" s="363">
        <f>IF(FC131=0,0,(FD131-FC131)/FC131*100)</f>
        <v>0</v>
      </c>
      <c r="FF131" s="2060"/>
      <c r="FG131" s="2060"/>
      <c r="FH131" s="363">
        <f>IF(FF131=0,0,(FG131-FF131)/FF131*100)</f>
        <v>0</v>
      </c>
      <c r="FI131" s="2060"/>
      <c r="FJ131" s="2060"/>
      <c r="FK131" s="363">
        <f>IF(FI131=0,0,(FJ131-FI131)/FI131*100)</f>
        <v>0</v>
      </c>
      <c r="FL131" s="2060"/>
      <c r="FM131" s="2060"/>
      <c r="FN131" s="363">
        <f>IF(FL131=0,0,(FM131-FL131)/FL131*100)</f>
        <v>0</v>
      </c>
      <c r="FO131" s="2060"/>
      <c r="FP131" s="2060"/>
      <c r="FQ131" s="363">
        <f>IF(FO131=0,0,(FP131-FO131)/FO131*100)</f>
        <v>0</v>
      </c>
      <c r="FR131" s="2060"/>
      <c r="FS131" s="2060"/>
      <c r="FT131" s="363">
        <f>IF(FR131=0,0,(FS131-FR131)/FR131*100)</f>
        <v>0</v>
      </c>
      <c r="FU131" s="2060"/>
      <c r="FV131" s="2060"/>
      <c r="FW131" s="363">
        <f>IF(FU131=0,0,(FV131-FU131)/FU131*100)</f>
        <v>0</v>
      </c>
      <c r="FX131" s="360"/>
      <c r="FY131" s="360"/>
      <c r="FZ131" s="1181" t="s">
        <v>2114</v>
      </c>
      <c r="GA131" s="1181"/>
      <c r="GB131" s="1181"/>
      <c r="GC131" s="1181"/>
      <c r="GD131" s="1181"/>
    </row>
    <row s="2070" customFormat="1" customHeight="1" ht="16.5">
      <c r="A132" s="360"/>
      <c r="B132" s="961" cm="1" t="str">
        <f t="array" ref="B132:B132">B131</f>
        <v>true</v>
      </c>
      <c r="C132" s="1322" t="s">
        <v>2108</v>
      </c>
      <c r="D132" s="1291" t="s">
        <v>2109</v>
      </c>
      <c r="E132" s="794">
        <v>17.1</v>
      </c>
      <c r="F132" s="919" cm="1" t="str">
        <f t="array" ref="F132:F132">OFFSET(G132,-1,-1)</f>
        <v>2</v>
      </c>
      <c r="G132" s="360"/>
      <c r="H132" s="210" t="s">
        <v>493</v>
      </c>
      <c r="I132" s="210" t="s">
        <v>2115</v>
      </c>
      <c r="J132" s="1312" t="s">
        <v>2089</v>
      </c>
      <c r="K132" s="1312" cm="1" t="str">
        <f t="array" ref="K132:K132">OFFSET(J132,-1,1)</f>
        <v>ТЭ.42.26824396.0005</v>
      </c>
      <c r="L132" s="1312"/>
      <c r="M132" s="1312" t="s">
        <v>1733</v>
      </c>
      <c r="N132" s="1312" t="s">
        <v>2111</v>
      </c>
      <c r="O132" s="1313" t="s">
        <v>2112</v>
      </c>
      <c r="P132" s="1312"/>
      <c r="Q132" s="1312"/>
      <c r="R132" s="360"/>
      <c r="S132" s="360"/>
      <c r="T132" s="805" cm="1" t="str">
        <f t="array" ref="T132:T132">T131</f>
        <v>true</v>
      </c>
      <c r="U132" s="360"/>
      <c r="V132" s="360"/>
      <c r="W132" s="360"/>
      <c r="X132" s="360"/>
      <c r="Y132" s="360"/>
      <c r="Z132" s="360"/>
      <c r="AA132" s="360"/>
      <c r="AB132" s="1351" t="s">
        <v>2116</v>
      </c>
      <c r="AC132" s="361" t="s">
        <v>895</v>
      </c>
      <c r="AD132" s="2060">
        <f>IF(tax_system="ОСНО",AD126*Сценарии!AE$26,AD126)</f>
        <v>15408.539</v>
      </c>
      <c r="AE132" s="2060">
        <f>IF(tax_system="ОСНО",AE126*Сценарии!AO$26,AE126)</f>
        <v>3939.21809080042</v>
      </c>
      <c r="AF132" s="363">
        <f>IF(AD132=0,0,(AE132-AD132)/AD132*100)</f>
        <v>-74.4348371328364</v>
      </c>
      <c r="AG132" s="362">
        <f>IF(tax_system="ОСНО",AG126*Сценарии!AF$26,AG126)</f>
        <v>8438.92344670882</v>
      </c>
      <c r="AH132" s="362">
        <f>IF(tax_system="ОСНО",AH126*Сценарии!AP$26,AH126)</f>
        <v>12269.7771766598</v>
      </c>
      <c r="AI132" s="363">
        <f>IF(AG132=0,0,(AH132-AG132)/AG132*100)</f>
        <v>45.3950525104599</v>
      </c>
      <c r="AJ132" s="362">
        <f>IF(tax_system="ОСНО",AJ126*Сценарии!AG$26,AJ126)</f>
        <v>9521.72155568769</v>
      </c>
      <c r="AK132" s="362">
        <f>IF(tax_system="ОСНО",AK126*Сценарии!AQ$26,AK126)</f>
        <v>5890.14976815739</v>
      </c>
      <c r="AL132" s="363">
        <f>IF(AJ132=0,0,(AK132-AJ132)/AJ132*100)</f>
        <v>-38.139865425502</v>
      </c>
      <c r="AM132" s="362">
        <f>IF(tax_system="ОСНО",AM126*Сценарии!AH$26,AM126)</f>
        <v>8957.95103466589</v>
      </c>
      <c r="AN132" s="362">
        <f>IF(tax_system="ОСНО",AN126*Сценарии!AR$26,AN126)</f>
        <v>6579.94195707399</v>
      </c>
      <c r="AO132" s="363">
        <f>IF(AM132=0,0,(AN132-AM132)/AM132*100)</f>
        <v>-26.5463504811465</v>
      </c>
      <c r="AP132" s="362">
        <f>IF(tax_system="ОСНО",AP126*Сценарии!AI$26,AP126)</f>
        <v>10045.7420118296</v>
      </c>
      <c r="AQ132" s="362">
        <f>IF(tax_system="ОСНО",AQ126*Сценарии!AS$26,AQ126)</f>
        <v>6240.8421511646</v>
      </c>
      <c r="AR132" s="363">
        <f>IF(AP132=0,0,(AQ132-AP132)/AP132*100)</f>
        <v>-37.8757473184604</v>
      </c>
      <c r="AS132" s="2060">
        <f>IF(tax_system="ОСНО",AS126*Сценарии!AJ$26,AS126)</f>
        <v>0</v>
      </c>
      <c r="AT132" s="2060">
        <f>IF(tax_system="ОСНО",AT126*Сценарии!AT$26,AT126)</f>
        <v>0</v>
      </c>
      <c r="AU132" s="363">
        <f>IF(AS132=0,0,(AT132-AS132)/AS132*100)</f>
        <v>0</v>
      </c>
      <c r="AV132" s="2060">
        <f>IF(tax_system="ОСНО",AV126*Сценарии!AK$26,AV126)</f>
        <v>0</v>
      </c>
      <c r="AW132" s="2060">
        <f>IF(tax_system="ОСНО",AW126*Сценарии!AU$26,AW126)</f>
        <v>0</v>
      </c>
      <c r="AX132" s="363">
        <f>IF(AV132=0,0,(AW132-AV132)/AV132*100)</f>
        <v>0</v>
      </c>
      <c r="AY132" s="2060">
        <f>IF(tax_system="ОСНО",AY126*Сценарии!AL$26,AY126)</f>
        <v>0</v>
      </c>
      <c r="AZ132" s="2060">
        <f>IF(tax_system="ОСНО",AZ126*Сценарии!AV$26,AZ126)</f>
        <v>0</v>
      </c>
      <c r="BA132" s="363">
        <f>IF(AY132=0,0,(AZ132-AY132)/AY132*100)</f>
        <v>0</v>
      </c>
      <c r="BB132" s="2060">
        <f>IF(tax_system="ОСНО",BB126*Сценарии!AM$26,BB126)</f>
        <v>0</v>
      </c>
      <c r="BC132" s="2060">
        <f>IF(tax_system="ОСНО",BC126*Сценарии!AW$26,BC126)</f>
        <v>0</v>
      </c>
      <c r="BD132" s="363">
        <f>IF(BB132=0,0,(BC132-BB132)/BB132*100)</f>
        <v>0</v>
      </c>
      <c r="BE132" s="2060">
        <f>IF(tax_system="ОСНО",BE126*Сценарии!AN$26,BE126)</f>
        <v>0</v>
      </c>
      <c r="BF132" s="2060">
        <f>IF(tax_system="ОСНО",BF126*Сценарии!AX$26,BF126)</f>
        <v>0</v>
      </c>
      <c r="BG132" s="363">
        <f>IF(BE132=0,0,(BF132-BE132)/BE132*100)</f>
        <v>0</v>
      </c>
      <c r="BH132" s="2060"/>
      <c r="BI132" s="2060"/>
      <c r="BJ132" s="363">
        <f>IF(BH132=0,0,(BI132-BH132)/BH132*100)</f>
        <v>0</v>
      </c>
      <c r="BK132" s="2060"/>
      <c r="BL132" s="2060"/>
      <c r="BM132" s="363">
        <f>IF(BK132=0,0,(BL132-BK132)/BK132*100)</f>
        <v>0</v>
      </c>
      <c r="BN132" s="2060"/>
      <c r="BO132" s="2060"/>
      <c r="BP132" s="363">
        <f>IF(BN132=0,0,(BO132-BN132)/BN132*100)</f>
        <v>0</v>
      </c>
      <c r="BQ132" s="2060"/>
      <c r="BR132" s="2060"/>
      <c r="BS132" s="363">
        <f>IF(BQ132=0,0,(BR132-BQ132)/BQ132*100)</f>
        <v>0</v>
      </c>
      <c r="BT132" s="2060"/>
      <c r="BU132" s="2060"/>
      <c r="BV132" s="363">
        <f>IF(BT132=0,0,(BU132-BT132)/BT132*100)</f>
        <v>0</v>
      </c>
      <c r="BW132" s="2060"/>
      <c r="BX132" s="2060"/>
      <c r="BY132" s="363">
        <f>IF(BW132=0,0,(BX132-BW132)/BW132*100)</f>
        <v>0</v>
      </c>
      <c r="BZ132" s="2060"/>
      <c r="CA132" s="2060"/>
      <c r="CB132" s="363">
        <f>IF(BZ132=0,0,(CA132-BZ132)/BZ132*100)</f>
        <v>0</v>
      </c>
      <c r="CC132" s="2060"/>
      <c r="CD132" s="2060"/>
      <c r="CE132" s="363">
        <f>IF(CC132=0,0,(CD132-CC132)/CC132*100)</f>
        <v>0</v>
      </c>
      <c r="CF132" s="2060"/>
      <c r="CG132" s="2060"/>
      <c r="CH132" s="363">
        <f>IF(CF132=0,0,(CG132-CF132)/CF132*100)</f>
        <v>0</v>
      </c>
      <c r="CI132" s="2060"/>
      <c r="CJ132" s="2060"/>
      <c r="CK132" s="363">
        <f>IF(CI132=0,0,(CJ132-CI132)/CI132*100)</f>
        <v>0</v>
      </c>
      <c r="CL132" s="2060"/>
      <c r="CM132" s="2060"/>
      <c r="CN132" s="363">
        <f>IF(CL132=0,0,(CM132-CL132)/CL132*100)</f>
        <v>0</v>
      </c>
      <c r="CO132" s="2060"/>
      <c r="CP132" s="2060"/>
      <c r="CQ132" s="363">
        <f>IF(CO132=0,0,(CP132-CO132)/CO132*100)</f>
        <v>0</v>
      </c>
      <c r="CR132" s="2060"/>
      <c r="CS132" s="2060"/>
      <c r="CT132" s="363">
        <f>IF(CR132=0,0,(CS132-CR132)/CR132*100)</f>
        <v>0</v>
      </c>
      <c r="CU132" s="2060"/>
      <c r="CV132" s="2060"/>
      <c r="CW132" s="363">
        <f>IF(CU132=0,0,(CV132-CU132)/CU132*100)</f>
        <v>0</v>
      </c>
      <c r="CX132" s="2060"/>
      <c r="CY132" s="2060"/>
      <c r="CZ132" s="363">
        <f>IF(CX132=0,0,(CY132-CX132)/CX132*100)</f>
        <v>0</v>
      </c>
      <c r="DA132" s="2060"/>
      <c r="DB132" s="2060"/>
      <c r="DC132" s="363">
        <f>IF(DA132=0,0,(DB132-DA132)/DA132*100)</f>
        <v>0</v>
      </c>
      <c r="DD132" s="2060"/>
      <c r="DE132" s="2060"/>
      <c r="DF132" s="363">
        <f>IF(DD132=0,0,(DE132-DD132)/DD132*100)</f>
        <v>0</v>
      </c>
      <c r="DG132" s="2060"/>
      <c r="DH132" s="2060"/>
      <c r="DI132" s="363">
        <f>IF(DG132=0,0,(DH132-DG132)/DG132*100)</f>
        <v>0</v>
      </c>
      <c r="DJ132" s="2060"/>
      <c r="DK132" s="2060"/>
      <c r="DL132" s="363">
        <f>IF(DJ132=0,0,(DK132-DJ132)/DJ132*100)</f>
        <v>0</v>
      </c>
      <c r="DM132" s="2060"/>
      <c r="DN132" s="2060"/>
      <c r="DO132" s="363">
        <f>IF(DM132=0,0,(DN132-DM132)/DM132*100)</f>
        <v>0</v>
      </c>
      <c r="DP132" s="2060"/>
      <c r="DQ132" s="2060"/>
      <c r="DR132" s="363">
        <f>IF(DP132=0,0,(DQ132-DP132)/DP132*100)</f>
        <v>0</v>
      </c>
      <c r="DS132" s="2060"/>
      <c r="DT132" s="2060"/>
      <c r="DU132" s="363">
        <f>IF(DS132=0,0,(DT132-DS132)/DS132*100)</f>
        <v>0</v>
      </c>
      <c r="DV132" s="2060"/>
      <c r="DW132" s="2060"/>
      <c r="DX132" s="363">
        <f>IF(DV132=0,0,(DW132-DV132)/DV132*100)</f>
        <v>0</v>
      </c>
      <c r="DY132" s="2060"/>
      <c r="DZ132" s="2060"/>
      <c r="EA132" s="363">
        <f>IF(DY132=0,0,(DZ132-DY132)/DY132*100)</f>
        <v>0</v>
      </c>
      <c r="EB132" s="2060"/>
      <c r="EC132" s="2060"/>
      <c r="ED132" s="363">
        <f>IF(EB132=0,0,(EC132-EB132)/EB132*100)</f>
        <v>0</v>
      </c>
      <c r="EE132" s="2060"/>
      <c r="EF132" s="2060"/>
      <c r="EG132" s="363">
        <f>IF(EE132=0,0,(EF132-EE132)/EE132*100)</f>
        <v>0</v>
      </c>
      <c r="EH132" s="2060"/>
      <c r="EI132" s="2060"/>
      <c r="EJ132" s="363">
        <f>IF(EH132=0,0,(EI132-EH132)/EH132*100)</f>
        <v>0</v>
      </c>
      <c r="EK132" s="2060"/>
      <c r="EL132" s="2060"/>
      <c r="EM132" s="363">
        <f>IF(EK132=0,0,(EL132-EK132)/EK132*100)</f>
        <v>0</v>
      </c>
      <c r="EN132" s="2060"/>
      <c r="EO132" s="2060"/>
      <c r="EP132" s="363">
        <f>IF(EN132=0,0,(EO132-EN132)/EN132*100)</f>
        <v>0</v>
      </c>
      <c r="EQ132" s="2060"/>
      <c r="ER132" s="2060"/>
      <c r="ES132" s="363">
        <f>IF(EQ132=0,0,(ER132-EQ132)/EQ132*100)</f>
        <v>0</v>
      </c>
      <c r="ET132" s="2060"/>
      <c r="EU132" s="2060"/>
      <c r="EV132" s="363">
        <f>IF(ET132=0,0,(EU132-ET132)/ET132*100)</f>
        <v>0</v>
      </c>
      <c r="EW132" s="2060"/>
      <c r="EX132" s="2060"/>
      <c r="EY132" s="363">
        <f>IF(EW132=0,0,(EX132-EW132)/EW132*100)</f>
        <v>0</v>
      </c>
      <c r="EZ132" s="2060"/>
      <c r="FA132" s="2060"/>
      <c r="FB132" s="363">
        <f>IF(EZ132=0,0,(FA132-EZ132)/EZ132*100)</f>
        <v>0</v>
      </c>
      <c r="FC132" s="2060"/>
      <c r="FD132" s="2060"/>
      <c r="FE132" s="363">
        <f>IF(FC132=0,0,(FD132-FC132)/FC132*100)</f>
        <v>0</v>
      </c>
      <c r="FF132" s="2060"/>
      <c r="FG132" s="2060"/>
      <c r="FH132" s="363">
        <f>IF(FF132=0,0,(FG132-FF132)/FF132*100)</f>
        <v>0</v>
      </c>
      <c r="FI132" s="2060"/>
      <c r="FJ132" s="2060"/>
      <c r="FK132" s="363">
        <f>IF(FI132=0,0,(FJ132-FI132)/FI132*100)</f>
        <v>0</v>
      </c>
      <c r="FL132" s="2060"/>
      <c r="FM132" s="2060"/>
      <c r="FN132" s="363">
        <f>IF(FL132=0,0,(FM132-FL132)/FL132*100)</f>
        <v>0</v>
      </c>
      <c r="FO132" s="2060"/>
      <c r="FP132" s="2060"/>
      <c r="FQ132" s="363">
        <f>IF(FO132=0,0,(FP132-FO132)/FO132*100)</f>
        <v>0</v>
      </c>
      <c r="FR132" s="2060"/>
      <c r="FS132" s="2060"/>
      <c r="FT132" s="363">
        <f>IF(FR132=0,0,(FS132-FR132)/FR132*100)</f>
        <v>0</v>
      </c>
      <c r="FU132" s="2060"/>
      <c r="FV132" s="2060"/>
      <c r="FW132" s="363">
        <f>IF(FU132=0,0,(FV132-FU132)/FU132*100)</f>
        <v>0</v>
      </c>
      <c r="FX132" s="360"/>
      <c r="FY132" s="360"/>
      <c r="FZ132" s="1181" t="s">
        <v>2117</v>
      </c>
      <c r="GA132" s="1181"/>
      <c r="GB132" s="1181"/>
      <c r="GC132" s="1181"/>
      <c r="GD132" s="1181"/>
    </row>
    <row s="1619" customFormat="1" customHeight="1" ht="16.5">
      <c r="A133" s="1461"/>
      <c r="B133" s="961" cm="1" t="str">
        <f t="array" ref="B133:B133">B132</f>
        <v>true</v>
      </c>
      <c r="C133" s="1322" t="s">
        <v>1739</v>
      </c>
      <c r="D133" s="1291" t="s">
        <v>1740</v>
      </c>
      <c r="E133" s="794">
        <v>17.1</v>
      </c>
      <c r="F133" s="919" cm="1" t="str">
        <f t="array" ref="F133:F133">OFFSET(G133,-1,-1)</f>
        <v>2</v>
      </c>
      <c r="G133" s="497"/>
      <c r="H133" s="210" t="s">
        <v>496</v>
      </c>
      <c r="I133" s="210" t="s">
        <v>2118</v>
      </c>
      <c r="J133" s="1312" t="s">
        <v>2089</v>
      </c>
      <c r="K133" s="1312" cm="1" t="str">
        <f t="array" ref="K133:K133">OFFSET(J133,-1,1)</f>
        <v>ТЭ.42.26824396.0005</v>
      </c>
      <c r="L133" s="1312" t="s">
        <v>2099</v>
      </c>
      <c r="M133" s="1312"/>
      <c r="N133" s="1312" t="s">
        <v>2111</v>
      </c>
      <c r="O133" s="1313" t="s">
        <v>2112</v>
      </c>
      <c r="P133" s="1312"/>
      <c r="Q133" s="1312"/>
      <c r="R133" s="925"/>
      <c r="S133" s="497"/>
      <c r="T133" s="805" cm="1" t="str">
        <f t="array" ref="T133:T133">T132</f>
        <v>true</v>
      </c>
      <c r="U133" s="1461"/>
      <c r="V133" s="1461"/>
      <c r="W133" s="1461"/>
      <c r="X133" s="1461"/>
      <c r="Y133" s="1461"/>
      <c r="Z133" s="1461"/>
      <c r="AA133" s="497"/>
      <c r="AB133" s="1057" t="s">
        <v>2100</v>
      </c>
      <c r="AC133" s="169" t="s">
        <v>490</v>
      </c>
      <c r="AD133" s="1041">
        <f>IF(AD131=0,0,AD132/AD131)</f>
        <v>4.30273597857822</v>
      </c>
      <c r="AE133" s="1041">
        <f>IF(AE131=0,0,AE132/AE131)</f>
        <v>1.10000146066757</v>
      </c>
      <c r="AF133" s="397"/>
      <c r="AG133" s="1041">
        <f>IF(AG131=0,0,AG132/AG131)</f>
        <v>1</v>
      </c>
      <c r="AH133" s="1041">
        <f>IF(AH131=0,0,AH132/AH131)</f>
        <v>3.11477478368472</v>
      </c>
      <c r="AI133" s="397"/>
      <c r="AJ133" s="1041">
        <f>IF(AJ131=0,0,AJ132/AJ131)</f>
        <v>1.12830998122174</v>
      </c>
      <c r="AK133" s="1041">
        <f>IF(AK131=0,0,AK132/AK131)</f>
        <v>1</v>
      </c>
      <c r="AL133" s="397"/>
      <c r="AM133" s="1041">
        <f>IF(AM131=0,0,AM132/AM131)</f>
        <v>1</v>
      </c>
      <c r="AN133" s="1041">
        <f>IF(AN131=0,0,AN132/AN131)</f>
        <v>1.11710944815795</v>
      </c>
      <c r="AO133" s="397"/>
      <c r="AP133" s="1041">
        <f>IF(AP131=0,0,AP132/AP131)</f>
        <v>1.12143301218706</v>
      </c>
      <c r="AQ133" s="1041">
        <f>IF(AQ131=0,0,AQ132/AQ131)</f>
        <v>1</v>
      </c>
      <c r="AR133" s="397"/>
      <c r="AS133" s="1041">
        <f>IF(AS131=0,0,AS132/AS131)</f>
        <v>0</v>
      </c>
      <c r="AT133" s="1041">
        <f>IF(AT131=0,0,AT132/AT131)</f>
        <v>0</v>
      </c>
      <c r="AU133" s="397"/>
      <c r="AV133" s="1041">
        <f>IF(AV131=0,0,AV132/AV131)</f>
        <v>0</v>
      </c>
      <c r="AW133" s="1041">
        <f>IF(AW131=0,0,AW132/AW131)</f>
        <v>0</v>
      </c>
      <c r="AX133" s="397"/>
      <c r="AY133" s="1041">
        <f>IF(AY131=0,0,AY132/AY131)</f>
        <v>0</v>
      </c>
      <c r="AZ133" s="1041">
        <f>IF(AZ131=0,0,AZ132/AZ131)</f>
        <v>0</v>
      </c>
      <c r="BA133" s="397"/>
      <c r="BB133" s="1041">
        <f>IF(BB131=0,0,BB132/BB131)</f>
        <v>0</v>
      </c>
      <c r="BC133" s="1041">
        <f>IF(BC131=0,0,BC132/BC131)</f>
        <v>0</v>
      </c>
      <c r="BD133" s="397"/>
      <c r="BE133" s="1041">
        <f>IF(BE131=0,0,BE132/BE131)</f>
        <v>0</v>
      </c>
      <c r="BF133" s="1041">
        <f>IF(BF131=0,0,BF132/BF131)</f>
        <v>0</v>
      </c>
      <c r="BG133" s="397"/>
      <c r="BH133" s="1041">
        <f>IF(BH131=0,0,BH132/BH131)</f>
        <v>0</v>
      </c>
      <c r="BI133" s="1041">
        <f>IF(BI131=0,0,BI132/BI131)</f>
        <v>0</v>
      </c>
      <c r="BJ133" s="365"/>
      <c r="BK133" s="1041">
        <f>IF(BK131=0,0,BK132/BK131)</f>
        <v>0</v>
      </c>
      <c r="BL133" s="1041">
        <f>IF(BL131=0,0,BL132/BL131)</f>
        <v>0</v>
      </c>
      <c r="BM133" s="365"/>
      <c r="BN133" s="1041">
        <f>IF(BN131=0,0,BN132/BN131)</f>
        <v>0</v>
      </c>
      <c r="BO133" s="1041">
        <f>IF(BO131=0,0,BO132/BO131)</f>
        <v>0</v>
      </c>
      <c r="BP133" s="365"/>
      <c r="BQ133" s="1041">
        <f>IF(BQ131=0,0,BQ132/BQ131)</f>
        <v>0</v>
      </c>
      <c r="BR133" s="1041">
        <f>IF(BR131=0,0,BR132/BR131)</f>
        <v>0</v>
      </c>
      <c r="BS133" s="365"/>
      <c r="BT133" s="1041">
        <f>IF(BT131=0,0,BT132/BT131)</f>
        <v>0</v>
      </c>
      <c r="BU133" s="1041">
        <f>IF(BU131=0,0,BU132/BU131)</f>
        <v>0</v>
      </c>
      <c r="BV133" s="365"/>
      <c r="BW133" s="1041">
        <f>IF(BW131=0,0,BW132/BW131)</f>
        <v>0</v>
      </c>
      <c r="BX133" s="1041">
        <f>IF(BX131=0,0,BX132/BX131)</f>
        <v>0</v>
      </c>
      <c r="BY133" s="365"/>
      <c r="BZ133" s="1041">
        <f>IF(BZ131=0,0,BZ132/BZ131)</f>
        <v>0</v>
      </c>
      <c r="CA133" s="1041">
        <f>IF(CA131=0,0,CA132/CA131)</f>
        <v>0</v>
      </c>
      <c r="CB133" s="365"/>
      <c r="CC133" s="1041">
        <f>IF(CC131=0,0,CC132/CC131)</f>
        <v>0</v>
      </c>
      <c r="CD133" s="1041">
        <f>IF(CD131=0,0,CD132/CD131)</f>
        <v>0</v>
      </c>
      <c r="CE133" s="365"/>
      <c r="CF133" s="1041">
        <f>IF(CF131=0,0,CF132/CF131)</f>
        <v>0</v>
      </c>
      <c r="CG133" s="1041">
        <f>IF(CG131=0,0,CG132/CG131)</f>
        <v>0</v>
      </c>
      <c r="CH133" s="365"/>
      <c r="CI133" s="1041">
        <f>IF(CI131=0,0,CI132/CI131)</f>
        <v>0</v>
      </c>
      <c r="CJ133" s="1041">
        <f>IF(CJ131=0,0,CJ132/CJ131)</f>
        <v>0</v>
      </c>
      <c r="CK133" s="365"/>
      <c r="CL133" s="1041">
        <f>IF(CL131=0,0,CL132/CL131)</f>
        <v>0</v>
      </c>
      <c r="CM133" s="1041">
        <f>IF(CM131=0,0,CM132/CM131)</f>
        <v>0</v>
      </c>
      <c r="CN133" s="365"/>
      <c r="CO133" s="1041">
        <f>IF(CO131=0,0,CO132/CO131)</f>
        <v>0</v>
      </c>
      <c r="CP133" s="1041">
        <f>IF(CP131=0,0,CP132/CP131)</f>
        <v>0</v>
      </c>
      <c r="CQ133" s="365"/>
      <c r="CR133" s="1041">
        <f>IF(CR131=0,0,CR132/CR131)</f>
        <v>0</v>
      </c>
      <c r="CS133" s="1041">
        <f>IF(CS131=0,0,CS132/CS131)</f>
        <v>0</v>
      </c>
      <c r="CT133" s="365"/>
      <c r="CU133" s="1041">
        <f>IF(CU131=0,0,CU132/CU131)</f>
        <v>0</v>
      </c>
      <c r="CV133" s="1041">
        <f>IF(CV131=0,0,CV132/CV131)</f>
        <v>0</v>
      </c>
      <c r="CW133" s="365"/>
      <c r="CX133" s="1041">
        <f>IF(CX131=0,0,CX132/CX131)</f>
        <v>0</v>
      </c>
      <c r="CY133" s="1041">
        <f>IF(CY131=0,0,CY132/CY131)</f>
        <v>0</v>
      </c>
      <c r="CZ133" s="365"/>
      <c r="DA133" s="1041">
        <f>IF(DA131=0,0,DA132/DA131)</f>
        <v>0</v>
      </c>
      <c r="DB133" s="1041">
        <f>IF(DB131=0,0,DB132/DB131)</f>
        <v>0</v>
      </c>
      <c r="DC133" s="365"/>
      <c r="DD133" s="1041">
        <f>IF(DD131=0,0,DD132/DD131)</f>
        <v>0</v>
      </c>
      <c r="DE133" s="1041">
        <f>IF(DE131=0,0,DE132/DE131)</f>
        <v>0</v>
      </c>
      <c r="DF133" s="365"/>
      <c r="DG133" s="1041">
        <f>IF(DG131=0,0,DG132/DG131)</f>
        <v>0</v>
      </c>
      <c r="DH133" s="1041">
        <f>IF(DH131=0,0,DH132/DH131)</f>
        <v>0</v>
      </c>
      <c r="DI133" s="365"/>
      <c r="DJ133" s="1041">
        <f>IF(DJ131=0,0,DJ132/DJ131)</f>
        <v>0</v>
      </c>
      <c r="DK133" s="1041">
        <f>IF(DK131=0,0,DK132/DK131)</f>
        <v>0</v>
      </c>
      <c r="DL133" s="365"/>
      <c r="DM133" s="1041">
        <f>IF(DM131=0,0,DM132/DM131)</f>
        <v>0</v>
      </c>
      <c r="DN133" s="1041">
        <f>IF(DN131=0,0,DN132/DN131)</f>
        <v>0</v>
      </c>
      <c r="DO133" s="365"/>
      <c r="DP133" s="1041">
        <f>IF(DP131=0,0,DP132/DP131)</f>
        <v>0</v>
      </c>
      <c r="DQ133" s="1041">
        <f>IF(DQ131=0,0,DQ132/DQ131)</f>
        <v>0</v>
      </c>
      <c r="DR133" s="365"/>
      <c r="DS133" s="1041">
        <f>IF(DS131=0,0,DS132/DS131)</f>
        <v>0</v>
      </c>
      <c r="DT133" s="1041">
        <f>IF(DT131=0,0,DT132/DT131)</f>
        <v>0</v>
      </c>
      <c r="DU133" s="365"/>
      <c r="DV133" s="1041">
        <f>IF(DV131=0,0,DV132/DV131)</f>
        <v>0</v>
      </c>
      <c r="DW133" s="1041">
        <f>IF(DW131=0,0,DW132/DW131)</f>
        <v>0</v>
      </c>
      <c r="DX133" s="365"/>
      <c r="DY133" s="1041">
        <f>IF(DY131=0,0,DY132/DY131)</f>
        <v>0</v>
      </c>
      <c r="DZ133" s="1041">
        <f>IF(DZ131=0,0,DZ132/DZ131)</f>
        <v>0</v>
      </c>
      <c r="EA133" s="365"/>
      <c r="EB133" s="1041">
        <f>IF(EB131=0,0,EB132/EB131)</f>
        <v>0</v>
      </c>
      <c r="EC133" s="1041">
        <f>IF(EC131=0,0,EC132/EC131)</f>
        <v>0</v>
      </c>
      <c r="ED133" s="365"/>
      <c r="EE133" s="1041">
        <f>IF(EE131=0,0,EE132/EE131)</f>
        <v>0</v>
      </c>
      <c r="EF133" s="1041">
        <f>IF(EF131=0,0,EF132/EF131)</f>
        <v>0</v>
      </c>
      <c r="EG133" s="365"/>
      <c r="EH133" s="1041">
        <f>IF(EH131=0,0,EH132/EH131)</f>
        <v>0</v>
      </c>
      <c r="EI133" s="1041">
        <f>IF(EI131=0,0,EI132/EI131)</f>
        <v>0</v>
      </c>
      <c r="EJ133" s="365"/>
      <c r="EK133" s="1041">
        <f>IF(EK131=0,0,EK132/EK131)</f>
        <v>0</v>
      </c>
      <c r="EL133" s="1041">
        <f>IF(EL131=0,0,EL132/EL131)</f>
        <v>0</v>
      </c>
      <c r="EM133" s="365"/>
      <c r="EN133" s="1041">
        <f>IF(EN131=0,0,EN132/EN131)</f>
        <v>0</v>
      </c>
      <c r="EO133" s="1041">
        <f>IF(EO131=0,0,EO132/EO131)</f>
        <v>0</v>
      </c>
      <c r="EP133" s="365"/>
      <c r="EQ133" s="1041">
        <f>IF(EQ131=0,0,EQ132/EQ131)</f>
        <v>0</v>
      </c>
      <c r="ER133" s="1041">
        <f>IF(ER131=0,0,ER132/ER131)</f>
        <v>0</v>
      </c>
      <c r="ES133" s="365"/>
      <c r="ET133" s="1041">
        <f>IF(ET131=0,0,ET132/ET131)</f>
        <v>0</v>
      </c>
      <c r="EU133" s="1041">
        <f>IF(EU131=0,0,EU132/EU131)</f>
        <v>0</v>
      </c>
      <c r="EV133" s="365"/>
      <c r="EW133" s="1041">
        <f>IF(EW131=0,0,EW132/EW131)</f>
        <v>0</v>
      </c>
      <c r="EX133" s="1041">
        <f>IF(EX131=0,0,EX132/EX131)</f>
        <v>0</v>
      </c>
      <c r="EY133" s="365"/>
      <c r="EZ133" s="1041">
        <f>IF(EZ131=0,0,EZ132/EZ131)</f>
        <v>0</v>
      </c>
      <c r="FA133" s="1041">
        <f>IF(FA131=0,0,FA132/FA131)</f>
        <v>0</v>
      </c>
      <c r="FB133" s="365"/>
      <c r="FC133" s="1041">
        <f>IF(FC131=0,0,FC132/FC131)</f>
        <v>0</v>
      </c>
      <c r="FD133" s="1041">
        <f>IF(FD131=0,0,FD132/FD131)</f>
        <v>0</v>
      </c>
      <c r="FE133" s="365"/>
      <c r="FF133" s="1041">
        <f>IF(FF131=0,0,FF132/FF131)</f>
        <v>0</v>
      </c>
      <c r="FG133" s="1041">
        <f>IF(FG131=0,0,FG132/FG131)</f>
        <v>0</v>
      </c>
      <c r="FH133" s="365"/>
      <c r="FI133" s="1041">
        <f>IF(FI131=0,0,FI132/FI131)</f>
        <v>0</v>
      </c>
      <c r="FJ133" s="1041">
        <f>IF(FJ131=0,0,FJ132/FJ131)</f>
        <v>0</v>
      </c>
      <c r="FK133" s="365"/>
      <c r="FL133" s="1041">
        <f>IF(FL131=0,0,FL132/FL131)</f>
        <v>0</v>
      </c>
      <c r="FM133" s="1041">
        <f>IF(FM131=0,0,FM132/FM131)</f>
        <v>0</v>
      </c>
      <c r="FN133" s="365"/>
      <c r="FO133" s="1041">
        <f>IF(FO131=0,0,FO132/FO131)</f>
        <v>0</v>
      </c>
      <c r="FP133" s="1041">
        <f>IF(FP131=0,0,FP132/FP131)</f>
        <v>0</v>
      </c>
      <c r="FQ133" s="365"/>
      <c r="FR133" s="1041">
        <f>IF(FR131=0,0,FR132/FR131)</f>
        <v>0</v>
      </c>
      <c r="FS133" s="1041">
        <f>IF(FS131=0,0,FS132/FS131)</f>
        <v>0</v>
      </c>
      <c r="FT133" s="365"/>
      <c r="FU133" s="1041">
        <f>IF(FU131=0,0,FU132/FU131)</f>
        <v>0</v>
      </c>
      <c r="FV133" s="1041">
        <f>IF(FV131=0,0,FV132/FV131)</f>
        <v>0</v>
      </c>
      <c r="FW133" s="365"/>
      <c r="FX133" s="497"/>
      <c r="FY133" s="497"/>
      <c r="FZ133" s="1181" t="s">
        <v>2119</v>
      </c>
      <c r="GA133" s="1181"/>
      <c r="GB133" s="1181"/>
      <c r="GC133" s="1181"/>
      <c r="GD133" s="1181"/>
    </row>
    <row s="1619" customFormat="1" customHeight="1" ht="16.5">
      <c r="A134" s="1461"/>
      <c r="B134" s="961" cm="1" t="str">
        <f t="array" ref="B134:B134">B133</f>
        <v>true</v>
      </c>
      <c r="C134" s="1322" t="s">
        <v>1721</v>
      </c>
      <c r="D134" s="1291" t="s">
        <v>1722</v>
      </c>
      <c r="E134" s="794">
        <v>17.1</v>
      </c>
      <c r="F134" s="919" cm="1" t="str">
        <f t="array" ref="F134:F134">OFFSET(G134,-1,-1)</f>
        <v>2</v>
      </c>
      <c r="G134" s="190" t="s">
        <v>2120</v>
      </c>
      <c r="H134" s="210" t="s">
        <v>503</v>
      </c>
      <c r="I134" s="210" t="s">
        <v>2118</v>
      </c>
      <c r="J134" s="1312" t="s">
        <v>2089</v>
      </c>
      <c r="K134" s="1312" cm="1" t="str">
        <f t="array" ref="K134:K134">OFFSET(J134,-1,1)</f>
        <v>ТЭ.42.26824396.0005</v>
      </c>
      <c r="L134" s="1312" t="s">
        <v>2103</v>
      </c>
      <c r="M134" s="1312"/>
      <c r="N134" s="1312" t="s">
        <v>2111</v>
      </c>
      <c r="O134" s="1313" t="s">
        <v>2112</v>
      </c>
      <c r="P134" s="1312"/>
      <c r="Q134" s="1312"/>
      <c r="R134" s="925"/>
      <c r="S134" s="497"/>
      <c r="T134" s="805" cm="1" t="str">
        <f t="array" ref="T134:T134">T133</f>
        <v>true</v>
      </c>
      <c r="U134" s="1461"/>
      <c r="V134" s="1461"/>
      <c r="W134" s="1461"/>
      <c r="X134" s="1461"/>
      <c r="Y134" s="1461"/>
      <c r="Z134" s="1461"/>
      <c r="AA134" s="497"/>
      <c r="AB134" s="1057" t="s">
        <v>2121</v>
      </c>
      <c r="AC134" s="169" t="s">
        <v>591</v>
      </c>
      <c r="AD134" s="1785">
        <f>_xlfn.SUMIFS('Баланс Пр'!AI$27:AI$233,'Баланс Пр'!$F$27:$F$233,$F134,'Баланс Пр'!$AB$27:$AB$233,"9.1.2.3")</f>
        <v>1037</v>
      </c>
      <c r="AE134" s="1785">
        <f>_xlfn.SUMIFS('Баланс Пр'!AS$27:AS$233,'Баланс Пр'!$F$27:$F$233,$F134,'Баланс Пр'!$AB$27:$AB$233,"9.1.2.3")</f>
        <v>1037</v>
      </c>
      <c r="AF134" s="397">
        <f>IF(AD134=0,0,(AE134-AD134)/AD134*100)</f>
        <v>0</v>
      </c>
      <c r="AG134" s="308">
        <f>_xlfn.SUMIFS('Баланс Пр'!AJ$27:AJ$233,'Баланс Пр'!$F$27:$F$233,$F134,'Баланс Пр'!$AB$27:$AB$233,"9.1.2.3")</f>
        <v>1037</v>
      </c>
      <c r="AH134" s="308">
        <f>_xlfn.SUMIFS('Баланс Пр'!AT$27:AT$233,'Баланс Пр'!$F$27:$F$233,$F134,'Баланс Пр'!$AB$27:$AB$233,"9.1.2.3")</f>
        <v>1037</v>
      </c>
      <c r="AI134" s="397">
        <f>IF(AG134=0,0,(AH134-AG134)/AG134*100)</f>
        <v>0</v>
      </c>
      <c r="AJ134" s="308">
        <f>_xlfn.SUMIFS('Баланс Пр'!AK$27:AK$233,'Баланс Пр'!$F$27:$F$233,$F134,'Баланс Пр'!$AB$27:$AB$233,"9.1.2.3")</f>
        <v>1037</v>
      </c>
      <c r="AK134" s="308">
        <f>_xlfn.SUMIFS('Баланс Пр'!AU$27:AU$233,'Баланс Пр'!$F$27:$F$233,$F134,'Баланс Пр'!$AB$27:$AB$233,"9.1.2.3")</f>
        <v>1037</v>
      </c>
      <c r="AL134" s="397">
        <f>IF(AJ134=0,0,(AK134-AJ134)/AJ134*100)</f>
        <v>0</v>
      </c>
      <c r="AM134" s="308">
        <f>_xlfn.SUMIFS('Баланс Пр'!AL$27:AL$233,'Баланс Пр'!$F$27:$F$233,$F134,'Баланс Пр'!$AB$27:$AB$233,"9.1.2.3")</f>
        <v>1037</v>
      </c>
      <c r="AN134" s="308">
        <f>_xlfn.SUMIFS('Баланс Пр'!AV$27:AV$233,'Баланс Пр'!$F$27:$F$233,$F134,'Баланс Пр'!$AB$27:$AB$233,"9.1.2.3")</f>
        <v>1037</v>
      </c>
      <c r="AO134" s="397">
        <f>IF(AM134=0,0,(AN134-AM134)/AM134*100)</f>
        <v>0</v>
      </c>
      <c r="AP134" s="308">
        <f>_xlfn.SUMIFS('Баланс Пр'!AM$27:AM$233,'Баланс Пр'!$F$27:$F$233,$F134,'Баланс Пр'!$AB$27:$AB$233,"9.1.2.3")</f>
        <v>1037</v>
      </c>
      <c r="AQ134" s="308">
        <f>_xlfn.SUMIFS('Баланс Пр'!AW$27:AW$233,'Баланс Пр'!$F$27:$F$233,$F134,'Баланс Пр'!$AB$27:$AB$233,"9.1.2.3")</f>
        <v>1037</v>
      </c>
      <c r="AR134" s="397">
        <f>IF(AP134=0,0,(AQ134-AP134)/AP134*100)</f>
        <v>0</v>
      </c>
      <c r="AS134" s="1785">
        <f>_xlfn.SUMIFS('Баланс Пр'!AN$27:AN$233,'Баланс Пр'!$F$27:$F$233,$F134,'Баланс Пр'!$AB$27:$AB$233,"9.1.2.3")</f>
        <v>1037</v>
      </c>
      <c r="AT134" s="1785">
        <f>_xlfn.SUMIFS('Баланс Пр'!AX$27:AX$233,'Баланс Пр'!$F$27:$F$233,$F134,'Баланс Пр'!$AB$27:$AB$233,"9.1.2.3")</f>
        <v>0</v>
      </c>
      <c r="AU134" s="397">
        <f>IF(AS134=0,0,(AT134-AS134)/AS134*100)</f>
        <v>-100</v>
      </c>
      <c r="AV134" s="1785">
        <f>_xlfn.SUMIFS('Баланс Пр'!AO$27:AO$233,'Баланс Пр'!$F$27:$F$233,$F134,'Баланс Пр'!$AB$27:$AB$233,"9.1.2.3")</f>
        <v>1037</v>
      </c>
      <c r="AW134" s="1785">
        <f>_xlfn.SUMIFS('Баланс Пр'!AY$27:AY$233,'Баланс Пр'!$F$27:$F$233,$F134,'Баланс Пр'!$AB$27:$AB$233,"9.1.2.3")</f>
        <v>0</v>
      </c>
      <c r="AX134" s="397">
        <f>IF(AV134=0,0,(AW134-AV134)/AV134*100)</f>
        <v>-100</v>
      </c>
      <c r="AY134" s="1785">
        <f>_xlfn.SUMIFS('Баланс Пр'!AP$27:AP$233,'Баланс Пр'!$F$27:$F$233,$F134,'Баланс Пр'!$AB$27:$AB$233,"9.1.2.3")</f>
        <v>1037</v>
      </c>
      <c r="AZ134" s="1785">
        <f>_xlfn.SUMIFS('Баланс Пр'!AZ$27:AZ$233,'Баланс Пр'!$F$27:$F$233,$F134,'Баланс Пр'!$AB$27:$AB$233,"9.1.2.3")</f>
        <v>0</v>
      </c>
      <c r="BA134" s="397">
        <f>IF(AY134=0,0,(AZ134-AY134)/AY134*100)</f>
        <v>-100</v>
      </c>
      <c r="BB134" s="1785">
        <f>_xlfn.SUMIFS('Баланс Пр'!AQ$27:AQ$233,'Баланс Пр'!$F$27:$F$233,$F134,'Баланс Пр'!$AB$27:$AB$233,"9.1.2.3")</f>
        <v>1037</v>
      </c>
      <c r="BC134" s="1785">
        <f>_xlfn.SUMIFS('Баланс Пр'!BA$27:BA$233,'Баланс Пр'!$F$27:$F$233,$F134,'Баланс Пр'!$AB$27:$AB$233,"9.1.2.3")</f>
        <v>0</v>
      </c>
      <c r="BD134" s="397">
        <f>IF(BB134=0,0,(BC134-BB134)/BB134*100)</f>
        <v>-100</v>
      </c>
      <c r="BE134" s="1785">
        <f>_xlfn.SUMIFS('Баланс Пр'!AR$27:AR$233,'Баланс Пр'!$F$27:$F$233,$F134,'Баланс Пр'!$AB$27:$AB$233,"9.1.2.3")</f>
        <v>1037</v>
      </c>
      <c r="BF134" s="1785">
        <f>_xlfn.SUMIFS('Баланс Пр'!BB$27:BB$233,'Баланс Пр'!$F$27:$F$233,$F134,'Баланс Пр'!$AB$27:$AB$233,"9.1.2.3")</f>
        <v>0</v>
      </c>
      <c r="BG134" s="397">
        <f>IF(BE134=0,0,(BF134-BE134)/BE134*100)</f>
        <v>-100</v>
      </c>
      <c r="BH134" s="2063">
        <f>SUM(BH135:BH136)</f>
        <v>0</v>
      </c>
      <c r="BI134" s="2063">
        <f>SUM(BI135:BI136)</f>
        <v>0</v>
      </c>
      <c r="BJ134" s="397">
        <f>IF(BH134=0,0,(BI134-BH134)/BH134*100)</f>
        <v>0</v>
      </c>
      <c r="BK134" s="2063">
        <f>SUM(BK135:BK136)</f>
        <v>0</v>
      </c>
      <c r="BL134" s="2063">
        <f>SUM(BL135:BL136)</f>
        <v>0</v>
      </c>
      <c r="BM134" s="397">
        <f>IF(BK134=0,0,(BL134-BK134)/BK134*100)</f>
        <v>0</v>
      </c>
      <c r="BN134" s="2063">
        <f>SUM(BN135:BN136)</f>
        <v>0</v>
      </c>
      <c r="BO134" s="2063">
        <f>SUM(BO135:BO136)</f>
        <v>0</v>
      </c>
      <c r="BP134" s="397">
        <f>IF(BN134=0,0,(BO134-BN134)/BN134*100)</f>
        <v>0</v>
      </c>
      <c r="BQ134" s="2063">
        <f>SUM(BQ135:BQ136)</f>
        <v>0</v>
      </c>
      <c r="BR134" s="2063">
        <f>SUM(BR135:BR136)</f>
        <v>0</v>
      </c>
      <c r="BS134" s="397">
        <f>IF(BQ134=0,0,(BR134-BQ134)/BQ134*100)</f>
        <v>0</v>
      </c>
      <c r="BT134" s="2063">
        <f>SUM(BT135:BT136)</f>
        <v>0</v>
      </c>
      <c r="BU134" s="2063">
        <f>SUM(BU135:BU136)</f>
        <v>0</v>
      </c>
      <c r="BV134" s="397">
        <f>IF(BT134=0,0,(BU134-BT134)/BT134*100)</f>
        <v>0</v>
      </c>
      <c r="BW134" s="2063">
        <f>SUM(BW135:BW136)</f>
        <v>0</v>
      </c>
      <c r="BX134" s="2063">
        <f>SUM(BX135:BX136)</f>
        <v>0</v>
      </c>
      <c r="BY134" s="397">
        <f>IF(BW134=0,0,(BX134-BW134)/BW134*100)</f>
        <v>0</v>
      </c>
      <c r="BZ134" s="2063">
        <f>SUM(BZ135:BZ136)</f>
        <v>0</v>
      </c>
      <c r="CA134" s="2063">
        <f>SUM(CA135:CA136)</f>
        <v>0</v>
      </c>
      <c r="CB134" s="397">
        <f>IF(BZ134=0,0,(CA134-BZ134)/BZ134*100)</f>
        <v>0</v>
      </c>
      <c r="CC134" s="2063">
        <f>SUM(CC135:CC136)</f>
        <v>0</v>
      </c>
      <c r="CD134" s="2063">
        <f>SUM(CD135:CD136)</f>
        <v>0</v>
      </c>
      <c r="CE134" s="397">
        <f>IF(CC134=0,0,(CD134-CC134)/CC134*100)</f>
        <v>0</v>
      </c>
      <c r="CF134" s="2063">
        <f>SUM(CF135:CF136)</f>
        <v>0</v>
      </c>
      <c r="CG134" s="2063">
        <f>SUM(CG135:CG136)</f>
        <v>0</v>
      </c>
      <c r="CH134" s="397">
        <f>IF(CF134=0,0,(CG134-CF134)/CF134*100)</f>
        <v>0</v>
      </c>
      <c r="CI134" s="2063">
        <f>SUM(CI135:CI136)</f>
        <v>0</v>
      </c>
      <c r="CJ134" s="2063">
        <f>SUM(CJ135:CJ136)</f>
        <v>0</v>
      </c>
      <c r="CK134" s="397">
        <f>IF(CI134=0,0,(CJ134-CI134)/CI134*100)</f>
        <v>0</v>
      </c>
      <c r="CL134" s="2063">
        <f>SUM(CL135:CL136)</f>
        <v>0</v>
      </c>
      <c r="CM134" s="2063">
        <f>SUM(CM135:CM136)</f>
        <v>0</v>
      </c>
      <c r="CN134" s="397">
        <f>IF(CL134=0,0,(CM134-CL134)/CL134*100)</f>
        <v>0</v>
      </c>
      <c r="CO134" s="2063">
        <f>SUM(CO135:CO136)</f>
        <v>0</v>
      </c>
      <c r="CP134" s="2063">
        <f>SUM(CP135:CP136)</f>
        <v>0</v>
      </c>
      <c r="CQ134" s="397">
        <f>IF(CO134=0,0,(CP134-CO134)/CO134*100)</f>
        <v>0</v>
      </c>
      <c r="CR134" s="2063">
        <f>SUM(CR135:CR136)</f>
        <v>0</v>
      </c>
      <c r="CS134" s="2063">
        <f>SUM(CS135:CS136)</f>
        <v>0</v>
      </c>
      <c r="CT134" s="397">
        <f>IF(CR134=0,0,(CS134-CR134)/CR134*100)</f>
        <v>0</v>
      </c>
      <c r="CU134" s="2063">
        <f>SUM(CU135:CU136)</f>
        <v>0</v>
      </c>
      <c r="CV134" s="2063">
        <f>SUM(CV135:CV136)</f>
        <v>0</v>
      </c>
      <c r="CW134" s="397">
        <f>IF(CU134=0,0,(CV134-CU134)/CU134*100)</f>
        <v>0</v>
      </c>
      <c r="CX134" s="2063">
        <f>SUM(CX135:CX136)</f>
        <v>0</v>
      </c>
      <c r="CY134" s="2063">
        <f>SUM(CY135:CY136)</f>
        <v>0</v>
      </c>
      <c r="CZ134" s="397">
        <f>IF(CX134=0,0,(CY134-CX134)/CX134*100)</f>
        <v>0</v>
      </c>
      <c r="DA134" s="2063">
        <f>SUM(DA135:DA136)</f>
        <v>0</v>
      </c>
      <c r="DB134" s="2063">
        <f>SUM(DB135:DB136)</f>
        <v>0</v>
      </c>
      <c r="DC134" s="397">
        <f>IF(DA134=0,0,(DB134-DA134)/DA134*100)</f>
        <v>0</v>
      </c>
      <c r="DD134" s="2063">
        <f>SUM(DD135:DD136)</f>
        <v>0</v>
      </c>
      <c r="DE134" s="2063">
        <f>SUM(DE135:DE136)</f>
        <v>0</v>
      </c>
      <c r="DF134" s="397">
        <f>IF(DD134=0,0,(DE134-DD134)/DD134*100)</f>
        <v>0</v>
      </c>
      <c r="DG134" s="2063">
        <f>SUM(DG135:DG136)</f>
        <v>0</v>
      </c>
      <c r="DH134" s="2063">
        <f>SUM(DH135:DH136)</f>
        <v>0</v>
      </c>
      <c r="DI134" s="397">
        <f>IF(DG134=0,0,(DH134-DG134)/DG134*100)</f>
        <v>0</v>
      </c>
      <c r="DJ134" s="2063">
        <f>SUM(DJ135:DJ136)</f>
        <v>0</v>
      </c>
      <c r="DK134" s="2063">
        <f>SUM(DK135:DK136)</f>
        <v>0</v>
      </c>
      <c r="DL134" s="397">
        <f>IF(DJ134=0,0,(DK134-DJ134)/DJ134*100)</f>
        <v>0</v>
      </c>
      <c r="DM134" s="2063">
        <f>SUM(DM135:DM136)</f>
        <v>0</v>
      </c>
      <c r="DN134" s="2063">
        <f>SUM(DN135:DN136)</f>
        <v>0</v>
      </c>
      <c r="DO134" s="397">
        <f>IF(DM134=0,0,(DN134-DM134)/DM134*100)</f>
        <v>0</v>
      </c>
      <c r="DP134" s="2063">
        <f>SUM(DP135:DP136)</f>
        <v>0</v>
      </c>
      <c r="DQ134" s="2063">
        <f>SUM(DQ135:DQ136)</f>
        <v>0</v>
      </c>
      <c r="DR134" s="397">
        <f>IF(DP134=0,0,(DQ134-DP134)/DP134*100)</f>
        <v>0</v>
      </c>
      <c r="DS134" s="2063">
        <f>SUM(DS135:DS136)</f>
        <v>0</v>
      </c>
      <c r="DT134" s="2063">
        <f>SUM(DT135:DT136)</f>
        <v>0</v>
      </c>
      <c r="DU134" s="397">
        <f>IF(DS134=0,0,(DT134-DS134)/DS134*100)</f>
        <v>0</v>
      </c>
      <c r="DV134" s="2063">
        <f>SUM(DV135:DV136)</f>
        <v>0</v>
      </c>
      <c r="DW134" s="2063">
        <f>SUM(DW135:DW136)</f>
        <v>0</v>
      </c>
      <c r="DX134" s="397">
        <f>IF(DV134=0,0,(DW134-DV134)/DV134*100)</f>
        <v>0</v>
      </c>
      <c r="DY134" s="2063">
        <f>SUM(DY135:DY136)</f>
        <v>0</v>
      </c>
      <c r="DZ134" s="2063">
        <f>SUM(DZ135:DZ136)</f>
        <v>0</v>
      </c>
      <c r="EA134" s="397">
        <f>IF(DY134=0,0,(DZ134-DY134)/DY134*100)</f>
        <v>0</v>
      </c>
      <c r="EB134" s="2063">
        <f>SUM(EB135:EB136)</f>
        <v>0</v>
      </c>
      <c r="EC134" s="2063">
        <f>SUM(EC135:EC136)</f>
        <v>0</v>
      </c>
      <c r="ED134" s="397">
        <f>IF(EB134=0,0,(EC134-EB134)/EB134*100)</f>
        <v>0</v>
      </c>
      <c r="EE134" s="2063">
        <f>SUM(EE135:EE136)</f>
        <v>0</v>
      </c>
      <c r="EF134" s="2063">
        <f>SUM(EF135:EF136)</f>
        <v>0</v>
      </c>
      <c r="EG134" s="397">
        <f>IF(EE134=0,0,(EF134-EE134)/EE134*100)</f>
        <v>0</v>
      </c>
      <c r="EH134" s="2063">
        <f>SUM(EH135:EH136)</f>
        <v>0</v>
      </c>
      <c r="EI134" s="2063">
        <f>SUM(EI135:EI136)</f>
        <v>0</v>
      </c>
      <c r="EJ134" s="397">
        <f>IF(EH134=0,0,(EI134-EH134)/EH134*100)</f>
        <v>0</v>
      </c>
      <c r="EK134" s="2063">
        <f>SUM(EK135:EK136)</f>
        <v>0</v>
      </c>
      <c r="EL134" s="2063">
        <f>SUM(EL135:EL136)</f>
        <v>0</v>
      </c>
      <c r="EM134" s="397">
        <f>IF(EK134=0,0,(EL134-EK134)/EK134*100)</f>
        <v>0</v>
      </c>
      <c r="EN134" s="2063">
        <f>SUM(EN135:EN136)</f>
        <v>0</v>
      </c>
      <c r="EO134" s="2063">
        <f>SUM(EO135:EO136)</f>
        <v>0</v>
      </c>
      <c r="EP134" s="397">
        <f>IF(EN134=0,0,(EO134-EN134)/EN134*100)</f>
        <v>0</v>
      </c>
      <c r="EQ134" s="2063">
        <f>SUM(EQ135:EQ136)</f>
        <v>0</v>
      </c>
      <c r="ER134" s="2063">
        <f>SUM(ER135:ER136)</f>
        <v>0</v>
      </c>
      <c r="ES134" s="397">
        <f>IF(EQ134=0,0,(ER134-EQ134)/EQ134*100)</f>
        <v>0</v>
      </c>
      <c r="ET134" s="2063">
        <f>SUM(ET135:ET136)</f>
        <v>0</v>
      </c>
      <c r="EU134" s="2063">
        <f>SUM(EU135:EU136)</f>
        <v>0</v>
      </c>
      <c r="EV134" s="397">
        <f>IF(ET134=0,0,(EU134-ET134)/ET134*100)</f>
        <v>0</v>
      </c>
      <c r="EW134" s="2063">
        <f>SUM(EW135:EW136)</f>
        <v>0</v>
      </c>
      <c r="EX134" s="2063">
        <f>SUM(EX135:EX136)</f>
        <v>0</v>
      </c>
      <c r="EY134" s="397">
        <f>IF(EW134=0,0,(EX134-EW134)/EW134*100)</f>
        <v>0</v>
      </c>
      <c r="EZ134" s="2063">
        <f>SUM(EZ135:EZ136)</f>
        <v>0</v>
      </c>
      <c r="FA134" s="2063">
        <f>SUM(FA135:FA136)</f>
        <v>0</v>
      </c>
      <c r="FB134" s="397">
        <f>IF(EZ134=0,0,(FA134-EZ134)/EZ134*100)</f>
        <v>0</v>
      </c>
      <c r="FC134" s="2063">
        <f>SUM(FC135:FC136)</f>
        <v>0</v>
      </c>
      <c r="FD134" s="2063">
        <f>SUM(FD135:FD136)</f>
        <v>0</v>
      </c>
      <c r="FE134" s="397">
        <f>IF(FC134=0,0,(FD134-FC134)/FC134*100)</f>
        <v>0</v>
      </c>
      <c r="FF134" s="2063">
        <f>SUM(FF135:FF136)</f>
        <v>0</v>
      </c>
      <c r="FG134" s="2063">
        <f>SUM(FG135:FG136)</f>
        <v>0</v>
      </c>
      <c r="FH134" s="397">
        <f>IF(FF134=0,0,(FG134-FF134)/FF134*100)</f>
        <v>0</v>
      </c>
      <c r="FI134" s="2063">
        <f>SUM(FI135:FI136)</f>
        <v>0</v>
      </c>
      <c r="FJ134" s="2063">
        <f>SUM(FJ135:FJ136)</f>
        <v>0</v>
      </c>
      <c r="FK134" s="397">
        <f>IF(FI134=0,0,(FJ134-FI134)/FI134*100)</f>
        <v>0</v>
      </c>
      <c r="FL134" s="2063">
        <f>SUM(FL135:FL136)</f>
        <v>0</v>
      </c>
      <c r="FM134" s="2063">
        <f>SUM(FM135:FM136)</f>
        <v>0</v>
      </c>
      <c r="FN134" s="397">
        <f>IF(FL134=0,0,(FM134-FL134)/FL134*100)</f>
        <v>0</v>
      </c>
      <c r="FO134" s="2063">
        <f>SUM(FO135:FO136)</f>
        <v>0</v>
      </c>
      <c r="FP134" s="2063">
        <f>SUM(FP135:FP136)</f>
        <v>0</v>
      </c>
      <c r="FQ134" s="397">
        <f>IF(FO134=0,0,(FP134-FO134)/FO134*100)</f>
        <v>0</v>
      </c>
      <c r="FR134" s="2063">
        <f>SUM(FR135:FR136)</f>
        <v>0</v>
      </c>
      <c r="FS134" s="2063">
        <f>SUM(FS135:FS136)</f>
        <v>0</v>
      </c>
      <c r="FT134" s="397">
        <f>IF(FR134=0,0,(FS134-FR134)/FR134*100)</f>
        <v>0</v>
      </c>
      <c r="FU134" s="2063">
        <f>SUM(FU135:FU136)</f>
        <v>0</v>
      </c>
      <c r="FV134" s="2063">
        <f>SUM(FV135:FV136)</f>
        <v>0</v>
      </c>
      <c r="FW134" s="397">
        <f>IF(FU134=0,0,(FV134-FU134)/FU134*100)</f>
        <v>0</v>
      </c>
      <c r="FX134" s="497"/>
      <c r="FY134" s="497"/>
      <c r="FZ134" s="1181" t="s">
        <v>2122</v>
      </c>
      <c r="GA134" s="1181"/>
      <c r="GB134" s="1181"/>
      <c r="GC134" s="1181"/>
      <c r="GD134" s="1181"/>
    </row>
    <row s="1619" customFormat="1" customHeight="1" ht="16.5">
      <c r="A135" s="1461"/>
      <c r="B135" s="961" cm="1" t="str">
        <f t="array" ref="B135:B135">B134</f>
        <v>true</v>
      </c>
      <c r="C135" s="1322" t="s">
        <v>1721</v>
      </c>
      <c r="D135" s="1291" t="s">
        <v>1722</v>
      </c>
      <c r="E135" s="794">
        <v>17.1</v>
      </c>
      <c r="F135" s="919" cm="1" t="str">
        <f t="array" ref="F135:F135">OFFSET(G135,-1,-1)</f>
        <v>2</v>
      </c>
      <c r="G135" s="497"/>
      <c r="H135" s="497"/>
      <c r="I135" s="497"/>
      <c r="J135" s="1312" t="s">
        <v>2089</v>
      </c>
      <c r="K135" s="1312" cm="1" t="str">
        <f t="array" ref="K135:K135">OFFSET(J135,-1,1)</f>
        <v>ТЭ.42.26824396.0005</v>
      </c>
      <c r="L135" s="1312" t="s">
        <v>2103</v>
      </c>
      <c r="M135" s="1312" t="s">
        <v>1724</v>
      </c>
      <c r="N135" s="1312" t="s">
        <v>2111</v>
      </c>
      <c r="O135" s="1313" t="s">
        <v>2112</v>
      </c>
      <c r="P135" s="1312"/>
      <c r="Q135" s="1312"/>
      <c r="R135" s="925"/>
      <c r="S135" s="497"/>
      <c r="T135" s="805" cm="1" t="str">
        <f t="array" ref="T135:T135">T134</f>
        <v>true</v>
      </c>
      <c r="U135" s="1461"/>
      <c r="V135" s="1461"/>
      <c r="W135" s="1461"/>
      <c r="X135" s="1461"/>
      <c r="Y135" s="1461"/>
      <c r="Z135" s="1461"/>
      <c r="AA135" s="497"/>
      <c r="AB135" s="273" t="s">
        <v>2123</v>
      </c>
      <c r="AC135" s="675" t="s">
        <v>591</v>
      </c>
      <c r="AD135" s="1876"/>
      <c r="AE135" s="1876"/>
      <c r="AF135" s="690">
        <f>IF(AD135=0,0,(AE135-AD135)/AD135*100)</f>
        <v>0</v>
      </c>
      <c r="AG135" s="378"/>
      <c r="AH135" s="378"/>
      <c r="AI135" s="690">
        <f>IF(AG135=0,0,(AH135-AG135)/AG135*100)</f>
        <v>0</v>
      </c>
      <c r="AJ135" s="378"/>
      <c r="AK135" s="378"/>
      <c r="AL135" s="690">
        <f>IF(AJ135=0,0,(AK135-AJ135)/AJ135*100)</f>
        <v>0</v>
      </c>
      <c r="AM135" s="378"/>
      <c r="AN135" s="378"/>
      <c r="AO135" s="690">
        <f>IF(AM135=0,0,(AN135-AM135)/AM135*100)</f>
        <v>0</v>
      </c>
      <c r="AP135" s="378"/>
      <c r="AQ135" s="378"/>
      <c r="AR135" s="690">
        <f>IF(AP135=0,0,(AQ135-AP135)/AP135*100)</f>
        <v>0</v>
      </c>
      <c r="AS135" s="1876"/>
      <c r="AT135" s="1876"/>
      <c r="AU135" s="690">
        <f>IF(AS135=0,0,(AT135-AS135)/AS135*100)</f>
        <v>0</v>
      </c>
      <c r="AV135" s="1876"/>
      <c r="AW135" s="1876"/>
      <c r="AX135" s="690">
        <f>IF(AV135=0,0,(AW135-AV135)/AV135*100)</f>
        <v>0</v>
      </c>
      <c r="AY135" s="1876"/>
      <c r="AZ135" s="1876"/>
      <c r="BA135" s="690">
        <f>IF(AY135=0,0,(AZ135-AY135)/AY135*100)</f>
        <v>0</v>
      </c>
      <c r="BB135" s="1876"/>
      <c r="BC135" s="1876"/>
      <c r="BD135" s="690">
        <f>IF(BB135=0,0,(BC135-BB135)/BB135*100)</f>
        <v>0</v>
      </c>
      <c r="BE135" s="1876"/>
      <c r="BF135" s="1876"/>
      <c r="BG135" s="690">
        <f>IF(BE135=0,0,(BF135-BE135)/BE135*100)</f>
        <v>0</v>
      </c>
      <c r="BH135" s="1876"/>
      <c r="BI135" s="1876"/>
      <c r="BJ135" s="690">
        <f>IF(BH135=0,0,(BI135-BH135)/BH135*100)</f>
        <v>0</v>
      </c>
      <c r="BK135" s="1876"/>
      <c r="BL135" s="1876"/>
      <c r="BM135" s="690">
        <f>IF(BK135=0,0,(BL135-BK135)/BK135*100)</f>
        <v>0</v>
      </c>
      <c r="BN135" s="1876"/>
      <c r="BO135" s="1876"/>
      <c r="BP135" s="690">
        <f>IF(BN135=0,0,(BO135-BN135)/BN135*100)</f>
        <v>0</v>
      </c>
      <c r="BQ135" s="1876"/>
      <c r="BR135" s="1876"/>
      <c r="BS135" s="690">
        <f>IF(BQ135=0,0,(BR135-BQ135)/BQ135*100)</f>
        <v>0</v>
      </c>
      <c r="BT135" s="1876"/>
      <c r="BU135" s="1876"/>
      <c r="BV135" s="690">
        <f>IF(BT135=0,0,(BU135-BT135)/BT135*100)</f>
        <v>0</v>
      </c>
      <c r="BW135" s="1876"/>
      <c r="BX135" s="1876"/>
      <c r="BY135" s="690">
        <f>IF(BW135=0,0,(BX135-BW135)/BW135*100)</f>
        <v>0</v>
      </c>
      <c r="BZ135" s="1876"/>
      <c r="CA135" s="1876"/>
      <c r="CB135" s="690">
        <f>IF(BZ135=0,0,(CA135-BZ135)/BZ135*100)</f>
        <v>0</v>
      </c>
      <c r="CC135" s="1876"/>
      <c r="CD135" s="1876"/>
      <c r="CE135" s="690">
        <f>IF(CC135=0,0,(CD135-CC135)/CC135*100)</f>
        <v>0</v>
      </c>
      <c r="CF135" s="1876"/>
      <c r="CG135" s="1876"/>
      <c r="CH135" s="690">
        <f>IF(CF135=0,0,(CG135-CF135)/CF135*100)</f>
        <v>0</v>
      </c>
      <c r="CI135" s="1876"/>
      <c r="CJ135" s="1876"/>
      <c r="CK135" s="690">
        <f>IF(CI135=0,0,(CJ135-CI135)/CI135*100)</f>
        <v>0</v>
      </c>
      <c r="CL135" s="1876"/>
      <c r="CM135" s="1876"/>
      <c r="CN135" s="690">
        <f>IF(CL135=0,0,(CM135-CL135)/CL135*100)</f>
        <v>0</v>
      </c>
      <c r="CO135" s="1876"/>
      <c r="CP135" s="1876"/>
      <c r="CQ135" s="690">
        <f>IF(CO135=0,0,(CP135-CO135)/CO135*100)</f>
        <v>0</v>
      </c>
      <c r="CR135" s="1876"/>
      <c r="CS135" s="1876"/>
      <c r="CT135" s="690">
        <f>IF(CR135=0,0,(CS135-CR135)/CR135*100)</f>
        <v>0</v>
      </c>
      <c r="CU135" s="1876"/>
      <c r="CV135" s="1876"/>
      <c r="CW135" s="690">
        <f>IF(CU135=0,0,(CV135-CU135)/CU135*100)</f>
        <v>0</v>
      </c>
      <c r="CX135" s="1876"/>
      <c r="CY135" s="1876"/>
      <c r="CZ135" s="690">
        <f>IF(CX135=0,0,(CY135-CX135)/CX135*100)</f>
        <v>0</v>
      </c>
      <c r="DA135" s="1876"/>
      <c r="DB135" s="1876"/>
      <c r="DC135" s="690">
        <f>IF(DA135=0,0,(DB135-DA135)/DA135*100)</f>
        <v>0</v>
      </c>
      <c r="DD135" s="1876"/>
      <c r="DE135" s="1876"/>
      <c r="DF135" s="690">
        <f>IF(DD135=0,0,(DE135-DD135)/DD135*100)</f>
        <v>0</v>
      </c>
      <c r="DG135" s="1876"/>
      <c r="DH135" s="1876"/>
      <c r="DI135" s="690">
        <f>IF(DG135=0,0,(DH135-DG135)/DG135*100)</f>
        <v>0</v>
      </c>
      <c r="DJ135" s="1876"/>
      <c r="DK135" s="1876"/>
      <c r="DL135" s="690">
        <f>IF(DJ135=0,0,(DK135-DJ135)/DJ135*100)</f>
        <v>0</v>
      </c>
      <c r="DM135" s="1876"/>
      <c r="DN135" s="1876"/>
      <c r="DO135" s="690">
        <f>IF(DM135=0,0,(DN135-DM135)/DM135*100)</f>
        <v>0</v>
      </c>
      <c r="DP135" s="1876"/>
      <c r="DQ135" s="1876"/>
      <c r="DR135" s="690">
        <f>IF(DP135=0,0,(DQ135-DP135)/DP135*100)</f>
        <v>0</v>
      </c>
      <c r="DS135" s="1876"/>
      <c r="DT135" s="1876"/>
      <c r="DU135" s="690">
        <f>IF(DS135=0,0,(DT135-DS135)/DS135*100)</f>
        <v>0</v>
      </c>
      <c r="DV135" s="1876"/>
      <c r="DW135" s="1876"/>
      <c r="DX135" s="690">
        <f>IF(DV135=0,0,(DW135-DV135)/DV135*100)</f>
        <v>0</v>
      </c>
      <c r="DY135" s="1876"/>
      <c r="DZ135" s="1876"/>
      <c r="EA135" s="690">
        <f>IF(DY135=0,0,(DZ135-DY135)/DY135*100)</f>
        <v>0</v>
      </c>
      <c r="EB135" s="1876"/>
      <c r="EC135" s="1876"/>
      <c r="ED135" s="690">
        <f>IF(EB135=0,0,(EC135-EB135)/EB135*100)</f>
        <v>0</v>
      </c>
      <c r="EE135" s="1876"/>
      <c r="EF135" s="1876"/>
      <c r="EG135" s="690">
        <f>IF(EE135=0,0,(EF135-EE135)/EE135*100)</f>
        <v>0</v>
      </c>
      <c r="EH135" s="1876"/>
      <c r="EI135" s="1876"/>
      <c r="EJ135" s="690">
        <f>IF(EH135=0,0,(EI135-EH135)/EH135*100)</f>
        <v>0</v>
      </c>
      <c r="EK135" s="1876"/>
      <c r="EL135" s="1876"/>
      <c r="EM135" s="690">
        <f>IF(EK135=0,0,(EL135-EK135)/EK135*100)</f>
        <v>0</v>
      </c>
      <c r="EN135" s="1876"/>
      <c r="EO135" s="1876"/>
      <c r="EP135" s="690">
        <f>IF(EN135=0,0,(EO135-EN135)/EN135*100)</f>
        <v>0</v>
      </c>
      <c r="EQ135" s="1876"/>
      <c r="ER135" s="1876"/>
      <c r="ES135" s="690">
        <f>IF(EQ135=0,0,(ER135-EQ135)/EQ135*100)</f>
        <v>0</v>
      </c>
      <c r="ET135" s="1876"/>
      <c r="EU135" s="1876"/>
      <c r="EV135" s="690">
        <f>IF(ET135=0,0,(EU135-ET135)/ET135*100)</f>
        <v>0</v>
      </c>
      <c r="EW135" s="1876"/>
      <c r="EX135" s="1876"/>
      <c r="EY135" s="690">
        <f>IF(EW135=0,0,(EX135-EW135)/EW135*100)</f>
        <v>0</v>
      </c>
      <c r="EZ135" s="1876"/>
      <c r="FA135" s="1876"/>
      <c r="FB135" s="690">
        <f>IF(EZ135=0,0,(FA135-EZ135)/EZ135*100)</f>
        <v>0</v>
      </c>
      <c r="FC135" s="1876"/>
      <c r="FD135" s="1876"/>
      <c r="FE135" s="690">
        <f>IF(FC135=0,0,(FD135-FC135)/FC135*100)</f>
        <v>0</v>
      </c>
      <c r="FF135" s="1876"/>
      <c r="FG135" s="1876"/>
      <c r="FH135" s="690">
        <f>IF(FF135=0,0,(FG135-FF135)/FF135*100)</f>
        <v>0</v>
      </c>
      <c r="FI135" s="1876"/>
      <c r="FJ135" s="1876"/>
      <c r="FK135" s="690">
        <f>IF(FI135=0,0,(FJ135-FI135)/FI135*100)</f>
        <v>0</v>
      </c>
      <c r="FL135" s="1876"/>
      <c r="FM135" s="1876"/>
      <c r="FN135" s="690">
        <f>IF(FL135=0,0,(FM135-FL135)/FL135*100)</f>
        <v>0</v>
      </c>
      <c r="FO135" s="1876"/>
      <c r="FP135" s="1876"/>
      <c r="FQ135" s="690">
        <f>IF(FO135=0,0,(FP135-FO135)/FO135*100)</f>
        <v>0</v>
      </c>
      <c r="FR135" s="1876"/>
      <c r="FS135" s="1876"/>
      <c r="FT135" s="690">
        <f>IF(FR135=0,0,(FS135-FR135)/FR135*100)</f>
        <v>0</v>
      </c>
      <c r="FU135" s="1876"/>
      <c r="FV135" s="1876"/>
      <c r="FW135" s="690">
        <f>IF(FU135=0,0,(FV135-FU135)/FU135*100)</f>
        <v>0</v>
      </c>
      <c r="FX135" s="497"/>
      <c r="FY135" s="497"/>
      <c r="FZ135" s="1181" t="s">
        <v>2124</v>
      </c>
      <c r="GA135" s="1181"/>
      <c r="GB135" s="1181"/>
      <c r="GC135" s="1181"/>
      <c r="GD135" s="1181"/>
    </row>
    <row s="1619" customFormat="1" customHeight="1" ht="16.5">
      <c r="A136" s="1461"/>
      <c r="B136" s="961" cm="1" t="str">
        <f t="array" ref="B136:B136">B135</f>
        <v>true</v>
      </c>
      <c r="C136" s="1322" t="s">
        <v>1721</v>
      </c>
      <c r="D136" s="1291" t="s">
        <v>1722</v>
      </c>
      <c r="E136" s="794">
        <v>17.1</v>
      </c>
      <c r="F136" s="919" cm="1" t="str">
        <f t="array" ref="F136:F136">OFFSET(G136,-1,-1)</f>
        <v>2</v>
      </c>
      <c r="G136" s="497"/>
      <c r="H136" s="497"/>
      <c r="I136" s="497"/>
      <c r="J136" s="1312" t="s">
        <v>2089</v>
      </c>
      <c r="K136" s="1312" cm="1" t="str">
        <f t="array" ref="K136:K136">OFFSET(J136,-1,1)</f>
        <v>ТЭ.42.26824396.0005</v>
      </c>
      <c r="L136" s="1312" t="s">
        <v>2103</v>
      </c>
      <c r="M136" s="1312" t="s">
        <v>1733</v>
      </c>
      <c r="N136" s="1312" t="s">
        <v>2111</v>
      </c>
      <c r="O136" s="1313" t="s">
        <v>2112</v>
      </c>
      <c r="P136" s="1312"/>
      <c r="Q136" s="1312"/>
      <c r="R136" s="925"/>
      <c r="S136" s="497"/>
      <c r="T136" s="805" cm="1" t="str">
        <f t="array" ref="T136:T136">T135</f>
        <v>true</v>
      </c>
      <c r="U136" s="1461"/>
      <c r="V136" s="1461"/>
      <c r="W136" s="1461"/>
      <c r="X136" s="1461"/>
      <c r="Y136" s="1461"/>
      <c r="Z136" s="1461"/>
      <c r="AA136" s="497"/>
      <c r="AB136" s="273" t="s">
        <v>2125</v>
      </c>
      <c r="AC136" s="675" t="s">
        <v>591</v>
      </c>
      <c r="AD136" s="1876"/>
      <c r="AE136" s="1876"/>
      <c r="AF136" s="690">
        <f>IF(AD136=0,0,(AE136-AD136)/AD136*100)</f>
        <v>0</v>
      </c>
      <c r="AG136" s="378"/>
      <c r="AH136" s="378"/>
      <c r="AI136" s="690">
        <f>IF(AG136=0,0,(AH136-AG136)/AG136*100)</f>
        <v>0</v>
      </c>
      <c r="AJ136" s="378"/>
      <c r="AK136" s="378"/>
      <c r="AL136" s="690">
        <f>IF(AJ136=0,0,(AK136-AJ136)/AJ136*100)</f>
        <v>0</v>
      </c>
      <c r="AM136" s="378"/>
      <c r="AN136" s="378"/>
      <c r="AO136" s="690">
        <f>IF(AM136=0,0,(AN136-AM136)/AM136*100)</f>
        <v>0</v>
      </c>
      <c r="AP136" s="378"/>
      <c r="AQ136" s="378"/>
      <c r="AR136" s="690">
        <f>IF(AP136=0,0,(AQ136-AP136)/AP136*100)</f>
        <v>0</v>
      </c>
      <c r="AS136" s="1876"/>
      <c r="AT136" s="1876"/>
      <c r="AU136" s="690">
        <f>IF(AS136=0,0,(AT136-AS136)/AS136*100)</f>
        <v>0</v>
      </c>
      <c r="AV136" s="1876"/>
      <c r="AW136" s="1876"/>
      <c r="AX136" s="690">
        <f>IF(AV136=0,0,(AW136-AV136)/AV136*100)</f>
        <v>0</v>
      </c>
      <c r="AY136" s="1876"/>
      <c r="AZ136" s="1876"/>
      <c r="BA136" s="690">
        <f>IF(AY136=0,0,(AZ136-AY136)/AY136*100)</f>
        <v>0</v>
      </c>
      <c r="BB136" s="1876"/>
      <c r="BC136" s="1876"/>
      <c r="BD136" s="690">
        <f>IF(BB136=0,0,(BC136-BB136)/BB136*100)</f>
        <v>0</v>
      </c>
      <c r="BE136" s="1876"/>
      <c r="BF136" s="1876"/>
      <c r="BG136" s="690">
        <f>IF(BE136=0,0,(BF136-BE136)/BE136*100)</f>
        <v>0</v>
      </c>
      <c r="BH136" s="1876"/>
      <c r="BI136" s="1876"/>
      <c r="BJ136" s="690">
        <f>IF(BH136=0,0,(BI136-BH136)/BH136*100)</f>
        <v>0</v>
      </c>
      <c r="BK136" s="1876"/>
      <c r="BL136" s="1876"/>
      <c r="BM136" s="690">
        <f>IF(BK136=0,0,(BL136-BK136)/BK136*100)</f>
        <v>0</v>
      </c>
      <c r="BN136" s="1876"/>
      <c r="BO136" s="1876"/>
      <c r="BP136" s="690">
        <f>IF(BN136=0,0,(BO136-BN136)/BN136*100)</f>
        <v>0</v>
      </c>
      <c r="BQ136" s="1876"/>
      <c r="BR136" s="1876"/>
      <c r="BS136" s="690">
        <f>IF(BQ136=0,0,(BR136-BQ136)/BQ136*100)</f>
        <v>0</v>
      </c>
      <c r="BT136" s="1876"/>
      <c r="BU136" s="1876"/>
      <c r="BV136" s="690">
        <f>IF(BT136=0,0,(BU136-BT136)/BT136*100)</f>
        <v>0</v>
      </c>
      <c r="BW136" s="1876"/>
      <c r="BX136" s="1876"/>
      <c r="BY136" s="690">
        <f>IF(BW136=0,0,(BX136-BW136)/BW136*100)</f>
        <v>0</v>
      </c>
      <c r="BZ136" s="1876"/>
      <c r="CA136" s="1876"/>
      <c r="CB136" s="690">
        <f>IF(BZ136=0,0,(CA136-BZ136)/BZ136*100)</f>
        <v>0</v>
      </c>
      <c r="CC136" s="1876"/>
      <c r="CD136" s="1876"/>
      <c r="CE136" s="690">
        <f>IF(CC136=0,0,(CD136-CC136)/CC136*100)</f>
        <v>0</v>
      </c>
      <c r="CF136" s="1876"/>
      <c r="CG136" s="1876"/>
      <c r="CH136" s="690">
        <f>IF(CF136=0,0,(CG136-CF136)/CF136*100)</f>
        <v>0</v>
      </c>
      <c r="CI136" s="1876"/>
      <c r="CJ136" s="1876"/>
      <c r="CK136" s="690">
        <f>IF(CI136=0,0,(CJ136-CI136)/CI136*100)</f>
        <v>0</v>
      </c>
      <c r="CL136" s="1876"/>
      <c r="CM136" s="1876"/>
      <c r="CN136" s="690">
        <f>IF(CL136=0,0,(CM136-CL136)/CL136*100)</f>
        <v>0</v>
      </c>
      <c r="CO136" s="1876"/>
      <c r="CP136" s="1876"/>
      <c r="CQ136" s="690">
        <f>IF(CO136=0,0,(CP136-CO136)/CO136*100)</f>
        <v>0</v>
      </c>
      <c r="CR136" s="1876"/>
      <c r="CS136" s="1876"/>
      <c r="CT136" s="690">
        <f>IF(CR136=0,0,(CS136-CR136)/CR136*100)</f>
        <v>0</v>
      </c>
      <c r="CU136" s="1876"/>
      <c r="CV136" s="1876"/>
      <c r="CW136" s="690">
        <f>IF(CU136=0,0,(CV136-CU136)/CU136*100)</f>
        <v>0</v>
      </c>
      <c r="CX136" s="1876"/>
      <c r="CY136" s="1876"/>
      <c r="CZ136" s="690">
        <f>IF(CX136=0,0,(CY136-CX136)/CX136*100)</f>
        <v>0</v>
      </c>
      <c r="DA136" s="1876"/>
      <c r="DB136" s="1876"/>
      <c r="DC136" s="690">
        <f>IF(DA136=0,0,(DB136-DA136)/DA136*100)</f>
        <v>0</v>
      </c>
      <c r="DD136" s="1876"/>
      <c r="DE136" s="1876"/>
      <c r="DF136" s="690">
        <f>IF(DD136=0,0,(DE136-DD136)/DD136*100)</f>
        <v>0</v>
      </c>
      <c r="DG136" s="1876"/>
      <c r="DH136" s="1876"/>
      <c r="DI136" s="690">
        <f>IF(DG136=0,0,(DH136-DG136)/DG136*100)</f>
        <v>0</v>
      </c>
      <c r="DJ136" s="1876"/>
      <c r="DK136" s="1876"/>
      <c r="DL136" s="690">
        <f>IF(DJ136=0,0,(DK136-DJ136)/DJ136*100)</f>
        <v>0</v>
      </c>
      <c r="DM136" s="1876"/>
      <c r="DN136" s="1876"/>
      <c r="DO136" s="690">
        <f>IF(DM136=0,0,(DN136-DM136)/DM136*100)</f>
        <v>0</v>
      </c>
      <c r="DP136" s="1876"/>
      <c r="DQ136" s="1876"/>
      <c r="DR136" s="690">
        <f>IF(DP136=0,0,(DQ136-DP136)/DP136*100)</f>
        <v>0</v>
      </c>
      <c r="DS136" s="1876"/>
      <c r="DT136" s="1876"/>
      <c r="DU136" s="690">
        <f>IF(DS136=0,0,(DT136-DS136)/DS136*100)</f>
        <v>0</v>
      </c>
      <c r="DV136" s="1876"/>
      <c r="DW136" s="1876"/>
      <c r="DX136" s="690">
        <f>IF(DV136=0,0,(DW136-DV136)/DV136*100)</f>
        <v>0</v>
      </c>
      <c r="DY136" s="1876"/>
      <c r="DZ136" s="1876"/>
      <c r="EA136" s="690">
        <f>IF(DY136=0,0,(DZ136-DY136)/DY136*100)</f>
        <v>0</v>
      </c>
      <c r="EB136" s="1876"/>
      <c r="EC136" s="1876"/>
      <c r="ED136" s="690">
        <f>IF(EB136=0,0,(EC136-EB136)/EB136*100)</f>
        <v>0</v>
      </c>
      <c r="EE136" s="1876"/>
      <c r="EF136" s="1876"/>
      <c r="EG136" s="690">
        <f>IF(EE136=0,0,(EF136-EE136)/EE136*100)</f>
        <v>0</v>
      </c>
      <c r="EH136" s="1876"/>
      <c r="EI136" s="1876"/>
      <c r="EJ136" s="690">
        <f>IF(EH136=0,0,(EI136-EH136)/EH136*100)</f>
        <v>0</v>
      </c>
      <c r="EK136" s="1876"/>
      <c r="EL136" s="1876"/>
      <c r="EM136" s="690">
        <f>IF(EK136=0,0,(EL136-EK136)/EK136*100)</f>
        <v>0</v>
      </c>
      <c r="EN136" s="1876"/>
      <c r="EO136" s="1876"/>
      <c r="EP136" s="690">
        <f>IF(EN136=0,0,(EO136-EN136)/EN136*100)</f>
        <v>0</v>
      </c>
      <c r="EQ136" s="1876"/>
      <c r="ER136" s="1876"/>
      <c r="ES136" s="690">
        <f>IF(EQ136=0,0,(ER136-EQ136)/EQ136*100)</f>
        <v>0</v>
      </c>
      <c r="ET136" s="1876"/>
      <c r="EU136" s="1876"/>
      <c r="EV136" s="690">
        <f>IF(ET136=0,0,(EU136-ET136)/ET136*100)</f>
        <v>0</v>
      </c>
      <c r="EW136" s="1876"/>
      <c r="EX136" s="1876"/>
      <c r="EY136" s="690">
        <f>IF(EW136=0,0,(EX136-EW136)/EW136*100)</f>
        <v>0</v>
      </c>
      <c r="EZ136" s="1876"/>
      <c r="FA136" s="1876"/>
      <c r="FB136" s="690">
        <f>IF(EZ136=0,0,(FA136-EZ136)/EZ136*100)</f>
        <v>0</v>
      </c>
      <c r="FC136" s="1876"/>
      <c r="FD136" s="1876"/>
      <c r="FE136" s="690">
        <f>IF(FC136=0,0,(FD136-FC136)/FC136*100)</f>
        <v>0</v>
      </c>
      <c r="FF136" s="1876"/>
      <c r="FG136" s="1876"/>
      <c r="FH136" s="690">
        <f>IF(FF136=0,0,(FG136-FF136)/FF136*100)</f>
        <v>0</v>
      </c>
      <c r="FI136" s="1876"/>
      <c r="FJ136" s="1876"/>
      <c r="FK136" s="690">
        <f>IF(FI136=0,0,(FJ136-FI136)/FI136*100)</f>
        <v>0</v>
      </c>
      <c r="FL136" s="1876"/>
      <c r="FM136" s="1876"/>
      <c r="FN136" s="690">
        <f>IF(FL136=0,0,(FM136-FL136)/FL136*100)</f>
        <v>0</v>
      </c>
      <c r="FO136" s="1876"/>
      <c r="FP136" s="1876"/>
      <c r="FQ136" s="690">
        <f>IF(FO136=0,0,(FP136-FO136)/FO136*100)</f>
        <v>0</v>
      </c>
      <c r="FR136" s="1876"/>
      <c r="FS136" s="1876"/>
      <c r="FT136" s="690">
        <f>IF(FR136=0,0,(FS136-FR136)/FR136*100)</f>
        <v>0</v>
      </c>
      <c r="FU136" s="1876"/>
      <c r="FV136" s="1876"/>
      <c r="FW136" s="690">
        <f>IF(FU136=0,0,(FV136-FU136)/FU136*100)</f>
        <v>0</v>
      </c>
      <c r="FX136" s="497"/>
      <c r="FY136" s="497"/>
      <c r="FZ136" s="1181" t="s">
        <v>2126</v>
      </c>
      <c r="GA136" s="1181"/>
      <c r="GB136" s="1181"/>
      <c r="GC136" s="1181"/>
      <c r="GD136" s="1181"/>
    </row>
    <row s="1387" customFormat="1" customHeight="1" ht="16.5" hidden="1">
      <c r="A137" s="1387"/>
      <c r="B137" s="961" cm="1" t="str">
        <f t="array" ref="B137:B137">OFFSET(A137,-1,1)</f>
        <v>true</v>
      </c>
      <c r="C137" s="1322" t="s">
        <v>2108</v>
      </c>
      <c r="D137" s="1291" t="s">
        <v>2109</v>
      </c>
      <c r="E137" s="794">
        <v>17.1</v>
      </c>
      <c r="F137" s="919" cm="1" t="str">
        <f t="array" ref="F137:F137">OFFSET(G137,-1,-1)</f>
        <v>2</v>
      </c>
      <c r="G137" s="1387"/>
      <c r="H137" s="1387"/>
      <c r="I137" s="1387"/>
      <c r="J137" s="1312" t="s">
        <v>2089</v>
      </c>
      <c r="K137" s="1312" cm="1" t="str">
        <f t="array" ref="K137:K137">OFFSET(J137,-1,1)</f>
        <v>ТЭ.42.26824396.0005</v>
      </c>
      <c r="L137" s="1312"/>
      <c r="M137" s="1312"/>
      <c r="N137" s="1312" t="s">
        <v>2111</v>
      </c>
      <c r="O137" s="1313" t="s">
        <v>2112</v>
      </c>
      <c r="P137" s="1312"/>
      <c r="Q137" s="1312" cm="1" t="str">
        <f t="array" ref="Q137:Q137">AB137</f>
        <v>0</v>
      </c>
      <c r="R137" s="1387"/>
      <c r="S137" s="1387"/>
      <c r="T137" s="805">
        <f>AND(OFFSET(S137,1,1),Y137&gt;0)</f>
        <v>0</v>
      </c>
      <c r="U137" s="1387"/>
      <c r="V137" s="1387"/>
      <c r="W137" s="172" t="s">
        <v>233</v>
      </c>
      <c r="X137" s="1387"/>
      <c r="Y137" s="172">
        <v>0</v>
      </c>
      <c r="Z137" s="1387"/>
      <c r="AA137" s="1412" t="s">
        <v>217</v>
      </c>
      <c r="AB137" s="146"/>
      <c r="AC137" s="675" t="s">
        <v>895</v>
      </c>
      <c r="AD137" s="113"/>
      <c r="AE137" s="113"/>
      <c r="AF137" s="690">
        <f>IF(AD137=0,0,(AE137-AD137)/AD137*100)</f>
        <v>0</v>
      </c>
      <c r="AG137" s="378"/>
      <c r="AH137" s="378"/>
      <c r="AI137" s="690">
        <f>IF(AG137=0,0,(AH137-AG137)/AG137*100)</f>
        <v>0</v>
      </c>
      <c r="AJ137" s="378"/>
      <c r="AK137" s="378"/>
      <c r="AL137" s="690">
        <f>IF(AJ137=0,0,(AK137-AJ137)/AJ137*100)</f>
        <v>0</v>
      </c>
      <c r="AM137" s="378"/>
      <c r="AN137" s="378"/>
      <c r="AO137" s="690">
        <f>IF(AM137=0,0,(AN137-AM137)/AM137*100)</f>
        <v>0</v>
      </c>
      <c r="AP137" s="378"/>
      <c r="AQ137" s="378"/>
      <c r="AR137" s="690">
        <f>IF(AP137=0,0,(AQ137-AP137)/AP137*100)</f>
        <v>0</v>
      </c>
      <c r="AS137" s="113"/>
      <c r="AT137" s="113"/>
      <c r="AU137" s="690">
        <f>IF(AS137=0,0,(AT137-AS137)/AS137*100)</f>
        <v>0</v>
      </c>
      <c r="AV137" s="113"/>
      <c r="AW137" s="113"/>
      <c r="AX137" s="690">
        <f>IF(AV137=0,0,(AW137-AV137)/AV137*100)</f>
        <v>0</v>
      </c>
      <c r="AY137" s="113"/>
      <c r="AZ137" s="113"/>
      <c r="BA137" s="690">
        <f>IF(AY137=0,0,(AZ137-AY137)/AY137*100)</f>
        <v>0</v>
      </c>
      <c r="BB137" s="113"/>
      <c r="BC137" s="113"/>
      <c r="BD137" s="690">
        <f>IF(BB137=0,0,(BC137-BB137)/BB137*100)</f>
        <v>0</v>
      </c>
      <c r="BE137" s="113"/>
      <c r="BF137" s="113"/>
      <c r="BG137" s="690">
        <f>IF(BE137=0,0,(BF137-BE137)/BE137*100)</f>
        <v>0</v>
      </c>
      <c r="BH137" s="113"/>
      <c r="BI137" s="113"/>
      <c r="BJ137" s="690">
        <f>IF(BH137=0,0,(BI137-BH137)/BH137*100)</f>
        <v>0</v>
      </c>
      <c r="BK137" s="113"/>
      <c r="BL137" s="113"/>
      <c r="BM137" s="690">
        <f>IF(BK137=0,0,(BL137-BK137)/BK137*100)</f>
        <v>0</v>
      </c>
      <c r="BN137" s="113"/>
      <c r="BO137" s="113"/>
      <c r="BP137" s="690">
        <f>IF(BN137=0,0,(BO137-BN137)/BN137*100)</f>
        <v>0</v>
      </c>
      <c r="BQ137" s="113"/>
      <c r="BR137" s="113"/>
      <c r="BS137" s="690">
        <f>IF(BQ137=0,0,(BR137-BQ137)/BQ137*100)</f>
        <v>0</v>
      </c>
      <c r="BT137" s="113"/>
      <c r="BU137" s="113"/>
      <c r="BV137" s="690">
        <f>IF(BT137=0,0,(BU137-BT137)/BT137*100)</f>
        <v>0</v>
      </c>
      <c r="BW137" s="113"/>
      <c r="BX137" s="113"/>
      <c r="BY137" s="690">
        <f>IF(BW137=0,0,(BX137-BW137)/BW137*100)</f>
        <v>0</v>
      </c>
      <c r="BZ137" s="113"/>
      <c r="CA137" s="113"/>
      <c r="CB137" s="690">
        <f>IF(BZ137=0,0,(CA137-BZ137)/BZ137*100)</f>
        <v>0</v>
      </c>
      <c r="CC137" s="113"/>
      <c r="CD137" s="113"/>
      <c r="CE137" s="690">
        <f>IF(CC137=0,0,(CD137-CC137)/CC137*100)</f>
        <v>0</v>
      </c>
      <c r="CF137" s="113"/>
      <c r="CG137" s="113"/>
      <c r="CH137" s="690">
        <f>IF(CF137=0,0,(CG137-CF137)/CF137*100)</f>
        <v>0</v>
      </c>
      <c r="CI137" s="113"/>
      <c r="CJ137" s="113"/>
      <c r="CK137" s="690">
        <f>IF(CI137=0,0,(CJ137-CI137)/CI137*100)</f>
        <v>0</v>
      </c>
      <c r="CL137" s="113"/>
      <c r="CM137" s="113"/>
      <c r="CN137" s="690">
        <f>IF(CL137=0,0,(CM137-CL137)/CL137*100)</f>
        <v>0</v>
      </c>
      <c r="CO137" s="113"/>
      <c r="CP137" s="113"/>
      <c r="CQ137" s="690">
        <f>IF(CO137=0,0,(CP137-CO137)/CO137*100)</f>
        <v>0</v>
      </c>
      <c r="CR137" s="113"/>
      <c r="CS137" s="113"/>
      <c r="CT137" s="690">
        <f>IF(CR137=0,0,(CS137-CR137)/CR137*100)</f>
        <v>0</v>
      </c>
      <c r="CU137" s="113"/>
      <c r="CV137" s="113"/>
      <c r="CW137" s="690">
        <f>IF(CU137=0,0,(CV137-CU137)/CU137*100)</f>
        <v>0</v>
      </c>
      <c r="CX137" s="113"/>
      <c r="CY137" s="113"/>
      <c r="CZ137" s="690">
        <f>IF(CX137=0,0,(CY137-CX137)/CX137*100)</f>
        <v>0</v>
      </c>
      <c r="DA137" s="113"/>
      <c r="DB137" s="113"/>
      <c r="DC137" s="690">
        <f>IF(DA137=0,0,(DB137-DA137)/DA137*100)</f>
        <v>0</v>
      </c>
      <c r="DD137" s="113"/>
      <c r="DE137" s="113"/>
      <c r="DF137" s="690">
        <f>IF(DD137=0,0,(DE137-DD137)/DD137*100)</f>
        <v>0</v>
      </c>
      <c r="DG137" s="113"/>
      <c r="DH137" s="113"/>
      <c r="DI137" s="690">
        <f>IF(DG137=0,0,(DH137-DG137)/DG137*100)</f>
        <v>0</v>
      </c>
      <c r="DJ137" s="113"/>
      <c r="DK137" s="113"/>
      <c r="DL137" s="690">
        <f>IF(DJ137=0,0,(DK137-DJ137)/DJ137*100)</f>
        <v>0</v>
      </c>
      <c r="DM137" s="113"/>
      <c r="DN137" s="113"/>
      <c r="DO137" s="690">
        <f>IF(DM137=0,0,(DN137-DM137)/DM137*100)</f>
        <v>0</v>
      </c>
      <c r="DP137" s="113"/>
      <c r="DQ137" s="113"/>
      <c r="DR137" s="690">
        <f>IF(DP137=0,0,(DQ137-DP137)/DP137*100)</f>
        <v>0</v>
      </c>
      <c r="DS137" s="113"/>
      <c r="DT137" s="113"/>
      <c r="DU137" s="690">
        <f>IF(DS137=0,0,(DT137-DS137)/DS137*100)</f>
        <v>0</v>
      </c>
      <c r="DV137" s="113"/>
      <c r="DW137" s="113"/>
      <c r="DX137" s="690">
        <f>IF(DV137=0,0,(DW137-DV137)/DV137*100)</f>
        <v>0</v>
      </c>
      <c r="DY137" s="113"/>
      <c r="DZ137" s="113"/>
      <c r="EA137" s="690">
        <f>IF(DY137=0,0,(DZ137-DY137)/DY137*100)</f>
        <v>0</v>
      </c>
      <c r="EB137" s="113"/>
      <c r="EC137" s="113"/>
      <c r="ED137" s="690">
        <f>IF(EB137=0,0,(EC137-EB137)/EB137*100)</f>
        <v>0</v>
      </c>
      <c r="EE137" s="113"/>
      <c r="EF137" s="113"/>
      <c r="EG137" s="690">
        <f>IF(EE137=0,0,(EF137-EE137)/EE137*100)</f>
        <v>0</v>
      </c>
      <c r="EH137" s="113"/>
      <c r="EI137" s="113"/>
      <c r="EJ137" s="690">
        <f>IF(EH137=0,0,(EI137-EH137)/EH137*100)</f>
        <v>0</v>
      </c>
      <c r="EK137" s="113"/>
      <c r="EL137" s="113"/>
      <c r="EM137" s="690">
        <f>IF(EK137=0,0,(EL137-EK137)/EK137*100)</f>
        <v>0</v>
      </c>
      <c r="EN137" s="113"/>
      <c r="EO137" s="113"/>
      <c r="EP137" s="690">
        <f>IF(EN137=0,0,(EO137-EN137)/EN137*100)</f>
        <v>0</v>
      </c>
      <c r="EQ137" s="113"/>
      <c r="ER137" s="113"/>
      <c r="ES137" s="690">
        <f>IF(EQ137=0,0,(ER137-EQ137)/EQ137*100)</f>
        <v>0</v>
      </c>
      <c r="ET137" s="113"/>
      <c r="EU137" s="113"/>
      <c r="EV137" s="690">
        <f>IF(ET137=0,0,(EU137-ET137)/ET137*100)</f>
        <v>0</v>
      </c>
      <c r="EW137" s="113"/>
      <c r="EX137" s="113"/>
      <c r="EY137" s="690">
        <f>IF(EW137=0,0,(EX137-EW137)/EW137*100)</f>
        <v>0</v>
      </c>
      <c r="EZ137" s="113"/>
      <c r="FA137" s="113"/>
      <c r="FB137" s="690">
        <f>IF(EZ137=0,0,(FA137-EZ137)/EZ137*100)</f>
        <v>0</v>
      </c>
      <c r="FC137" s="113"/>
      <c r="FD137" s="113"/>
      <c r="FE137" s="690">
        <f>IF(FC137=0,0,(FD137-FC137)/FC137*100)</f>
        <v>0</v>
      </c>
      <c r="FF137" s="113"/>
      <c r="FG137" s="113"/>
      <c r="FH137" s="690">
        <f>IF(FF137=0,0,(FG137-FF137)/FF137*100)</f>
        <v>0</v>
      </c>
      <c r="FI137" s="113"/>
      <c r="FJ137" s="113"/>
      <c r="FK137" s="690">
        <f>IF(FI137=0,0,(FJ137-FI137)/FI137*100)</f>
        <v>0</v>
      </c>
      <c r="FL137" s="113"/>
      <c r="FM137" s="113"/>
      <c r="FN137" s="690">
        <f>IF(FL137=0,0,(FM137-FL137)/FL137*100)</f>
        <v>0</v>
      </c>
      <c r="FO137" s="113"/>
      <c r="FP137" s="113"/>
      <c r="FQ137" s="690">
        <f>IF(FO137=0,0,(FP137-FO137)/FO137*100)</f>
        <v>0</v>
      </c>
      <c r="FR137" s="113"/>
      <c r="FS137" s="113"/>
      <c r="FT137" s="690">
        <f>IF(FR137=0,0,(FS137-FR137)/FR137*100)</f>
        <v>0</v>
      </c>
      <c r="FU137" s="113"/>
      <c r="FV137" s="113"/>
      <c r="FW137" s="690">
        <f>IF(FU137=0,0,(FV137-FU137)/FU137*100)</f>
        <v>0</v>
      </c>
      <c r="FX137" s="1387"/>
      <c r="FY137" s="1387"/>
      <c r="FZ137" s="1181" t="s">
        <v>2127</v>
      </c>
      <c r="GA137" s="1181" t="s">
        <v>2128</v>
      </c>
      <c r="GB137" s="1181" cm="1" t="str">
        <f t="array" ref="GB137:GB137">AB137</f>
        <v>0</v>
      </c>
      <c r="GC137" s="1181"/>
      <c r="GD137" s="1181" t="b">
        <v>1</v>
      </c>
    </row>
    <row s="1387" customFormat="1" customHeight="1" ht="16.5" hidden="1">
      <c r="A138" s="1387"/>
      <c r="B138" s="961" cm="1" t="str">
        <f t="array" ref="B138:B138">OFFSET(A138,-1,1)</f>
        <v>true</v>
      </c>
      <c r="C138" s="1322" t="s">
        <v>1721</v>
      </c>
      <c r="D138" s="1291" t="s">
        <v>1722</v>
      </c>
      <c r="E138" s="794">
        <v>17.1</v>
      </c>
      <c r="F138" s="919" cm="1" t="str">
        <f t="array" ref="F138:F138">OFFSET(G138,-1,-1)</f>
        <v>2</v>
      </c>
      <c r="G138" s="1387"/>
      <c r="H138" s="1387"/>
      <c r="I138" s="1387"/>
      <c r="J138" s="1312" t="s">
        <v>2089</v>
      </c>
      <c r="K138" s="1312" cm="1" t="str">
        <f t="array" ref="K138:K138">OFFSET(J138,-1,1)</f>
        <v>ТЭ.42.26824396.0005</v>
      </c>
      <c r="L138" s="1312" t="s">
        <v>2103</v>
      </c>
      <c r="M138" s="1312"/>
      <c r="N138" s="1312" t="s">
        <v>2111</v>
      </c>
      <c r="O138" s="1313" t="s">
        <v>2112</v>
      </c>
      <c r="P138" s="1312"/>
      <c r="Q138" s="1312" cm="1" t="str">
        <f t="array" ref="Q138:Q138">AB137</f>
        <v>0</v>
      </c>
      <c r="R138" s="1387"/>
      <c r="S138" s="1387"/>
      <c r="T138" s="805">
        <f>AND(OFFSET(S138,1,1),Y137&gt;0)</f>
        <v>0</v>
      </c>
      <c r="U138" s="1387"/>
      <c r="V138" s="1387"/>
      <c r="W138" s="1387"/>
      <c r="X138" s="1387"/>
      <c r="Y138" s="1387"/>
      <c r="Z138" s="1387"/>
      <c r="AA138" s="1412"/>
      <c r="AB138" s="1057" t="s">
        <v>2129</v>
      </c>
      <c r="AC138" s="675" t="s">
        <v>591</v>
      </c>
      <c r="AD138" s="113"/>
      <c r="AE138" s="113"/>
      <c r="AF138" s="690">
        <f>IF(AD138=0,0,(AE138-AD138)/AD138*100)</f>
        <v>0</v>
      </c>
      <c r="AG138" s="378"/>
      <c r="AH138" s="378"/>
      <c r="AI138" s="690">
        <f>IF(AG138=0,0,(AH138-AG138)/AG138*100)</f>
        <v>0</v>
      </c>
      <c r="AJ138" s="378"/>
      <c r="AK138" s="378"/>
      <c r="AL138" s="690">
        <f>IF(AJ138=0,0,(AK138-AJ138)/AJ138*100)</f>
        <v>0</v>
      </c>
      <c r="AM138" s="378"/>
      <c r="AN138" s="378"/>
      <c r="AO138" s="690">
        <f>IF(AM138=0,0,(AN138-AM138)/AM138*100)</f>
        <v>0</v>
      </c>
      <c r="AP138" s="378"/>
      <c r="AQ138" s="378"/>
      <c r="AR138" s="690">
        <f>IF(AP138=0,0,(AQ138-AP138)/AP138*100)</f>
        <v>0</v>
      </c>
      <c r="AS138" s="113"/>
      <c r="AT138" s="113"/>
      <c r="AU138" s="690">
        <f>IF(AS138=0,0,(AT138-AS138)/AS138*100)</f>
        <v>0</v>
      </c>
      <c r="AV138" s="113"/>
      <c r="AW138" s="113"/>
      <c r="AX138" s="690">
        <f>IF(AV138=0,0,(AW138-AV138)/AV138*100)</f>
        <v>0</v>
      </c>
      <c r="AY138" s="113"/>
      <c r="AZ138" s="113"/>
      <c r="BA138" s="690">
        <f>IF(AY138=0,0,(AZ138-AY138)/AY138*100)</f>
        <v>0</v>
      </c>
      <c r="BB138" s="113"/>
      <c r="BC138" s="113"/>
      <c r="BD138" s="690">
        <f>IF(BB138=0,0,(BC138-BB138)/BB138*100)</f>
        <v>0</v>
      </c>
      <c r="BE138" s="113"/>
      <c r="BF138" s="113"/>
      <c r="BG138" s="690">
        <f>IF(BE138=0,0,(BF138-BE138)/BE138*100)</f>
        <v>0</v>
      </c>
      <c r="BH138" s="113"/>
      <c r="BI138" s="113"/>
      <c r="BJ138" s="690">
        <f>IF(BH138=0,0,(BI138-BH138)/BH138*100)</f>
        <v>0</v>
      </c>
      <c r="BK138" s="113"/>
      <c r="BL138" s="113"/>
      <c r="BM138" s="690">
        <f>IF(BK138=0,0,(BL138-BK138)/BK138*100)</f>
        <v>0</v>
      </c>
      <c r="BN138" s="113"/>
      <c r="BO138" s="113"/>
      <c r="BP138" s="690">
        <f>IF(BN138=0,0,(BO138-BN138)/BN138*100)</f>
        <v>0</v>
      </c>
      <c r="BQ138" s="113"/>
      <c r="BR138" s="113"/>
      <c r="BS138" s="690">
        <f>IF(BQ138=0,0,(BR138-BQ138)/BQ138*100)</f>
        <v>0</v>
      </c>
      <c r="BT138" s="113"/>
      <c r="BU138" s="113"/>
      <c r="BV138" s="690">
        <f>IF(BT138=0,0,(BU138-BT138)/BT138*100)</f>
        <v>0</v>
      </c>
      <c r="BW138" s="113"/>
      <c r="BX138" s="113"/>
      <c r="BY138" s="690">
        <f>IF(BW138=0,0,(BX138-BW138)/BW138*100)</f>
        <v>0</v>
      </c>
      <c r="BZ138" s="113"/>
      <c r="CA138" s="113"/>
      <c r="CB138" s="690">
        <f>IF(BZ138=0,0,(CA138-BZ138)/BZ138*100)</f>
        <v>0</v>
      </c>
      <c r="CC138" s="113"/>
      <c r="CD138" s="113"/>
      <c r="CE138" s="690">
        <f>IF(CC138=0,0,(CD138-CC138)/CC138*100)</f>
        <v>0</v>
      </c>
      <c r="CF138" s="113"/>
      <c r="CG138" s="113"/>
      <c r="CH138" s="690">
        <f>IF(CF138=0,0,(CG138-CF138)/CF138*100)</f>
        <v>0</v>
      </c>
      <c r="CI138" s="113"/>
      <c r="CJ138" s="113"/>
      <c r="CK138" s="690">
        <f>IF(CI138=0,0,(CJ138-CI138)/CI138*100)</f>
        <v>0</v>
      </c>
      <c r="CL138" s="113"/>
      <c r="CM138" s="113"/>
      <c r="CN138" s="690">
        <f>IF(CL138=0,0,(CM138-CL138)/CL138*100)</f>
        <v>0</v>
      </c>
      <c r="CO138" s="113"/>
      <c r="CP138" s="113"/>
      <c r="CQ138" s="690">
        <f>IF(CO138=0,0,(CP138-CO138)/CO138*100)</f>
        <v>0</v>
      </c>
      <c r="CR138" s="113"/>
      <c r="CS138" s="113"/>
      <c r="CT138" s="690">
        <f>IF(CR138=0,0,(CS138-CR138)/CR138*100)</f>
        <v>0</v>
      </c>
      <c r="CU138" s="113"/>
      <c r="CV138" s="113"/>
      <c r="CW138" s="690">
        <f>IF(CU138=0,0,(CV138-CU138)/CU138*100)</f>
        <v>0</v>
      </c>
      <c r="CX138" s="113"/>
      <c r="CY138" s="113"/>
      <c r="CZ138" s="690">
        <f>IF(CX138=0,0,(CY138-CX138)/CX138*100)</f>
        <v>0</v>
      </c>
      <c r="DA138" s="113"/>
      <c r="DB138" s="113"/>
      <c r="DC138" s="690">
        <f>IF(DA138=0,0,(DB138-DA138)/DA138*100)</f>
        <v>0</v>
      </c>
      <c r="DD138" s="113"/>
      <c r="DE138" s="113"/>
      <c r="DF138" s="690">
        <f>IF(DD138=0,0,(DE138-DD138)/DD138*100)</f>
        <v>0</v>
      </c>
      <c r="DG138" s="113"/>
      <c r="DH138" s="113"/>
      <c r="DI138" s="690">
        <f>IF(DG138=0,0,(DH138-DG138)/DG138*100)</f>
        <v>0</v>
      </c>
      <c r="DJ138" s="113"/>
      <c r="DK138" s="113"/>
      <c r="DL138" s="690">
        <f>IF(DJ138=0,0,(DK138-DJ138)/DJ138*100)</f>
        <v>0</v>
      </c>
      <c r="DM138" s="113"/>
      <c r="DN138" s="113"/>
      <c r="DO138" s="690">
        <f>IF(DM138=0,0,(DN138-DM138)/DM138*100)</f>
        <v>0</v>
      </c>
      <c r="DP138" s="113"/>
      <c r="DQ138" s="113"/>
      <c r="DR138" s="690">
        <f>IF(DP138=0,0,(DQ138-DP138)/DP138*100)</f>
        <v>0</v>
      </c>
      <c r="DS138" s="113"/>
      <c r="DT138" s="113"/>
      <c r="DU138" s="690">
        <f>IF(DS138=0,0,(DT138-DS138)/DS138*100)</f>
        <v>0</v>
      </c>
      <c r="DV138" s="113"/>
      <c r="DW138" s="113"/>
      <c r="DX138" s="690">
        <f>IF(DV138=0,0,(DW138-DV138)/DV138*100)</f>
        <v>0</v>
      </c>
      <c r="DY138" s="113"/>
      <c r="DZ138" s="113"/>
      <c r="EA138" s="690">
        <f>IF(DY138=0,0,(DZ138-DY138)/DY138*100)</f>
        <v>0</v>
      </c>
      <c r="EB138" s="113"/>
      <c r="EC138" s="113"/>
      <c r="ED138" s="690">
        <f>IF(EB138=0,0,(EC138-EB138)/EB138*100)</f>
        <v>0</v>
      </c>
      <c r="EE138" s="113"/>
      <c r="EF138" s="113"/>
      <c r="EG138" s="690">
        <f>IF(EE138=0,0,(EF138-EE138)/EE138*100)</f>
        <v>0</v>
      </c>
      <c r="EH138" s="113"/>
      <c r="EI138" s="113"/>
      <c r="EJ138" s="690">
        <f>IF(EH138=0,0,(EI138-EH138)/EH138*100)</f>
        <v>0</v>
      </c>
      <c r="EK138" s="113"/>
      <c r="EL138" s="113"/>
      <c r="EM138" s="690">
        <f>IF(EK138=0,0,(EL138-EK138)/EK138*100)</f>
        <v>0</v>
      </c>
      <c r="EN138" s="113"/>
      <c r="EO138" s="113"/>
      <c r="EP138" s="690">
        <f>IF(EN138=0,0,(EO138-EN138)/EN138*100)</f>
        <v>0</v>
      </c>
      <c r="EQ138" s="113"/>
      <c r="ER138" s="113"/>
      <c r="ES138" s="690">
        <f>IF(EQ138=0,0,(ER138-EQ138)/EQ138*100)</f>
        <v>0</v>
      </c>
      <c r="ET138" s="113"/>
      <c r="EU138" s="113"/>
      <c r="EV138" s="690">
        <f>IF(ET138=0,0,(EU138-ET138)/ET138*100)</f>
        <v>0</v>
      </c>
      <c r="EW138" s="113"/>
      <c r="EX138" s="113"/>
      <c r="EY138" s="690">
        <f>IF(EW138=0,0,(EX138-EW138)/EW138*100)</f>
        <v>0</v>
      </c>
      <c r="EZ138" s="113"/>
      <c r="FA138" s="113"/>
      <c r="FB138" s="690">
        <f>IF(EZ138=0,0,(FA138-EZ138)/EZ138*100)</f>
        <v>0</v>
      </c>
      <c r="FC138" s="113"/>
      <c r="FD138" s="113"/>
      <c r="FE138" s="690">
        <f>IF(FC138=0,0,(FD138-FC138)/FC138*100)</f>
        <v>0</v>
      </c>
      <c r="FF138" s="113"/>
      <c r="FG138" s="113"/>
      <c r="FH138" s="690">
        <f>IF(FF138=0,0,(FG138-FF138)/FF138*100)</f>
        <v>0</v>
      </c>
      <c r="FI138" s="113"/>
      <c r="FJ138" s="113"/>
      <c r="FK138" s="690">
        <f>IF(FI138=0,0,(FJ138-FI138)/FI138*100)</f>
        <v>0</v>
      </c>
      <c r="FL138" s="113"/>
      <c r="FM138" s="113"/>
      <c r="FN138" s="690">
        <f>IF(FL138=0,0,(FM138-FL138)/FL138*100)</f>
        <v>0</v>
      </c>
      <c r="FO138" s="113"/>
      <c r="FP138" s="113"/>
      <c r="FQ138" s="690">
        <f>IF(FO138=0,0,(FP138-FO138)/FO138*100)</f>
        <v>0</v>
      </c>
      <c r="FR138" s="113"/>
      <c r="FS138" s="113"/>
      <c r="FT138" s="690">
        <f>IF(FR138=0,0,(FS138-FR138)/FR138*100)</f>
        <v>0</v>
      </c>
      <c r="FU138" s="113"/>
      <c r="FV138" s="113"/>
      <c r="FW138" s="690">
        <f>IF(FU138=0,0,(FV138-FU138)/FU138*100)</f>
        <v>0</v>
      </c>
      <c r="FX138" s="1387"/>
      <c r="FY138" s="1387"/>
      <c r="FZ138" s="1181" t="s">
        <v>2122</v>
      </c>
      <c r="GA138" s="1181" t="s">
        <v>2128</v>
      </c>
      <c r="GB138" s="1181" cm="1" t="str">
        <f t="array" ref="GB138:GB138">GB137</f>
        <v>0</v>
      </c>
      <c r="GC138" s="1181"/>
      <c r="GD138" s="1181"/>
    </row>
    <row s="1619" customFormat="1" customHeight="1" ht="16.5">
      <c r="A139" s="1461"/>
      <c r="B139" s="961" cm="1" t="str">
        <f t="array" ref="B139:B139">OFFSET(A139,-1,1)</f>
        <v>true</v>
      </c>
      <c r="C139" s="1322"/>
      <c r="D139" s="1291"/>
      <c r="E139" s="794">
        <v>17</v>
      </c>
      <c r="F139" s="919" cm="1" t="str">
        <f t="array" ref="F139:F139">OFFSET(G139,-1,-1)</f>
        <v>2</v>
      </c>
      <c r="G139" s="497"/>
      <c r="H139" s="210" t="str">
        <f>F139&amp;"pIns1"</f>
        <v>2pIns1</v>
      </c>
      <c r="I139" s="497"/>
      <c r="J139" s="1314"/>
      <c r="K139" s="1312" cm="1" t="str">
        <f t="array" ref="K139:K139">OFFSET(J139,-1,1)</f>
        <v>ТЭ.42.26824396.0005</v>
      </c>
      <c r="L139" s="1314"/>
      <c r="M139" s="1314"/>
      <c r="N139" s="1314"/>
      <c r="O139" s="1314"/>
      <c r="P139" s="1314"/>
      <c r="Q139" s="1296"/>
      <c r="R139" s="925"/>
      <c r="S139" s="497"/>
      <c r="T139" s="805" cm="1" t="str">
        <f t="array" ref="T139:T139">T136</f>
        <v>true</v>
      </c>
      <c r="U139" s="1461"/>
      <c r="V139" s="1461"/>
      <c r="W139" s="1183" t="s">
        <v>2130</v>
      </c>
      <c r="X139" s="1461"/>
      <c r="Y139" s="1461"/>
      <c r="Z139" s="1461"/>
      <c r="AA139" s="497"/>
      <c r="AB139" s="897" t="s">
        <v>235</v>
      </c>
      <c r="AC139" s="338"/>
      <c r="AD139" s="573"/>
      <c r="AE139" s="573"/>
      <c r="AF139" s="336"/>
      <c r="AG139" s="573"/>
      <c r="AH139" s="573"/>
      <c r="AI139" s="336"/>
      <c r="AJ139" s="573"/>
      <c r="AK139" s="573"/>
      <c r="AL139" s="336"/>
      <c r="AM139" s="573"/>
      <c r="AN139" s="573"/>
      <c r="AO139" s="336"/>
      <c r="AP139" s="573"/>
      <c r="AQ139" s="573"/>
      <c r="AR139" s="336"/>
      <c r="AS139" s="573"/>
      <c r="AT139" s="573"/>
      <c r="AU139" s="336"/>
      <c r="AV139" s="573"/>
      <c r="AW139" s="573"/>
      <c r="AX139" s="336"/>
      <c r="AY139" s="573"/>
      <c r="AZ139" s="573"/>
      <c r="BA139" s="336"/>
      <c r="BB139" s="573"/>
      <c r="BC139" s="573"/>
      <c r="BD139" s="336"/>
      <c r="BE139" s="573"/>
      <c r="BF139" s="573"/>
      <c r="BG139" s="336"/>
      <c r="BH139" s="573"/>
      <c r="BI139" s="573"/>
      <c r="BJ139" s="336"/>
      <c r="BK139" s="336"/>
      <c r="BL139" s="336"/>
      <c r="BM139" s="336"/>
      <c r="BN139" s="336"/>
      <c r="BO139" s="336"/>
      <c r="BP139" s="336"/>
      <c r="BQ139" s="336"/>
      <c r="BR139" s="336"/>
      <c r="BS139" s="336"/>
      <c r="BT139" s="336"/>
      <c r="BU139" s="336"/>
      <c r="BV139" s="336"/>
      <c r="BW139" s="336"/>
      <c r="BX139" s="336"/>
      <c r="BY139" s="336"/>
      <c r="BZ139" s="336"/>
      <c r="CA139" s="336"/>
      <c r="CB139" s="336"/>
      <c r="CC139" s="336"/>
      <c r="CD139" s="336"/>
      <c r="CE139" s="336"/>
      <c r="CF139" s="336"/>
      <c r="CG139" s="336"/>
      <c r="CH139" s="336"/>
      <c r="CI139" s="336"/>
      <c r="CJ139" s="336"/>
      <c r="CK139" s="336"/>
      <c r="CL139" s="336"/>
      <c r="CM139" s="336"/>
      <c r="CN139" s="336"/>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6"/>
      <c r="DL139" s="336"/>
      <c r="DM139" s="336"/>
      <c r="DN139" s="336"/>
      <c r="DO139" s="336"/>
      <c r="DP139" s="336"/>
      <c r="DQ139" s="336"/>
      <c r="DR139" s="336"/>
      <c r="DS139" s="336"/>
      <c r="DT139" s="336"/>
      <c r="DU139" s="336"/>
      <c r="DV139" s="336"/>
      <c r="DW139" s="336"/>
      <c r="DX139" s="336"/>
      <c r="DY139" s="336"/>
      <c r="DZ139" s="336"/>
      <c r="EA139" s="336"/>
      <c r="EB139" s="336"/>
      <c r="EC139" s="336"/>
      <c r="ED139" s="336"/>
      <c r="EE139" s="336"/>
      <c r="EF139" s="336"/>
      <c r="EG139" s="336"/>
      <c r="EH139" s="336"/>
      <c r="EI139" s="336"/>
      <c r="EJ139" s="336"/>
      <c r="EK139" s="336"/>
      <c r="EL139" s="336"/>
      <c r="EM139" s="336"/>
      <c r="EN139" s="336"/>
      <c r="EO139" s="336"/>
      <c r="EP139" s="336"/>
      <c r="EQ139" s="336"/>
      <c r="ER139" s="336"/>
      <c r="ES139" s="336"/>
      <c r="ET139" s="336"/>
      <c r="EU139" s="336"/>
      <c r="EV139" s="336"/>
      <c r="EW139" s="336"/>
      <c r="EX139" s="336"/>
      <c r="EY139" s="336"/>
      <c r="EZ139" s="336"/>
      <c r="FA139" s="336"/>
      <c r="FB139" s="336"/>
      <c r="FC139" s="336"/>
      <c r="FD139" s="336"/>
      <c r="FE139" s="336"/>
      <c r="FF139" s="336"/>
      <c r="FG139" s="336"/>
      <c r="FH139" s="336"/>
      <c r="FI139" s="336"/>
      <c r="FJ139" s="336"/>
      <c r="FK139" s="336"/>
      <c r="FL139" s="336"/>
      <c r="FM139" s="336"/>
      <c r="FN139" s="336"/>
      <c r="FO139" s="336"/>
      <c r="FP139" s="336"/>
      <c r="FQ139" s="336"/>
      <c r="FR139" s="336"/>
      <c r="FS139" s="336"/>
      <c r="FT139" s="336"/>
      <c r="FU139" s="336"/>
      <c r="FV139" s="336"/>
      <c r="FW139" s="337"/>
      <c r="FX139" s="497"/>
      <c r="FY139" s="497"/>
      <c r="FZ139" s="1216"/>
      <c r="GA139" s="1181"/>
      <c r="GB139" s="1181"/>
      <c r="GC139" s="1181" t="s">
        <v>2128</v>
      </c>
      <c r="GD139" s="1181"/>
    </row>
    <row s="1619" customFormat="1" customHeight="1" ht="15" hidden="1">
      <c r="A140" s="1461"/>
      <c r="B140" s="961">
        <f>R120="двухставочный"</f>
        <v>0</v>
      </c>
      <c r="C140" s="1322"/>
      <c r="D140" s="1291"/>
      <c r="E140" s="794">
        <v>15.8</v>
      </c>
      <c r="F140" s="919" cm="1" t="str">
        <f t="array" ref="F140:F140">OFFSET(G140,-1,-1)</f>
        <v>2</v>
      </c>
      <c r="G140" s="497"/>
      <c r="H140" s="497"/>
      <c r="I140" s="497"/>
      <c r="J140" s="1314"/>
      <c r="K140" s="1312" cm="1" t="str">
        <f t="array" ref="K140:K140">OFFSET(J140,-1,1)</f>
        <v>ТЭ.42.26824396.0005</v>
      </c>
      <c r="L140" s="1314"/>
      <c r="M140" s="1314"/>
      <c r="N140" s="1314"/>
      <c r="O140" s="1314"/>
      <c r="P140" s="1314"/>
      <c r="Q140" s="1296"/>
      <c r="R140" s="925"/>
      <c r="S140" s="497"/>
      <c r="T140" s="805">
        <f>AND(F140&gt;0,G120="двухставочный")</f>
        <v>0</v>
      </c>
      <c r="U140" s="1461"/>
      <c r="V140" s="1461"/>
      <c r="W140" s="1461"/>
      <c r="X140" s="1461"/>
      <c r="Y140" s="1461"/>
      <c r="Z140" s="1461"/>
      <c r="AA140" s="497"/>
      <c r="AB140" s="745" t="s">
        <v>2131</v>
      </c>
      <c r="AC140" s="357"/>
      <c r="AD140" s="358"/>
      <c r="AE140" s="358"/>
      <c r="AF140" s="358"/>
      <c r="AG140" s="358"/>
      <c r="AH140" s="358"/>
      <c r="AI140" s="358"/>
      <c r="AJ140" s="358"/>
      <c r="AK140" s="358"/>
      <c r="AL140" s="358"/>
      <c r="AM140" s="358"/>
      <c r="AN140" s="358"/>
      <c r="AO140" s="358"/>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c r="BR140" s="358"/>
      <c r="BS140" s="358"/>
      <c r="BT140" s="358"/>
      <c r="BU140" s="358"/>
      <c r="BV140" s="358"/>
      <c r="BW140" s="358"/>
      <c r="BX140" s="358"/>
      <c r="BY140" s="358"/>
      <c r="BZ140" s="358"/>
      <c r="CA140" s="358"/>
      <c r="CB140" s="358"/>
      <c r="CC140" s="358"/>
      <c r="CD140" s="358"/>
      <c r="CE140" s="358"/>
      <c r="CF140" s="358"/>
      <c r="CG140" s="358"/>
      <c r="CH140" s="358"/>
      <c r="CI140" s="358"/>
      <c r="CJ140" s="358"/>
      <c r="CK140" s="358"/>
      <c r="CL140" s="358"/>
      <c r="CM140" s="358"/>
      <c r="CN140" s="358"/>
      <c r="CO140" s="358"/>
      <c r="CP140" s="358"/>
      <c r="CQ140" s="358"/>
      <c r="CR140" s="358"/>
      <c r="CS140" s="358"/>
      <c r="CT140" s="358"/>
      <c r="CU140" s="358"/>
      <c r="CV140" s="358"/>
      <c r="CW140" s="358"/>
      <c r="CX140" s="358"/>
      <c r="CY140" s="358"/>
      <c r="CZ140" s="358"/>
      <c r="DA140" s="358"/>
      <c r="DB140" s="358"/>
      <c r="DC140" s="358"/>
      <c r="DD140" s="358"/>
      <c r="DE140" s="358"/>
      <c r="DF140" s="358"/>
      <c r="DG140" s="358"/>
      <c r="DH140" s="358"/>
      <c r="DI140" s="358"/>
      <c r="DJ140" s="358"/>
      <c r="DK140" s="358"/>
      <c r="DL140" s="358"/>
      <c r="DM140" s="358"/>
      <c r="DN140" s="358"/>
      <c r="DO140" s="358"/>
      <c r="DP140" s="358"/>
      <c r="DQ140" s="358"/>
      <c r="DR140" s="358"/>
      <c r="DS140" s="358"/>
      <c r="DT140" s="358"/>
      <c r="DU140" s="358"/>
      <c r="DV140" s="358"/>
      <c r="DW140" s="358"/>
      <c r="DX140" s="358"/>
      <c r="DY140" s="358"/>
      <c r="DZ140" s="358"/>
      <c r="EA140" s="358"/>
      <c r="EB140" s="358"/>
      <c r="EC140" s="358"/>
      <c r="ED140" s="358"/>
      <c r="EE140" s="358"/>
      <c r="EF140" s="358"/>
      <c r="EG140" s="358"/>
      <c r="EH140" s="358"/>
      <c r="EI140" s="358"/>
      <c r="EJ140" s="358"/>
      <c r="EK140" s="358"/>
      <c r="EL140" s="358"/>
      <c r="EM140" s="358"/>
      <c r="EN140" s="358"/>
      <c r="EO140" s="358"/>
      <c r="EP140" s="358"/>
      <c r="EQ140" s="358"/>
      <c r="ER140" s="358"/>
      <c r="ES140" s="358"/>
      <c r="ET140" s="358"/>
      <c r="EU140" s="358"/>
      <c r="EV140" s="358"/>
      <c r="EW140" s="358"/>
      <c r="EX140" s="358"/>
      <c r="EY140" s="358"/>
      <c r="EZ140" s="358"/>
      <c r="FA140" s="358"/>
      <c r="FB140" s="358"/>
      <c r="FC140" s="358"/>
      <c r="FD140" s="358"/>
      <c r="FE140" s="358"/>
      <c r="FF140" s="358"/>
      <c r="FG140" s="358"/>
      <c r="FH140" s="358"/>
      <c r="FI140" s="358"/>
      <c r="FJ140" s="358"/>
      <c r="FK140" s="358"/>
      <c r="FL140" s="358"/>
      <c r="FM140" s="358"/>
      <c r="FN140" s="358"/>
      <c r="FO140" s="358"/>
      <c r="FP140" s="358"/>
      <c r="FQ140" s="358"/>
      <c r="FR140" s="358"/>
      <c r="FS140" s="358"/>
      <c r="FT140" s="358"/>
      <c r="FU140" s="358"/>
      <c r="FV140" s="358"/>
      <c r="FW140" s="359"/>
      <c r="FX140" s="497"/>
      <c r="FY140" s="497"/>
      <c r="FZ140" s="1216"/>
      <c r="GA140" s="1181"/>
      <c r="GB140" s="1181"/>
      <c r="GC140" s="1181"/>
      <c r="GD140" s="1181"/>
    </row>
    <row s="1619" customFormat="1" customHeight="1" ht="15" hidden="1">
      <c r="A141" s="1461"/>
      <c r="B141" s="961" cm="1" t="str">
        <f t="array" ref="B141:B141">B140</f>
        <v>false</v>
      </c>
      <c r="C141" s="1322"/>
      <c r="D141" s="1291"/>
      <c r="E141" s="794">
        <v>15.8</v>
      </c>
      <c r="F141" s="919" cm="1" t="str">
        <f t="array" ref="F141:F141">OFFSET(G141,-1,-1)</f>
        <v>2</v>
      </c>
      <c r="G141" s="497"/>
      <c r="H141" s="497"/>
      <c r="I141" s="497"/>
      <c r="J141" s="1314"/>
      <c r="K141" s="1312" cm="1" t="str">
        <f t="array" ref="K141:K141">OFFSET(J141,-1,1)</f>
        <v>ТЭ.42.26824396.0005</v>
      </c>
      <c r="L141" s="1314"/>
      <c r="M141" s="1314"/>
      <c r="N141" s="1314"/>
      <c r="O141" s="1314"/>
      <c r="P141" s="1314"/>
      <c r="Q141" s="1296"/>
      <c r="R141" s="925"/>
      <c r="S141" s="497"/>
      <c r="T141" s="805" cm="1" t="str">
        <f t="array" ref="T141:T141">T140</f>
        <v>false</v>
      </c>
      <c r="U141" s="1461"/>
      <c r="V141" s="1461"/>
      <c r="W141" s="1461"/>
      <c r="X141" s="1461"/>
      <c r="Y141" s="1461"/>
      <c r="Z141" s="1461"/>
      <c r="AA141" s="497"/>
      <c r="AB141" s="1351" t="s">
        <v>2132</v>
      </c>
      <c r="AC141" s="367"/>
      <c r="AD141" s="368"/>
      <c r="AE141" s="368"/>
      <c r="AF141" s="368"/>
      <c r="AG141" s="368"/>
      <c r="AH141" s="368"/>
      <c r="AI141" s="368"/>
      <c r="AJ141" s="368"/>
      <c r="AK141" s="368"/>
      <c r="AL141" s="368"/>
      <c r="AM141" s="368"/>
      <c r="AN141" s="368"/>
      <c r="AO141" s="368"/>
      <c r="AP141" s="368"/>
      <c r="AQ141" s="368"/>
      <c r="AR141" s="368"/>
      <c r="AS141" s="368"/>
      <c r="AT141" s="368"/>
      <c r="AU141" s="368"/>
      <c r="AV141" s="368"/>
      <c r="AW141" s="368"/>
      <c r="AX141" s="368"/>
      <c r="AY141" s="368"/>
      <c r="AZ141" s="368"/>
      <c r="BA141" s="368"/>
      <c r="BB141" s="368"/>
      <c r="BC141" s="368"/>
      <c r="BD141" s="368"/>
      <c r="BE141" s="368"/>
      <c r="BF141" s="368"/>
      <c r="BG141" s="368"/>
      <c r="BH141" s="368"/>
      <c r="BI141" s="368"/>
      <c r="BJ141" s="368"/>
      <c r="BK141" s="368"/>
      <c r="BL141" s="368"/>
      <c r="BM141" s="368"/>
      <c r="BN141" s="368"/>
      <c r="BO141" s="368"/>
      <c r="BP141" s="368"/>
      <c r="BQ141" s="368"/>
      <c r="BR141" s="368"/>
      <c r="BS141" s="368"/>
      <c r="BT141" s="368"/>
      <c r="BU141" s="368"/>
      <c r="BV141" s="368"/>
      <c r="BW141" s="368"/>
      <c r="BX141" s="368"/>
      <c r="BY141" s="368"/>
      <c r="BZ141" s="368"/>
      <c r="CA141" s="368"/>
      <c r="CB141" s="368"/>
      <c r="CC141" s="368"/>
      <c r="CD141" s="368"/>
      <c r="CE141" s="368"/>
      <c r="CF141" s="368"/>
      <c r="CG141" s="368"/>
      <c r="CH141" s="368"/>
      <c r="CI141" s="368"/>
      <c r="CJ141" s="368"/>
      <c r="CK141" s="368"/>
      <c r="CL141" s="368"/>
      <c r="CM141" s="368"/>
      <c r="CN141" s="368"/>
      <c r="CO141" s="368"/>
      <c r="CP141" s="368"/>
      <c r="CQ141" s="368"/>
      <c r="CR141" s="368"/>
      <c r="CS141" s="368"/>
      <c r="CT141" s="368"/>
      <c r="CU141" s="368"/>
      <c r="CV141" s="368"/>
      <c r="CW141" s="368"/>
      <c r="CX141" s="368"/>
      <c r="CY141" s="368"/>
      <c r="CZ141" s="368"/>
      <c r="DA141" s="368"/>
      <c r="DB141" s="368"/>
      <c r="DC141" s="368"/>
      <c r="DD141" s="368"/>
      <c r="DE141" s="368"/>
      <c r="DF141" s="368"/>
      <c r="DG141" s="368"/>
      <c r="DH141" s="368"/>
      <c r="DI141" s="368"/>
      <c r="DJ141" s="368"/>
      <c r="DK141" s="368"/>
      <c r="DL141" s="368"/>
      <c r="DM141" s="368"/>
      <c r="DN141" s="368"/>
      <c r="DO141" s="368"/>
      <c r="DP141" s="368"/>
      <c r="DQ141" s="368"/>
      <c r="DR141" s="368"/>
      <c r="DS141" s="368"/>
      <c r="DT141" s="368"/>
      <c r="DU141" s="368"/>
      <c r="DV141" s="368"/>
      <c r="DW141" s="368"/>
      <c r="DX141" s="368"/>
      <c r="DY141" s="368"/>
      <c r="DZ141" s="368"/>
      <c r="EA141" s="368"/>
      <c r="EB141" s="368"/>
      <c r="EC141" s="368"/>
      <c r="ED141" s="368"/>
      <c r="EE141" s="368"/>
      <c r="EF141" s="368"/>
      <c r="EG141" s="368"/>
      <c r="EH141" s="368"/>
      <c r="EI141" s="368"/>
      <c r="EJ141" s="368"/>
      <c r="EK141" s="368"/>
      <c r="EL141" s="368"/>
      <c r="EM141" s="368"/>
      <c r="EN141" s="368"/>
      <c r="EO141" s="368"/>
      <c r="EP141" s="368"/>
      <c r="EQ141" s="368"/>
      <c r="ER141" s="368"/>
      <c r="ES141" s="368"/>
      <c r="ET141" s="368"/>
      <c r="EU141" s="368"/>
      <c r="EV141" s="368"/>
      <c r="EW141" s="368"/>
      <c r="EX141" s="368"/>
      <c r="EY141" s="368"/>
      <c r="EZ141" s="368"/>
      <c r="FA141" s="368"/>
      <c r="FB141" s="368"/>
      <c r="FC141" s="368"/>
      <c r="FD141" s="368"/>
      <c r="FE141" s="368"/>
      <c r="FF141" s="368"/>
      <c r="FG141" s="368"/>
      <c r="FH141" s="368"/>
      <c r="FI141" s="368"/>
      <c r="FJ141" s="368"/>
      <c r="FK141" s="368"/>
      <c r="FL141" s="368"/>
      <c r="FM141" s="368"/>
      <c r="FN141" s="368"/>
      <c r="FO141" s="368"/>
      <c r="FP141" s="368"/>
      <c r="FQ141" s="368"/>
      <c r="FR141" s="368"/>
      <c r="FS141" s="368"/>
      <c r="FT141" s="368"/>
      <c r="FU141" s="368"/>
      <c r="FV141" s="368"/>
      <c r="FW141" s="369"/>
      <c r="FX141" s="497"/>
      <c r="FY141" s="497"/>
      <c r="FZ141" s="1216"/>
      <c r="GA141" s="1181"/>
      <c r="GB141" s="1181"/>
      <c r="GC141" s="1181"/>
      <c r="GD141" s="1181"/>
    </row>
    <row s="1619" customFormat="1" customHeight="1" ht="15" hidden="1">
      <c r="A142" s="1461"/>
      <c r="B142" s="961" cm="1" t="str">
        <f t="array" ref="B142:B142">B141</f>
        <v>false</v>
      </c>
      <c r="C142" s="1322" t="s">
        <v>2133</v>
      </c>
      <c r="D142" s="1291" t="s">
        <v>2134</v>
      </c>
      <c r="E142" s="794">
        <v>15.8</v>
      </c>
      <c r="F142" s="919" cm="1" t="str">
        <f t="array" ref="F142:F142">OFFSET(G142,-1,-1)</f>
        <v>2</v>
      </c>
      <c r="G142" s="736" t="s">
        <v>1729</v>
      </c>
      <c r="H142" s="210" t="s">
        <v>2135</v>
      </c>
      <c r="I142" s="210" t="s">
        <v>2088</v>
      </c>
      <c r="J142" s="1312"/>
      <c r="K142" s="1312" cm="1" t="str">
        <f t="array" ref="K142:K142">OFFSET(J142,-1,1)</f>
        <v>ТЭ.42.26824396.0005</v>
      </c>
      <c r="L142" s="1312"/>
      <c r="M142" s="1312" t="s">
        <v>1724</v>
      </c>
      <c r="N142" s="1312" t="s">
        <v>2091</v>
      </c>
      <c r="O142" s="1313" t="s">
        <v>2092</v>
      </c>
      <c r="P142" s="1312" t="s">
        <v>2136</v>
      </c>
      <c r="Q142" s="1312"/>
      <c r="R142" s="925"/>
      <c r="S142" s="497"/>
      <c r="T142" s="805" cm="1" t="str">
        <f t="array" ref="T142:T142">T141</f>
        <v>false</v>
      </c>
      <c r="U142" s="1461"/>
      <c r="V142" s="1461"/>
      <c r="W142" s="1461"/>
      <c r="X142" s="1461"/>
      <c r="Y142" s="1461"/>
      <c r="Z142" s="1461"/>
      <c r="AA142" s="497"/>
      <c r="AB142" s="273" t="s">
        <v>2137</v>
      </c>
      <c r="AC142" s="169" t="s">
        <v>895</v>
      </c>
      <c r="AD142" s="66">
        <f>IF(method_reg="Метод экономически обоснованных расходов",_xlfn.SUMIFS('Калькуляция (4.6)'!AJ$25:AJ$229,'Калькуляция (4.6)'!$F$25:$F$229,$F142,'Калькуляция (4.6)'!$G$25:$G$229,$G142),IF(method_reg="Метод сравнения аналогов",_xlfn.SUMIFS(INDEX('Калькуляция (МСА)'!$AE$25:$BC$109,,MATCH(AD$8,'Калькуляция (МСА)'!$AE$8:$BC$8,0)),'Калькуляция (МСА)'!$F$25:$F$109,$F142,'Калькуляция (МСА)'!$G$25:$G$109,$G142),_xlfn.SUMIFS(INDEX('Калькуляция (5.9)'!$AJ$25:$BC$192,,MATCH(AD$8,'Калькуляция (5.9)'!$AJ$8:$BC$8,0)),'Калькуляция (5.9)'!$F$25:$F$192,$F142,'Калькуляция (5.9)'!$G$25:$G$192,$G142)))</f>
        <v>2935.33</v>
      </c>
      <c r="AE142" s="66">
        <f>IF(method_reg="Метод экономически обоснованных расходов",_xlfn.SUMIFS('Калькуляция (4.6)'!AK$25:AK$229,'Калькуляция (4.6)'!$F$25:$F$229,$F142,'Калькуляция (4.6)'!$G$25:$G$229,$G142),IF(method_reg="Метод сравнения аналогов",_xlfn.SUMIFS(INDEX('Калькуляция (МСА)'!$AE$25:$BC$109,,MATCH(AE$8,'Калькуляция (МСА)'!$AE$8:$BC$8,0)),'Калькуляция (МСА)'!$F$25:$F$109,$F142,'Калькуляция (МСА)'!$G$25:$G$109,$G142),_xlfn.SUMIFS(INDEX('Калькуляция (5.9)'!$AJ$25:$BC$192,,MATCH(AE$8,'Калькуляция (5.9)'!$AJ$8:$BC$8,0)),'Калькуляция (5.9)'!$F$25:$F$192,$F142,'Калькуляция (5.9)'!$G$25:$G$192,$G142)))</f>
        <v>2935.33</v>
      </c>
      <c r="AF142" s="365">
        <f>IF(AD142=0,0,(AE142-AD142)/AD142*100)</f>
        <v>0</v>
      </c>
      <c r="AG142" s="366">
        <f>IF(method_reg="Метод сравнения аналогов",_xlfn.SUMIFS(INDEX('Калькуляция (МСА)'!$AE$25:$BC$109,,MATCH(AG$8,'Калькуляция (МСА)'!$AE$8:$BC$8,0)),'Калькуляция (МСА)'!$F$25:$F$109,$F142,'Калькуляция (МСА)'!$G$25:$G$109,$G142),_xlfn.SUMIFS(INDEX('Калькуляция (5.9)'!$AJ$25:$BC$192,,MATCH(AG$8,'Калькуляция (5.9)'!$AJ$8:$BC$8,0)),'Калькуляция (5.9)'!$F$25:$F$192,$F142,'Калькуляция (5.9)'!$G$25:$G$192,$G142))</f>
        <v>6917.15036615474</v>
      </c>
      <c r="AH142" s="366">
        <f>IF(method_reg="Метод сравнения аналогов",_xlfn.SUMIFS(INDEX('Калькуляция (МСА)'!$AE$25:$BC$109,,MATCH(AH$8,'Калькуляция (МСА)'!$AE$8:$BC$8,0)),'Калькуляция (МСА)'!$F$25:$F$109,$F142,'Калькуляция (МСА)'!$G$25:$G$109,$G142),_xlfn.SUMIFS(INDEX('Калькуляция (5.9)'!$AJ$25:$BC$192,,MATCH(AH$8,'Калькуляция (5.9)'!$AJ$8:$BC$8,0)),'Калькуляция (5.9)'!$F$25:$F$192,$F142,'Калькуляция (5.9)'!$G$25:$G$192,$G142))</f>
        <v>3228.86728754133</v>
      </c>
      <c r="AI142" s="365">
        <f>IF(AG142=0,0,(AH142-AG142)/AG142*100)</f>
        <v>-53.3208457728487</v>
      </c>
      <c r="AJ142" s="366">
        <f>IF(method_reg="Метод сравнения аналогов",_xlfn.SUMIFS(INDEX('Калькуляция (МСА)'!$AE$25:$BC$109,,MATCH(AJ$8,'Калькуляция (МСА)'!$AE$8:$BC$8,0)),'Калькуляция (МСА)'!$F$25:$F$109,$F142,'Калькуляция (МСА)'!$G$25:$G$109,$G142),_xlfn.SUMIFS(INDEX('Калькуляция (5.9)'!$AJ$25:$BC$192,,MATCH(AJ$8,'Калькуляция (5.9)'!$AJ$8:$BC$8,0)),'Калькуляция (5.9)'!$F$25:$F$192,$F142,'Калькуляция (5.9)'!$G$25:$G$192,$G142))</f>
        <v>6917.15036615477</v>
      </c>
      <c r="AK142" s="366">
        <f>IF(method_reg="Метод сравнения аналогов",_xlfn.SUMIFS(INDEX('Калькуляция (МСА)'!$AE$25:$BC$109,,MATCH(AK$8,'Калькуляция (МСА)'!$AE$8:$BC$8,0)),'Калькуляция (МСА)'!$F$25:$F$109,$F142,'Калькуляция (МСА)'!$G$25:$G$109,$G142),_xlfn.SUMIFS(INDEX('Калькуляция (5.9)'!$AJ$25:$BC$192,,MATCH(AK$8,'Калькуляция (5.9)'!$AJ$8:$BC$8,0)),'Калькуляция (5.9)'!$F$25:$F$192,$F142,'Калькуляция (5.9)'!$G$25:$G$192,$G142))</f>
        <v>4827.99161324375</v>
      </c>
      <c r="AL142" s="365">
        <f>IF(AJ142=0,0,(AK142-AJ142)/AJ142*100)</f>
        <v>-30.2025927198743</v>
      </c>
      <c r="AM142" s="366">
        <f>IF(method_reg="Метод сравнения аналогов",_xlfn.SUMIFS(INDEX('Калькуляция (МСА)'!$AE$25:$BC$109,,MATCH(AM$8,'Калькуляция (МСА)'!$AE$8:$BC$8,0)),'Калькуляция (МСА)'!$F$25:$F$109,$F142,'Калькуляция (МСА)'!$G$25:$G$109,$G142),_xlfn.SUMIFS(INDEX('Калькуляция (5.9)'!$AJ$25:$BC$192,,MATCH(AM$8,'Калькуляция (5.9)'!$AJ$8:$BC$8,0)),'Калькуляция (5.9)'!$F$25:$F$192,$F142,'Калькуляция (5.9)'!$G$25:$G$192,$G142))</f>
        <v>7342.58281529993</v>
      </c>
      <c r="AN142" s="366">
        <f>IF(method_reg="Метод сравнения аналогов",_xlfn.SUMIFS(INDEX('Калькуляция (МСА)'!$AE$25:$BC$109,,MATCH(AN$8,'Калькуляция (МСА)'!$AE$8:$BC$8,0)),'Калькуляция (МСА)'!$F$25:$F$109,$F142,'Калькуляция (МСА)'!$G$25:$G$109,$G142),_xlfn.SUMIFS(INDEX('Калькуляция (5.9)'!$AJ$25:$BC$192,,MATCH(AN$8,'Калькуляция (5.9)'!$AJ$8:$BC$8,0)),'Калькуляция (5.9)'!$F$25:$F$192,$F142,'Калькуляция (5.9)'!$G$25:$G$192,$G142))</f>
        <v>4827.99161324376</v>
      </c>
      <c r="AO142" s="365">
        <f>IF(AM142=0,0,(AN142-AM142)/AM142*100)</f>
        <v>-34.2466849242265</v>
      </c>
      <c r="AP142" s="366">
        <f>IF(method_reg="Метод сравнения аналогов",_xlfn.SUMIFS(INDEX('Калькуляция (МСА)'!$AE$25:$BC$109,,MATCH(AP$8,'Калькуляция (МСА)'!$AE$8:$BC$8,0)),'Калькуляция (МСА)'!$F$25:$F$109,$F142,'Калькуляция (МСА)'!$G$25:$G$109,$G142),_xlfn.SUMIFS(INDEX('Калькуляция (5.9)'!$AJ$25:$BC$192,,MATCH(AP$8,'Калькуляция (5.9)'!$AJ$8:$BC$8,0)),'Калькуляция (5.9)'!$F$25:$F$192,$F142,'Калькуляция (5.9)'!$G$25:$G$192,$G142))</f>
        <v>7342.58281529991</v>
      </c>
      <c r="AQ142" s="366">
        <f>IF(method_reg="Метод сравнения аналогов",_xlfn.SUMIFS(INDEX('Калькуляция (МСА)'!$AE$25:$BC$109,,MATCH(AQ$8,'Калькуляция (МСА)'!$AE$8:$BC$8,0)),'Калькуляция (МСА)'!$F$25:$F$109,$F142,'Калькуляция (МСА)'!$G$25:$G$109,$G142),_xlfn.SUMIFS(INDEX('Калькуляция (5.9)'!$AJ$25:$BC$192,,MATCH(AQ$8,'Калькуляция (5.9)'!$AJ$8:$BC$8,0)),'Калькуляция (5.9)'!$F$25:$F$192,$F142,'Калькуляция (5.9)'!$G$25:$G$192,$G142))</f>
        <v>5115.44438620049</v>
      </c>
      <c r="AR142" s="365">
        <f>IF(AP142=0,0,(AQ142-AP142)/AP142*100)</f>
        <v>-30.3318121854708</v>
      </c>
      <c r="AS142" s="66">
        <f>IF(method_reg="Метод сравнения аналогов",_xlfn.SUMIFS(INDEX('Калькуляция (МСА)'!$AE$25:$BC$109,,MATCH(AS$8,'Калькуляция (МСА)'!$AE$8:$BC$8,0)),'Калькуляция (МСА)'!$F$25:$F$109,$F142,'Калькуляция (МСА)'!$G$25:$G$109,$G142),_xlfn.SUMIFS(INDEX('Калькуляция (5.9)'!$AJ$25:$BC$192,,MATCH(AS$8,'Калькуляция (5.9)'!$AJ$8:$BC$8,0)),'Калькуляция (5.9)'!$F$25:$F$192,$F142,'Калькуляция (5.9)'!$G$25:$G$192,$G142))</f>
        <v>2400.45285593701</v>
      </c>
      <c r="AT142" s="66">
        <f>IF(method_reg="Метод сравнения аналогов",_xlfn.SUMIFS(INDEX('Калькуляция (МСА)'!$AE$25:$BC$109,,MATCH(AT$8,'Калькуляция (МСА)'!$AE$8:$BC$8,0)),'Калькуляция (МСА)'!$F$25:$F$109,$F142,'Калькуляция (МСА)'!$G$25:$G$109,$G142),_xlfn.SUMIFS(INDEX('Калькуляция (5.9)'!$AJ$25:$BC$192,,MATCH(AT$8,'Калькуляция (5.9)'!$AJ$8:$BC$8,0)),'Калькуляция (5.9)'!$F$25:$F$192,$F142,'Калькуляция (5.9)'!$G$25:$G$192,$G142))</f>
        <v>0</v>
      </c>
      <c r="AU142" s="365">
        <f>IF(AS142=0,0,(AT142-AS142)/AS142*100)</f>
        <v>-100</v>
      </c>
      <c r="AV142" s="66">
        <f>IF(method_reg="Метод сравнения аналогов",_xlfn.SUMIFS(INDEX('Калькуляция (МСА)'!$AE$25:$BC$109,,MATCH(AV$8,'Калькуляция (МСА)'!$AE$8:$BC$8,0)),'Калькуляция (МСА)'!$F$25:$F$109,$F142,'Калькуляция (МСА)'!$G$25:$G$109,$G142),_xlfn.SUMIFS(INDEX('Калькуляция (5.9)'!$AJ$25:$BC$192,,MATCH(AV$8,'Калькуляция (5.9)'!$AJ$8:$BC$8,0)),'Калькуляция (5.9)'!$F$25:$F$192,$F142,'Калькуляция (5.9)'!$G$25:$G$192,$G142))</f>
        <v>2376.44832737764</v>
      </c>
      <c r="AW142" s="66">
        <f>IF(method_reg="Метод сравнения аналогов",_xlfn.SUMIFS(INDEX('Калькуляция (МСА)'!$AE$25:$BC$109,,MATCH(AW$8,'Калькуляция (МСА)'!$AE$8:$BC$8,0)),'Калькуляция (МСА)'!$F$25:$F$109,$F142,'Калькуляция (МСА)'!$G$25:$G$109,$G142),_xlfn.SUMIFS(INDEX('Калькуляция (5.9)'!$AJ$25:$BC$192,,MATCH(AW$8,'Калькуляция (5.9)'!$AJ$8:$BC$8,0)),'Калькуляция (5.9)'!$F$25:$F$192,$F142,'Калькуляция (5.9)'!$G$25:$G$192,$G142))</f>
        <v>0</v>
      </c>
      <c r="AX142" s="365">
        <f>IF(AV142=0,0,(AW142-AV142)/AV142*100)</f>
        <v>-100</v>
      </c>
      <c r="AY142" s="66">
        <f>IF(method_reg="Метод сравнения аналогов",_xlfn.SUMIFS(INDEX('Калькуляция (МСА)'!$AE$25:$BC$109,,MATCH(AY$8,'Калькуляция (МСА)'!$AE$8:$BC$8,0)),'Калькуляция (МСА)'!$F$25:$F$109,$F142,'Калькуляция (МСА)'!$G$25:$G$109,$G142),_xlfn.SUMIFS(INDEX('Калькуляция (5.9)'!$AJ$25:$BC$192,,MATCH(AY$8,'Калькуляция (5.9)'!$AJ$8:$BC$8,0)),'Калькуляция (5.9)'!$F$25:$F$192,$F142,'Калькуляция (5.9)'!$G$25:$G$192,$G142))</f>
        <v>2352.68384410387</v>
      </c>
      <c r="AZ142" s="66">
        <f>IF(method_reg="Метод сравнения аналогов",_xlfn.SUMIFS(INDEX('Калькуляция (МСА)'!$AE$25:$BC$109,,MATCH(AZ$8,'Калькуляция (МСА)'!$AE$8:$BC$8,0)),'Калькуляция (МСА)'!$F$25:$F$109,$F142,'Калькуляция (МСА)'!$G$25:$G$109,$G142),_xlfn.SUMIFS(INDEX('Калькуляция (5.9)'!$AJ$25:$BC$192,,MATCH(AZ$8,'Калькуляция (5.9)'!$AJ$8:$BC$8,0)),'Калькуляция (5.9)'!$F$25:$F$192,$F142,'Калькуляция (5.9)'!$G$25:$G$192,$G142))</f>
        <v>0</v>
      </c>
      <c r="BA142" s="365">
        <f>IF(AY142=0,0,(AZ142-AY142)/AY142*100)</f>
        <v>-100</v>
      </c>
      <c r="BB142" s="66">
        <f>IF(method_reg="Метод сравнения аналогов",_xlfn.SUMIFS(INDEX('Калькуляция (МСА)'!$AE$25:$BC$109,,MATCH(BB$8,'Калькуляция (МСА)'!$AE$8:$BC$8,0)),'Калькуляция (МСА)'!$F$25:$F$109,$F142,'Калькуляция (МСА)'!$G$25:$G$109,$G142),_xlfn.SUMIFS(INDEX('Калькуляция (5.9)'!$AJ$25:$BC$192,,MATCH(BB$8,'Калькуляция (5.9)'!$AJ$8:$BC$8,0)),'Калькуляция (5.9)'!$F$25:$F$192,$F142,'Калькуляция (5.9)'!$G$25:$G$192,$G142))</f>
        <v>2329.15700566283</v>
      </c>
      <c r="BC142" s="66">
        <f>IF(method_reg="Метод сравнения аналогов",_xlfn.SUMIFS(INDEX('Калькуляция (МСА)'!$AE$25:$BC$109,,MATCH(BC$8,'Калькуляция (МСА)'!$AE$8:$BC$8,0)),'Калькуляция (МСА)'!$F$25:$F$109,$F142,'Калькуляция (МСА)'!$G$25:$G$109,$G142),_xlfn.SUMIFS(INDEX('Калькуляция (5.9)'!$AJ$25:$BC$192,,MATCH(BC$8,'Калькуляция (5.9)'!$AJ$8:$BC$8,0)),'Калькуляция (5.9)'!$F$25:$F$192,$F142,'Калькуляция (5.9)'!$G$25:$G$192,$G142))</f>
        <v>0</v>
      </c>
      <c r="BD142" s="365">
        <f>IF(BB142=0,0,(BC142-BB142)/BB142*100)</f>
        <v>-100</v>
      </c>
      <c r="BE142" s="66">
        <f>IF(method_reg="Метод сравнения аналогов",_xlfn.SUMIFS(INDEX('Калькуляция (МСА)'!$AE$25:$BC$109,,MATCH(BE$8,'Калькуляция (МСА)'!$AE$8:$BC$8,0)),'Калькуляция (МСА)'!$F$25:$F$109,$F142,'Калькуляция (МСА)'!$G$25:$G$109,$G142),_xlfn.SUMIFS(INDEX('Калькуляция (5.9)'!$AJ$25:$BC$192,,MATCH(BE$8,'Калькуляция (5.9)'!$AJ$8:$BC$8,0)),'Калькуляция (5.9)'!$F$25:$F$192,$F142,'Калькуляция (5.9)'!$G$25:$G$192,$G142))</f>
        <v>2305.8654356062</v>
      </c>
      <c r="BF142" s="66">
        <f>IF(method_reg="Метод сравнения аналогов",_xlfn.SUMIFS(INDEX('Калькуляция (МСА)'!$AE$25:$BC$109,,MATCH(BF$8,'Калькуляция (МСА)'!$AE$8:$BC$8,0)),'Калькуляция (МСА)'!$F$25:$F$109,$F142,'Калькуляция (МСА)'!$G$25:$G$109,$G142),_xlfn.SUMIFS(INDEX('Калькуляция (5.9)'!$AJ$25:$BC$192,,MATCH(BF$8,'Калькуляция (5.9)'!$AJ$8:$BC$8,0)),'Калькуляция (5.9)'!$F$25:$F$192,$F142,'Калькуляция (5.9)'!$G$25:$G$192,$G142))</f>
        <v>0</v>
      </c>
      <c r="BG142" s="365">
        <f>IF(BE142=0,0,(BF142-BE142)/BE142*100)</f>
        <v>-100</v>
      </c>
      <c r="BH142" s="66">
        <f>IF(BH144=0,0,(BH143*BH144+BH145*BH146*6)/BH144)</f>
        <v>0</v>
      </c>
      <c r="BI142" s="66">
        <f>IF(BI144=0,0,(BI143*BI144+BI145*BI146*6)/BI144)</f>
        <v>0</v>
      </c>
      <c r="BJ142" s="365">
        <f>IF(BH142=0,0,(BI142-BH142)/BH142*100)</f>
        <v>0</v>
      </c>
      <c r="BK142" s="66">
        <f>IF(BK144=0,0,(BK143*BK144+BK145*BK146*6)/BK144)</f>
        <v>0</v>
      </c>
      <c r="BL142" s="66">
        <f>IF(BL144=0,0,(BL143*BL144+BL145*BL146*6)/BL144)</f>
        <v>0</v>
      </c>
      <c r="BM142" s="365">
        <f>IF(BK142=0,0,(BL142-BK142)/BK142*100)</f>
        <v>0</v>
      </c>
      <c r="BN142" s="66">
        <f>IF(BN144=0,0,(BN143*BN144+BN145*BN146*6)/BN144)</f>
        <v>0</v>
      </c>
      <c r="BO142" s="66">
        <f>IF(BO144=0,0,(BO143*BO144+BO145*BO146*6)/BO144)</f>
        <v>0</v>
      </c>
      <c r="BP142" s="365">
        <f>IF(BN142=0,0,(BO142-BN142)/BN142*100)</f>
        <v>0</v>
      </c>
      <c r="BQ142" s="66">
        <f>IF(BQ144=0,0,(BQ143*BQ144+BQ145*BQ146*6)/BQ144)</f>
        <v>0</v>
      </c>
      <c r="BR142" s="66">
        <f>IF(BR144=0,0,(BR143*BR144+BR145*BR146*6)/BR144)</f>
        <v>0</v>
      </c>
      <c r="BS142" s="365">
        <f>IF(BQ142=0,0,(BR142-BQ142)/BQ142*100)</f>
        <v>0</v>
      </c>
      <c r="BT142" s="66">
        <f>IF(BT144=0,0,(BT143*BT144+BT145*BT146*6)/BT144)</f>
        <v>0</v>
      </c>
      <c r="BU142" s="66">
        <f>IF(BU144=0,0,(BU143*BU144+BU145*BU146*6)/BU144)</f>
        <v>0</v>
      </c>
      <c r="BV142" s="365">
        <f>IF(BT142=0,0,(BU142-BT142)/BT142*100)</f>
        <v>0</v>
      </c>
      <c r="BW142" s="66">
        <f>IF(BW144=0,0,(BW143*BW144+BW145*BW146*6)/BW144)</f>
        <v>0</v>
      </c>
      <c r="BX142" s="66">
        <f>IF(BX144=0,0,(BX143*BX144+BX145*BX146*6)/BX144)</f>
        <v>0</v>
      </c>
      <c r="BY142" s="365">
        <f>IF(BW142=0,0,(BX142-BW142)/BW142*100)</f>
        <v>0</v>
      </c>
      <c r="BZ142" s="66">
        <f>IF(BZ144=0,0,(BZ143*BZ144+BZ145*BZ146*6)/BZ144)</f>
        <v>0</v>
      </c>
      <c r="CA142" s="66">
        <f>IF(CA144=0,0,(CA143*CA144+CA145*CA146*6)/CA144)</f>
        <v>0</v>
      </c>
      <c r="CB142" s="365">
        <f>IF(BZ142=0,0,(CA142-BZ142)/BZ142*100)</f>
        <v>0</v>
      </c>
      <c r="CC142" s="66">
        <f>IF(CC144=0,0,(CC143*CC144+CC145*CC146*6)/CC144)</f>
        <v>0</v>
      </c>
      <c r="CD142" s="66">
        <f>IF(CD144=0,0,(CD143*CD144+CD145*CD146*6)/CD144)</f>
        <v>0</v>
      </c>
      <c r="CE142" s="365">
        <f>IF(CC142=0,0,(CD142-CC142)/CC142*100)</f>
        <v>0</v>
      </c>
      <c r="CF142" s="66">
        <f>IF(CF144=0,0,(CF143*CF144+CF145*CF146*6)/CF144)</f>
        <v>0</v>
      </c>
      <c r="CG142" s="66">
        <f>IF(CG144=0,0,(CG143*CG144+CG145*CG146*6)/CG144)</f>
        <v>0</v>
      </c>
      <c r="CH142" s="365">
        <f>IF(CF142=0,0,(CG142-CF142)/CF142*100)</f>
        <v>0</v>
      </c>
      <c r="CI142" s="66">
        <f>IF(CI144=0,0,(CI143*CI144+CI145*CI146*6)/CI144)</f>
        <v>0</v>
      </c>
      <c r="CJ142" s="66">
        <f>IF(CJ144=0,0,(CJ143*CJ144+CJ145*CJ146*6)/CJ144)</f>
        <v>0</v>
      </c>
      <c r="CK142" s="365">
        <f>IF(CI142=0,0,(CJ142-CI142)/CI142*100)</f>
        <v>0</v>
      </c>
      <c r="CL142" s="66">
        <f>IF(CL144=0,0,(CL143*CL144+CL145*CL146*6)/CL144)</f>
        <v>0</v>
      </c>
      <c r="CM142" s="66">
        <f>IF(CM144=0,0,(CM143*CM144+CM145*CM146*6)/CM144)</f>
        <v>0</v>
      </c>
      <c r="CN142" s="365">
        <f>IF(CL142=0,0,(CM142-CL142)/CL142*100)</f>
        <v>0</v>
      </c>
      <c r="CO142" s="66">
        <f>IF(CO144=0,0,(CO143*CO144+CO145*CO146*6)/CO144)</f>
        <v>0</v>
      </c>
      <c r="CP142" s="66">
        <f>IF(CP144=0,0,(CP143*CP144+CP145*CP146*6)/CP144)</f>
        <v>0</v>
      </c>
      <c r="CQ142" s="365">
        <f>IF(CO142=0,0,(CP142-CO142)/CO142*100)</f>
        <v>0</v>
      </c>
      <c r="CR142" s="66">
        <f>IF(CR144=0,0,(CR143*CR144+CR145*CR146*6)/CR144)</f>
        <v>0</v>
      </c>
      <c r="CS142" s="66">
        <f>IF(CS144=0,0,(CS143*CS144+CS145*CS146*6)/CS144)</f>
        <v>0</v>
      </c>
      <c r="CT142" s="365">
        <f>IF(CR142=0,0,(CS142-CR142)/CR142*100)</f>
        <v>0</v>
      </c>
      <c r="CU142" s="66">
        <f>IF(CU144=0,0,(CU143*CU144+CU145*CU146*6)/CU144)</f>
        <v>0</v>
      </c>
      <c r="CV142" s="66">
        <f>IF(CV144=0,0,(CV143*CV144+CV145*CV146*6)/CV144)</f>
        <v>0</v>
      </c>
      <c r="CW142" s="365">
        <f>IF(CU142=0,0,(CV142-CU142)/CU142*100)</f>
        <v>0</v>
      </c>
      <c r="CX142" s="66">
        <f>IF(CX144=0,0,(CX143*CX144+CX145*CX146*6)/CX144)</f>
        <v>0</v>
      </c>
      <c r="CY142" s="66">
        <f>IF(CY144=0,0,(CY143*CY144+CY145*CY146*6)/CY144)</f>
        <v>0</v>
      </c>
      <c r="CZ142" s="365">
        <f>IF(CX142=0,0,(CY142-CX142)/CX142*100)</f>
        <v>0</v>
      </c>
      <c r="DA142" s="66">
        <f>IF(DA144=0,0,(DA143*DA144+DA145*DA146*6)/DA144)</f>
        <v>0</v>
      </c>
      <c r="DB142" s="66">
        <f>IF(DB144=0,0,(DB143*DB144+DB145*DB146*6)/DB144)</f>
        <v>0</v>
      </c>
      <c r="DC142" s="365">
        <f>IF(DA142=0,0,(DB142-DA142)/DA142*100)</f>
        <v>0</v>
      </c>
      <c r="DD142" s="66">
        <f>IF(DD144=0,0,(DD143*DD144+DD145*DD146*6)/DD144)</f>
        <v>0</v>
      </c>
      <c r="DE142" s="66">
        <f>IF(DE144=0,0,(DE143*DE144+DE145*DE146*6)/DE144)</f>
        <v>0</v>
      </c>
      <c r="DF142" s="365">
        <f>IF(DD142=0,0,(DE142-DD142)/DD142*100)</f>
        <v>0</v>
      </c>
      <c r="DG142" s="66">
        <f>IF(DG144=0,0,(DG143*DG144+DG145*DG146*6)/DG144)</f>
        <v>0</v>
      </c>
      <c r="DH142" s="66">
        <f>IF(DH144=0,0,(DH143*DH144+DH145*DH146*6)/DH144)</f>
        <v>0</v>
      </c>
      <c r="DI142" s="365">
        <f>IF(DG142=0,0,(DH142-DG142)/DG142*100)</f>
        <v>0</v>
      </c>
      <c r="DJ142" s="66">
        <f>IF(DJ144=0,0,(DJ143*DJ144+DJ145*DJ146*6)/DJ144)</f>
        <v>0</v>
      </c>
      <c r="DK142" s="66">
        <f>IF(DK144=0,0,(DK143*DK144+DK145*DK146*6)/DK144)</f>
        <v>0</v>
      </c>
      <c r="DL142" s="365">
        <f>IF(DJ142=0,0,(DK142-DJ142)/DJ142*100)</f>
        <v>0</v>
      </c>
      <c r="DM142" s="66">
        <f>IF(DM144=0,0,(DM143*DM144+DM145*DM146*6)/DM144)</f>
        <v>0</v>
      </c>
      <c r="DN142" s="66">
        <f>IF(DN144=0,0,(DN143*DN144+DN145*DN146*6)/DN144)</f>
        <v>0</v>
      </c>
      <c r="DO142" s="365">
        <f>IF(DM142=0,0,(DN142-DM142)/DM142*100)</f>
        <v>0</v>
      </c>
      <c r="DP142" s="66">
        <f>IF(DP144=0,0,(DP143*DP144+DP145*DP146*6)/DP144)</f>
        <v>0</v>
      </c>
      <c r="DQ142" s="66">
        <f>IF(DQ144=0,0,(DQ143*DQ144+DQ145*DQ146*6)/DQ144)</f>
        <v>0</v>
      </c>
      <c r="DR142" s="365">
        <f>IF(DP142=0,0,(DQ142-DP142)/DP142*100)</f>
        <v>0</v>
      </c>
      <c r="DS142" s="66">
        <f>IF(DS144=0,0,(DS143*DS144+DS145*DS146*6)/DS144)</f>
        <v>0</v>
      </c>
      <c r="DT142" s="66">
        <f>IF(DT144=0,0,(DT143*DT144+DT145*DT146*6)/DT144)</f>
        <v>0</v>
      </c>
      <c r="DU142" s="365">
        <f>IF(DS142=0,0,(DT142-DS142)/DS142*100)</f>
        <v>0</v>
      </c>
      <c r="DV142" s="66">
        <f>IF(DV144=0,0,(DV143*DV144+DV145*DV146*6)/DV144)</f>
        <v>0</v>
      </c>
      <c r="DW142" s="66">
        <f>IF(DW144=0,0,(DW143*DW144+DW145*DW146*6)/DW144)</f>
        <v>0</v>
      </c>
      <c r="DX142" s="365">
        <f>IF(DV142=0,0,(DW142-DV142)/DV142*100)</f>
        <v>0</v>
      </c>
      <c r="DY142" s="66">
        <f>IF(DY144=0,0,(DY143*DY144+DY145*DY146*6)/DY144)</f>
        <v>0</v>
      </c>
      <c r="DZ142" s="66">
        <f>IF(DZ144=0,0,(DZ143*DZ144+DZ145*DZ146*6)/DZ144)</f>
        <v>0</v>
      </c>
      <c r="EA142" s="365">
        <f>IF(DY142=0,0,(DZ142-DY142)/DY142*100)</f>
        <v>0</v>
      </c>
      <c r="EB142" s="66">
        <f>IF(EB144=0,0,(EB143*EB144+EB145*EB146*6)/EB144)</f>
        <v>0</v>
      </c>
      <c r="EC142" s="66">
        <f>IF(EC144=0,0,(EC143*EC144+EC145*EC146*6)/EC144)</f>
        <v>0</v>
      </c>
      <c r="ED142" s="365">
        <f>IF(EB142=0,0,(EC142-EB142)/EB142*100)</f>
        <v>0</v>
      </c>
      <c r="EE142" s="66">
        <f>IF(EE144=0,0,(EE143*EE144+EE145*EE146*6)/EE144)</f>
        <v>0</v>
      </c>
      <c r="EF142" s="66">
        <f>IF(EF144=0,0,(EF143*EF144+EF145*EF146*6)/EF144)</f>
        <v>0</v>
      </c>
      <c r="EG142" s="365">
        <f>IF(EE142=0,0,(EF142-EE142)/EE142*100)</f>
        <v>0</v>
      </c>
      <c r="EH142" s="66">
        <f>IF(EH144=0,0,(EH143*EH144+EH145*EH146*6)/EH144)</f>
        <v>0</v>
      </c>
      <c r="EI142" s="66">
        <f>IF(EI144=0,0,(EI143*EI144+EI145*EI146*6)/EI144)</f>
        <v>0</v>
      </c>
      <c r="EJ142" s="365">
        <f>IF(EH142=0,0,(EI142-EH142)/EH142*100)</f>
        <v>0</v>
      </c>
      <c r="EK142" s="66">
        <f>IF(EK144=0,0,(EK143*EK144+EK145*EK146*6)/EK144)</f>
        <v>0</v>
      </c>
      <c r="EL142" s="66">
        <f>IF(EL144=0,0,(EL143*EL144+EL145*EL146*6)/EL144)</f>
        <v>0</v>
      </c>
      <c r="EM142" s="365">
        <f>IF(EK142=0,0,(EL142-EK142)/EK142*100)</f>
        <v>0</v>
      </c>
      <c r="EN142" s="66">
        <f>IF(EN144=0,0,(EN143*EN144+EN145*EN146*6)/EN144)</f>
        <v>0</v>
      </c>
      <c r="EO142" s="66">
        <f>IF(EO144=0,0,(EO143*EO144+EO145*EO146*6)/EO144)</f>
        <v>0</v>
      </c>
      <c r="EP142" s="365">
        <f>IF(EN142=0,0,(EO142-EN142)/EN142*100)</f>
        <v>0</v>
      </c>
      <c r="EQ142" s="66">
        <f>IF(EQ144=0,0,(EQ143*EQ144+EQ145*EQ146*6)/EQ144)</f>
        <v>0</v>
      </c>
      <c r="ER142" s="66">
        <f>IF(ER144=0,0,(ER143*ER144+ER145*ER146*6)/ER144)</f>
        <v>0</v>
      </c>
      <c r="ES142" s="365">
        <f>IF(EQ142=0,0,(ER142-EQ142)/EQ142*100)</f>
        <v>0</v>
      </c>
      <c r="ET142" s="66">
        <f>IF(ET144=0,0,(ET143*ET144+ET145*ET146*6)/ET144)</f>
        <v>0</v>
      </c>
      <c r="EU142" s="66">
        <f>IF(EU144=0,0,(EU143*EU144+EU145*EU146*6)/EU144)</f>
        <v>0</v>
      </c>
      <c r="EV142" s="365">
        <f>IF(ET142=0,0,(EU142-ET142)/ET142*100)</f>
        <v>0</v>
      </c>
      <c r="EW142" s="66">
        <f>IF(EW144=0,0,(EW143*EW144+EW145*EW146*6)/EW144)</f>
        <v>0</v>
      </c>
      <c r="EX142" s="66">
        <f>IF(EX144=0,0,(EX143*EX144+EX145*EX146*6)/EX144)</f>
        <v>0</v>
      </c>
      <c r="EY142" s="365">
        <f>IF(EW142=0,0,(EX142-EW142)/EW142*100)</f>
        <v>0</v>
      </c>
      <c r="EZ142" s="66">
        <f>IF(EZ144=0,0,(EZ143*EZ144+EZ145*EZ146*6)/EZ144)</f>
        <v>0</v>
      </c>
      <c r="FA142" s="66">
        <f>IF(FA144=0,0,(FA143*FA144+FA145*FA146*6)/FA144)</f>
        <v>0</v>
      </c>
      <c r="FB142" s="365">
        <f>IF(EZ142=0,0,(FA142-EZ142)/EZ142*100)</f>
        <v>0</v>
      </c>
      <c r="FC142" s="66">
        <f>IF(FC144=0,0,(FC143*FC144+FC145*FC146*6)/FC144)</f>
        <v>0</v>
      </c>
      <c r="FD142" s="66">
        <f>IF(FD144=0,0,(FD143*FD144+FD145*FD146*6)/FD144)</f>
        <v>0</v>
      </c>
      <c r="FE142" s="365">
        <f>IF(FC142=0,0,(FD142-FC142)/FC142*100)</f>
        <v>0</v>
      </c>
      <c r="FF142" s="66">
        <f>IF(FF144=0,0,(FF143*FF144+FF145*FF146*6)/FF144)</f>
        <v>0</v>
      </c>
      <c r="FG142" s="66">
        <f>IF(FG144=0,0,(FG143*FG144+FG145*FG146*6)/FG144)</f>
        <v>0</v>
      </c>
      <c r="FH142" s="365">
        <f>IF(FF142=0,0,(FG142-FF142)/FF142*100)</f>
        <v>0</v>
      </c>
      <c r="FI142" s="66">
        <f>IF(FI144=0,0,(FI143*FI144+FI145*FI146*6)/FI144)</f>
        <v>0</v>
      </c>
      <c r="FJ142" s="66">
        <f>IF(FJ144=0,0,(FJ143*FJ144+FJ145*FJ146*6)/FJ144)</f>
        <v>0</v>
      </c>
      <c r="FK142" s="365">
        <f>IF(FI142=0,0,(FJ142-FI142)/FI142*100)</f>
        <v>0</v>
      </c>
      <c r="FL142" s="66">
        <f>IF(FL144=0,0,(FL143*FL144+FL145*FL146*6)/FL144)</f>
        <v>0</v>
      </c>
      <c r="FM142" s="66">
        <f>IF(FM144=0,0,(FM143*FM144+FM145*FM146*6)/FM144)</f>
        <v>0</v>
      </c>
      <c r="FN142" s="365">
        <f>IF(FL142=0,0,(FM142-FL142)/FL142*100)</f>
        <v>0</v>
      </c>
      <c r="FO142" s="66">
        <f>IF(FO144=0,0,(FO143*FO144+FO145*FO146*6)/FO144)</f>
        <v>0</v>
      </c>
      <c r="FP142" s="66">
        <f>IF(FP144=0,0,(FP143*FP144+FP145*FP146*6)/FP144)</f>
        <v>0</v>
      </c>
      <c r="FQ142" s="365">
        <f>IF(FO142=0,0,(FP142-FO142)/FO142*100)</f>
        <v>0</v>
      </c>
      <c r="FR142" s="66">
        <f>IF(FR144=0,0,(FR143*FR144+FR145*FR146*6)/FR144)</f>
        <v>0</v>
      </c>
      <c r="FS142" s="66">
        <f>IF(FS144=0,0,(FS143*FS144+FS145*FS146*6)/FS144)</f>
        <v>0</v>
      </c>
      <c r="FT142" s="365">
        <f>IF(FR142=0,0,(FS142-FR142)/FR142*100)</f>
        <v>0</v>
      </c>
      <c r="FU142" s="66">
        <f>IF(FU144=0,0,(FU143*FU144+FU145*FU146*6)/FU144)</f>
        <v>0</v>
      </c>
      <c r="FV142" s="66">
        <f>IF(FV144=0,0,(FV143*FV144+FV145*FV146*6)/FV144)</f>
        <v>0</v>
      </c>
      <c r="FW142" s="365">
        <f>IF(FU142=0,0,(FV142-FU142)/FU142*100)</f>
        <v>0</v>
      </c>
      <c r="FX142" s="497"/>
      <c r="FY142" s="497"/>
      <c r="FZ142" s="1181" t="s">
        <v>2138</v>
      </c>
      <c r="GA142" s="1181"/>
      <c r="GB142" s="1181"/>
      <c r="GC142" s="1181"/>
      <c r="GD142" s="1181"/>
    </row>
    <row s="1619" customFormat="1" customHeight="1" ht="15" hidden="1">
      <c r="A143" s="1461"/>
      <c r="B143" s="961" cm="1" t="str">
        <f t="array" ref="B143:B143">B142</f>
        <v>false</v>
      </c>
      <c r="C143" s="1322" t="s">
        <v>2139</v>
      </c>
      <c r="D143" s="1291" t="s">
        <v>2140</v>
      </c>
      <c r="E143" s="794">
        <v>15.8</v>
      </c>
      <c r="F143" s="919" cm="1" t="str">
        <f t="array" ref="F143:F143">OFFSET(G143,-1,-1)</f>
        <v>2</v>
      </c>
      <c r="G143" s="736" t="s">
        <v>1762</v>
      </c>
      <c r="H143" s="210" t="s">
        <v>2141</v>
      </c>
      <c r="I143" s="210" t="s">
        <v>2088</v>
      </c>
      <c r="J143" s="1312"/>
      <c r="K143" s="1312" cm="1" t="str">
        <f t="array" ref="K143:K143">OFFSET(J143,-1,1)</f>
        <v>ТЭ.42.26824396.0005</v>
      </c>
      <c r="L143" s="1312"/>
      <c r="M143" s="1312" t="s">
        <v>1724</v>
      </c>
      <c r="N143" s="1312" t="s">
        <v>2091</v>
      </c>
      <c r="O143" s="1313" t="s">
        <v>2092</v>
      </c>
      <c r="P143" s="1312" t="s">
        <v>2142</v>
      </c>
      <c r="Q143" s="1312"/>
      <c r="R143" s="925"/>
      <c r="S143" s="497"/>
      <c r="T143" s="805" cm="1" t="str">
        <f t="array" ref="T143:T143">T142</f>
        <v>false</v>
      </c>
      <c r="U143" s="1461"/>
      <c r="V143" s="1461"/>
      <c r="W143" s="1461"/>
      <c r="X143" s="1461"/>
      <c r="Y143" s="1461"/>
      <c r="Z143" s="1461"/>
      <c r="AA143" s="497"/>
      <c r="AB143" s="273" t="s">
        <v>2143</v>
      </c>
      <c r="AC143" s="169" t="s">
        <v>895</v>
      </c>
      <c r="AD143" s="66">
        <f>IF(method_reg="Метод экономически обоснованных расходов",_xlfn.SUMIFS('Калькуляция (4.6)'!AJ$25:AJ$229,'Калькуляция (4.6)'!$F$25:$F$229,$F143,'Калькуляция (4.6)'!$G$25:$G$229,$G143),IF(method_reg="Метод сравнения аналогов",_xlfn.SUMIFS(INDEX('Калькуляция (МСА)'!$AE$25:$BC$109,,MATCH(AD$8,'Калькуляция (МСА)'!$AE$8:$BC$8,0)),'Калькуляция (МСА)'!$F$25:$F$109,$F143,'Калькуляция (МСА)'!$G$25:$G$109,$G143),_xlfn.SUMIFS(INDEX('Калькуляция (5.9)'!$AJ$25:$BC$192,,MATCH(AD$8,'Калькуляция (5.9)'!$AJ$8:$BC$8,0)),'Калькуляция (5.9)'!$F$25:$F$192,$F143,'Калькуляция (5.9)'!$G$25:$G$192,$G143)))</f>
        <v>0</v>
      </c>
      <c r="AE143" s="66">
        <f>IF(method_reg="Метод экономически обоснованных расходов",_xlfn.SUMIFS('Калькуляция (4.6)'!AK$25:AK$229,'Калькуляция (4.6)'!$F$25:$F$229,$F143,'Калькуляция (4.6)'!$G$25:$G$229,$G143),IF(method_reg="Метод сравнения аналогов",_xlfn.SUMIFS(INDEX('Калькуляция (МСА)'!$AE$25:$BC$109,,MATCH(AE$8,'Калькуляция (МСА)'!$AE$8:$BC$8,0)),'Калькуляция (МСА)'!$F$25:$F$109,$F143,'Калькуляция (МСА)'!$G$25:$G$109,$G143),_xlfn.SUMIFS(INDEX('Калькуляция (5.9)'!$AJ$25:$BC$192,,MATCH(AE$8,'Калькуляция (5.9)'!$AJ$8:$BC$8,0)),'Калькуляция (5.9)'!$F$25:$F$192,$F143,'Калькуляция (5.9)'!$G$25:$G$192,$G143)))</f>
        <v>0</v>
      </c>
      <c r="AF143" s="365">
        <f>IF(AD143=0,0,(AE143-AD143)/AD143*100)</f>
        <v>0</v>
      </c>
      <c r="AG143" s="366">
        <f>IF(method_reg="Метод сравнения аналогов",_xlfn.SUMIFS(INDEX('Калькуляция (МСА)'!$AE$25:$BC$109,,MATCH(AG$8,'Калькуляция (МСА)'!$AE$8:$BC$8,0)),'Калькуляция (МСА)'!$F$25:$F$109,$F143,'Калькуляция (МСА)'!$G$25:$G$109,$G143),_xlfn.SUMIFS(INDEX('Калькуляция (5.9)'!$AJ$25:$BC$192,,MATCH(AG$8,'Калькуляция (5.9)'!$AJ$8:$BC$8,0)),'Калькуляция (5.9)'!$F$25:$F$192,$F143,'Калькуляция (5.9)'!$G$25:$G$192,$G143))</f>
        <v>3682.48064525547</v>
      </c>
      <c r="AH143" s="366">
        <f>IF(method_reg="Метод сравнения аналогов",_xlfn.SUMIFS(INDEX('Калькуляция (МСА)'!$AE$25:$BC$109,,MATCH(AH$8,'Калькуляция (МСА)'!$AE$8:$BC$8,0)),'Калькуляция (МСА)'!$F$25:$F$109,$F143,'Калькуляция (МСА)'!$G$25:$G$109,$G143),_xlfn.SUMIFS(INDEX('Калькуляция (5.9)'!$AJ$25:$BC$192,,MATCH(AH$8,'Калькуляция (5.9)'!$AJ$8:$BC$8,0)),'Калькуляция (5.9)'!$F$25:$F$192,$F143,'Калькуляция (5.9)'!$G$25:$G$192,$G143))</f>
        <v>3168.4115690995</v>
      </c>
      <c r="AI143" s="365">
        <f>IF(AG143=0,0,(AH143-AG143)/AG143*100)</f>
        <v>-13.9598581955427</v>
      </c>
      <c r="AJ143" s="366">
        <f>IF(method_reg="Метод сравнения аналогов",_xlfn.SUMIFS(INDEX('Калькуляция (МСА)'!$AE$25:$BC$109,,MATCH(AJ$8,'Калькуляция (МСА)'!$AE$8:$BC$8,0)),'Калькуляция (МСА)'!$F$25:$F$109,$F143,'Калькуляция (МСА)'!$G$25:$G$109,$G143),_xlfn.SUMIFS(INDEX('Калькуляция (5.9)'!$AJ$25:$BC$192,,MATCH(AJ$8,'Калькуляция (5.9)'!$AJ$8:$BC$8,0)),'Калькуляция (5.9)'!$F$25:$F$192,$F143,'Калькуляция (5.9)'!$G$25:$G$192,$G143))</f>
        <v>3682.48064525549</v>
      </c>
      <c r="AK143" s="366">
        <f>IF(method_reg="Метод сравнения аналогов",_xlfn.SUMIFS(INDEX('Калькуляция (МСА)'!$AE$25:$BC$109,,MATCH(AK$8,'Калькуляция (МСА)'!$AE$8:$BC$8,0)),'Калькуляция (МСА)'!$F$25:$F$109,$F143,'Калькуляция (МСА)'!$G$25:$G$109,$G143),_xlfn.SUMIFS(INDEX('Калькуляция (5.9)'!$AJ$25:$BC$192,,MATCH(AK$8,'Калькуляция (5.9)'!$AJ$8:$BC$8,0)),'Калькуляция (5.9)'!$F$25:$F$192,$F143,'Калькуляция (5.9)'!$G$25:$G$192,$G143))</f>
        <v>3168.41156909948</v>
      </c>
      <c r="AL143" s="365">
        <f>IF(AJ143=0,0,(AK143-AJ143)/AJ143*100)</f>
        <v>-13.9598581955437</v>
      </c>
      <c r="AM143" s="366">
        <f>IF(method_reg="Метод сравнения аналогов",_xlfn.SUMIFS(INDEX('Калькуляция (МСА)'!$AE$25:$BC$109,,MATCH(AM$8,'Калькуляция (МСА)'!$AE$8:$BC$8,0)),'Калькуляция (МСА)'!$F$25:$F$109,$F143,'Калькуляция (МСА)'!$G$25:$G$109,$G143),_xlfn.SUMIFS(INDEX('Калькуляция (5.9)'!$AJ$25:$BC$192,,MATCH(AM$8,'Калькуляция (5.9)'!$AJ$8:$BC$8,0)),'Калькуляция (5.9)'!$F$25:$F$192,$F143,'Калькуляция (5.9)'!$G$25:$G$192,$G143))</f>
        <v>3967.15277043796</v>
      </c>
      <c r="AN143" s="366">
        <f>IF(method_reg="Метод сравнения аналогов",_xlfn.SUMIFS(INDEX('Калькуляция (МСА)'!$AE$25:$BC$109,,MATCH(AN$8,'Калькуляция (МСА)'!$AE$8:$BC$8,0)),'Калькуляция (МСА)'!$F$25:$F$109,$F143,'Калькуляция (МСА)'!$G$25:$G$109,$G143),_xlfn.SUMIFS(INDEX('Калькуляция (5.9)'!$AJ$25:$BC$192,,MATCH(AN$8,'Калькуляция (5.9)'!$AJ$8:$BC$8,0)),'Калькуляция (5.9)'!$F$25:$F$192,$F143,'Калькуляция (5.9)'!$G$25:$G$192,$G143))</f>
        <v>3351.35676175972</v>
      </c>
      <c r="AO143" s="365">
        <f>IF(AM143=0,0,(AN143-AM143)/AM143*100)</f>
        <v>-15.5223669042183</v>
      </c>
      <c r="AP143" s="366">
        <f>IF(method_reg="Метод сравнения аналогов",_xlfn.SUMIFS(INDEX('Калькуляция (МСА)'!$AE$25:$BC$109,,MATCH(AP$8,'Калькуляция (МСА)'!$AE$8:$BC$8,0)),'Калькуляция (МСА)'!$F$25:$F$109,$F143,'Калькуляция (МСА)'!$G$25:$G$109,$G143),_xlfn.SUMIFS(INDEX('Калькуляция (5.9)'!$AJ$25:$BC$192,,MATCH(AP$8,'Калькуляция (5.9)'!$AJ$8:$BC$8,0)),'Калькуляция (5.9)'!$F$25:$F$192,$F143,'Калькуляция (5.9)'!$G$25:$G$192,$G143))</f>
        <v>3967.15277043795</v>
      </c>
      <c r="AQ143" s="366">
        <f>IF(method_reg="Метод сравнения аналогов",_xlfn.SUMIFS(INDEX('Калькуляция (МСА)'!$AE$25:$BC$109,,MATCH(AQ$8,'Калькуляция (МСА)'!$AE$8:$BC$8,0)),'Калькуляция (МСА)'!$F$25:$F$109,$F143,'Калькуляция (МСА)'!$G$25:$G$109,$G143),_xlfn.SUMIFS(INDEX('Калькуляция (5.9)'!$AJ$25:$BC$192,,MATCH(AQ$8,'Калькуляция (5.9)'!$AJ$8:$BC$8,0)),'Калькуляция (5.9)'!$F$25:$F$192,$F143,'Калькуляция (5.9)'!$G$25:$G$192,$G143))</f>
        <v>3351.35676175974</v>
      </c>
      <c r="AR143" s="365">
        <f>IF(AP143=0,0,(AQ143-AP143)/AP143*100)</f>
        <v>-15.5223669042175</v>
      </c>
      <c r="AS143" s="66">
        <f>IF(method_reg="Метод сравнения аналогов",_xlfn.SUMIFS(INDEX('Калькуляция (МСА)'!$AE$25:$BC$109,,MATCH(AS$8,'Калькуляция (МСА)'!$AE$8:$BC$8,0)),'Калькуляция (МСА)'!$F$25:$F$109,$F143,'Калькуляция (МСА)'!$G$25:$G$109,$G143),_xlfn.SUMIFS(INDEX('Калькуляция (5.9)'!$AJ$25:$BC$192,,MATCH(AS$8,'Калькуляция (5.9)'!$AJ$8:$BC$8,0)),'Калькуляция (5.9)'!$F$25:$F$192,$F143,'Калькуляция (5.9)'!$G$25:$G$192,$G143))</f>
        <v>0</v>
      </c>
      <c r="AT143" s="66">
        <f>IF(method_reg="Метод сравнения аналогов",_xlfn.SUMIFS(INDEX('Калькуляция (МСА)'!$AE$25:$BC$109,,MATCH(AT$8,'Калькуляция (МСА)'!$AE$8:$BC$8,0)),'Калькуляция (МСА)'!$F$25:$F$109,$F143,'Калькуляция (МСА)'!$G$25:$G$109,$G143),_xlfn.SUMIFS(INDEX('Калькуляция (5.9)'!$AJ$25:$BC$192,,MATCH(AT$8,'Калькуляция (5.9)'!$AJ$8:$BC$8,0)),'Калькуляция (5.9)'!$F$25:$F$192,$F143,'Калькуляция (5.9)'!$G$25:$G$192,$G143))</f>
        <v>0</v>
      </c>
      <c r="AU143" s="365">
        <f>IF(AS143=0,0,(AT143-AS143)/AS143*100)</f>
        <v>0</v>
      </c>
      <c r="AV143" s="66">
        <f>IF(method_reg="Метод сравнения аналогов",_xlfn.SUMIFS(INDEX('Калькуляция (МСА)'!$AE$25:$BC$109,,MATCH(AV$8,'Калькуляция (МСА)'!$AE$8:$BC$8,0)),'Калькуляция (МСА)'!$F$25:$F$109,$F143,'Калькуляция (МСА)'!$G$25:$G$109,$G143),_xlfn.SUMIFS(INDEX('Калькуляция (5.9)'!$AJ$25:$BC$192,,MATCH(AV$8,'Калькуляция (5.9)'!$AJ$8:$BC$8,0)),'Калькуляция (5.9)'!$F$25:$F$192,$F143,'Калькуляция (5.9)'!$G$25:$G$192,$G143))</f>
        <v>0</v>
      </c>
      <c r="AW143" s="66">
        <f>IF(method_reg="Метод сравнения аналогов",_xlfn.SUMIFS(INDEX('Калькуляция (МСА)'!$AE$25:$BC$109,,MATCH(AW$8,'Калькуляция (МСА)'!$AE$8:$BC$8,0)),'Калькуляция (МСА)'!$F$25:$F$109,$F143,'Калькуляция (МСА)'!$G$25:$G$109,$G143),_xlfn.SUMIFS(INDEX('Калькуляция (5.9)'!$AJ$25:$BC$192,,MATCH(AW$8,'Калькуляция (5.9)'!$AJ$8:$BC$8,0)),'Калькуляция (5.9)'!$F$25:$F$192,$F143,'Калькуляция (5.9)'!$G$25:$G$192,$G143))</f>
        <v>0</v>
      </c>
      <c r="AX143" s="365">
        <f>IF(AV143=0,0,(AW143-AV143)/AV143*100)</f>
        <v>0</v>
      </c>
      <c r="AY143" s="66">
        <f>IF(method_reg="Метод сравнения аналогов",_xlfn.SUMIFS(INDEX('Калькуляция (МСА)'!$AE$25:$BC$109,,MATCH(AY$8,'Калькуляция (МСА)'!$AE$8:$BC$8,0)),'Калькуляция (МСА)'!$F$25:$F$109,$F143,'Калькуляция (МСА)'!$G$25:$G$109,$G143),_xlfn.SUMIFS(INDEX('Калькуляция (5.9)'!$AJ$25:$BC$192,,MATCH(AY$8,'Калькуляция (5.9)'!$AJ$8:$BC$8,0)),'Калькуляция (5.9)'!$F$25:$F$192,$F143,'Калькуляция (5.9)'!$G$25:$G$192,$G143))</f>
        <v>0</v>
      </c>
      <c r="AZ143" s="66">
        <f>IF(method_reg="Метод сравнения аналогов",_xlfn.SUMIFS(INDEX('Калькуляция (МСА)'!$AE$25:$BC$109,,MATCH(AZ$8,'Калькуляция (МСА)'!$AE$8:$BC$8,0)),'Калькуляция (МСА)'!$F$25:$F$109,$F143,'Калькуляция (МСА)'!$G$25:$G$109,$G143),_xlfn.SUMIFS(INDEX('Калькуляция (5.9)'!$AJ$25:$BC$192,,MATCH(AZ$8,'Калькуляция (5.9)'!$AJ$8:$BC$8,0)),'Калькуляция (5.9)'!$F$25:$F$192,$F143,'Калькуляция (5.9)'!$G$25:$G$192,$G143))</f>
        <v>0</v>
      </c>
      <c r="BA143" s="365">
        <f>IF(AY143=0,0,(AZ143-AY143)/AY143*100)</f>
        <v>0</v>
      </c>
      <c r="BB143" s="66">
        <f>IF(method_reg="Метод сравнения аналогов",_xlfn.SUMIFS(INDEX('Калькуляция (МСА)'!$AE$25:$BC$109,,MATCH(BB$8,'Калькуляция (МСА)'!$AE$8:$BC$8,0)),'Калькуляция (МСА)'!$F$25:$F$109,$F143,'Калькуляция (МСА)'!$G$25:$G$109,$G143),_xlfn.SUMIFS(INDEX('Калькуляция (5.9)'!$AJ$25:$BC$192,,MATCH(BB$8,'Калькуляция (5.9)'!$AJ$8:$BC$8,0)),'Калькуляция (5.9)'!$F$25:$F$192,$F143,'Калькуляция (5.9)'!$G$25:$G$192,$G143))</f>
        <v>0</v>
      </c>
      <c r="BC143" s="66">
        <f>IF(method_reg="Метод сравнения аналогов",_xlfn.SUMIFS(INDEX('Калькуляция (МСА)'!$AE$25:$BC$109,,MATCH(BC$8,'Калькуляция (МСА)'!$AE$8:$BC$8,0)),'Калькуляция (МСА)'!$F$25:$F$109,$F143,'Калькуляция (МСА)'!$G$25:$G$109,$G143),_xlfn.SUMIFS(INDEX('Калькуляция (5.9)'!$AJ$25:$BC$192,,MATCH(BC$8,'Калькуляция (5.9)'!$AJ$8:$BC$8,0)),'Калькуляция (5.9)'!$F$25:$F$192,$F143,'Калькуляция (5.9)'!$G$25:$G$192,$G143))</f>
        <v>0</v>
      </c>
      <c r="BD143" s="365">
        <f>IF(BB143=0,0,(BC143-BB143)/BB143*100)</f>
        <v>0</v>
      </c>
      <c r="BE143" s="66">
        <f>IF(method_reg="Метод сравнения аналогов",_xlfn.SUMIFS(INDEX('Калькуляция (МСА)'!$AE$25:$BC$109,,MATCH(BE$8,'Калькуляция (МСА)'!$AE$8:$BC$8,0)),'Калькуляция (МСА)'!$F$25:$F$109,$F143,'Калькуляция (МСА)'!$G$25:$G$109,$G143),_xlfn.SUMIFS(INDEX('Калькуляция (5.9)'!$AJ$25:$BC$192,,MATCH(BE$8,'Калькуляция (5.9)'!$AJ$8:$BC$8,0)),'Калькуляция (5.9)'!$F$25:$F$192,$F143,'Калькуляция (5.9)'!$G$25:$G$192,$G143))</f>
        <v>0</v>
      </c>
      <c r="BF143" s="66">
        <f>IF(method_reg="Метод сравнения аналогов",_xlfn.SUMIFS(INDEX('Калькуляция (МСА)'!$AE$25:$BC$109,,MATCH(BF$8,'Калькуляция (МСА)'!$AE$8:$BC$8,0)),'Калькуляция (МСА)'!$F$25:$F$109,$F143,'Калькуляция (МСА)'!$G$25:$G$109,$G143),_xlfn.SUMIFS(INDEX('Калькуляция (5.9)'!$AJ$25:$BC$192,,MATCH(BF$8,'Калькуляция (5.9)'!$AJ$8:$BC$8,0)),'Калькуляция (5.9)'!$F$25:$F$192,$F143,'Калькуляция (5.9)'!$G$25:$G$192,$G143))</f>
        <v>0</v>
      </c>
      <c r="BG143" s="365">
        <f>IF(BE143=0,0,(BF143-BE143)/BE143*100)</f>
        <v>0</v>
      </c>
      <c r="BH143" s="66"/>
      <c r="BI143" s="66"/>
      <c r="BJ143" s="365">
        <f>IF(BH143=0,0,(BI143-BH143)/BH143*100)</f>
        <v>0</v>
      </c>
      <c r="BK143" s="66"/>
      <c r="BL143" s="66"/>
      <c r="BM143" s="365">
        <f>IF(BK143=0,0,(BL143-BK143)/BK143*100)</f>
        <v>0</v>
      </c>
      <c r="BN143" s="66"/>
      <c r="BO143" s="66"/>
      <c r="BP143" s="365">
        <f>IF(BN143=0,0,(BO143-BN143)/BN143*100)</f>
        <v>0</v>
      </c>
      <c r="BQ143" s="66"/>
      <c r="BR143" s="66"/>
      <c r="BS143" s="365">
        <f>IF(BQ143=0,0,(BR143-BQ143)/BQ143*100)</f>
        <v>0</v>
      </c>
      <c r="BT143" s="66"/>
      <c r="BU143" s="66"/>
      <c r="BV143" s="365">
        <f>IF(BT143=0,0,(BU143-BT143)/BT143*100)</f>
        <v>0</v>
      </c>
      <c r="BW143" s="66"/>
      <c r="BX143" s="66"/>
      <c r="BY143" s="365">
        <f>IF(BW143=0,0,(BX143-BW143)/BW143*100)</f>
        <v>0</v>
      </c>
      <c r="BZ143" s="66"/>
      <c r="CA143" s="66"/>
      <c r="CB143" s="365">
        <f>IF(BZ143=0,0,(CA143-BZ143)/BZ143*100)</f>
        <v>0</v>
      </c>
      <c r="CC143" s="66"/>
      <c r="CD143" s="66"/>
      <c r="CE143" s="365">
        <f>IF(CC143=0,0,(CD143-CC143)/CC143*100)</f>
        <v>0</v>
      </c>
      <c r="CF143" s="66"/>
      <c r="CG143" s="66"/>
      <c r="CH143" s="365">
        <f>IF(CF143=0,0,(CG143-CF143)/CF143*100)</f>
        <v>0</v>
      </c>
      <c r="CI143" s="66"/>
      <c r="CJ143" s="66"/>
      <c r="CK143" s="365">
        <f>IF(CI143=0,0,(CJ143-CI143)/CI143*100)</f>
        <v>0</v>
      </c>
      <c r="CL143" s="66"/>
      <c r="CM143" s="66"/>
      <c r="CN143" s="365">
        <f>IF(CL143=0,0,(CM143-CL143)/CL143*100)</f>
        <v>0</v>
      </c>
      <c r="CO143" s="66"/>
      <c r="CP143" s="66"/>
      <c r="CQ143" s="365">
        <f>IF(CO143=0,0,(CP143-CO143)/CO143*100)</f>
        <v>0</v>
      </c>
      <c r="CR143" s="66"/>
      <c r="CS143" s="66"/>
      <c r="CT143" s="365">
        <f>IF(CR143=0,0,(CS143-CR143)/CR143*100)</f>
        <v>0</v>
      </c>
      <c r="CU143" s="66"/>
      <c r="CV143" s="66"/>
      <c r="CW143" s="365">
        <f>IF(CU143=0,0,(CV143-CU143)/CU143*100)</f>
        <v>0</v>
      </c>
      <c r="CX143" s="66"/>
      <c r="CY143" s="66"/>
      <c r="CZ143" s="365">
        <f>IF(CX143=0,0,(CY143-CX143)/CX143*100)</f>
        <v>0</v>
      </c>
      <c r="DA143" s="66"/>
      <c r="DB143" s="66"/>
      <c r="DC143" s="365">
        <f>IF(DA143=0,0,(DB143-DA143)/DA143*100)</f>
        <v>0</v>
      </c>
      <c r="DD143" s="66"/>
      <c r="DE143" s="66"/>
      <c r="DF143" s="365">
        <f>IF(DD143=0,0,(DE143-DD143)/DD143*100)</f>
        <v>0</v>
      </c>
      <c r="DG143" s="66"/>
      <c r="DH143" s="66"/>
      <c r="DI143" s="365">
        <f>IF(DG143=0,0,(DH143-DG143)/DG143*100)</f>
        <v>0</v>
      </c>
      <c r="DJ143" s="66"/>
      <c r="DK143" s="66"/>
      <c r="DL143" s="365">
        <f>IF(DJ143=0,0,(DK143-DJ143)/DJ143*100)</f>
        <v>0</v>
      </c>
      <c r="DM143" s="66"/>
      <c r="DN143" s="66"/>
      <c r="DO143" s="365">
        <f>IF(DM143=0,0,(DN143-DM143)/DM143*100)</f>
        <v>0</v>
      </c>
      <c r="DP143" s="66"/>
      <c r="DQ143" s="66"/>
      <c r="DR143" s="365">
        <f>IF(DP143=0,0,(DQ143-DP143)/DP143*100)</f>
        <v>0</v>
      </c>
      <c r="DS143" s="66"/>
      <c r="DT143" s="66"/>
      <c r="DU143" s="365">
        <f>IF(DS143=0,0,(DT143-DS143)/DS143*100)</f>
        <v>0</v>
      </c>
      <c r="DV143" s="66"/>
      <c r="DW143" s="66"/>
      <c r="DX143" s="365">
        <f>IF(DV143=0,0,(DW143-DV143)/DV143*100)</f>
        <v>0</v>
      </c>
      <c r="DY143" s="66"/>
      <c r="DZ143" s="66"/>
      <c r="EA143" s="365">
        <f>IF(DY143=0,0,(DZ143-DY143)/DY143*100)</f>
        <v>0</v>
      </c>
      <c r="EB143" s="66"/>
      <c r="EC143" s="66"/>
      <c r="ED143" s="365">
        <f>IF(EB143=0,0,(EC143-EB143)/EB143*100)</f>
        <v>0</v>
      </c>
      <c r="EE143" s="66"/>
      <c r="EF143" s="66"/>
      <c r="EG143" s="365">
        <f>IF(EE143=0,0,(EF143-EE143)/EE143*100)</f>
        <v>0</v>
      </c>
      <c r="EH143" s="66"/>
      <c r="EI143" s="66"/>
      <c r="EJ143" s="365">
        <f>IF(EH143=0,0,(EI143-EH143)/EH143*100)</f>
        <v>0</v>
      </c>
      <c r="EK143" s="66"/>
      <c r="EL143" s="66"/>
      <c r="EM143" s="365">
        <f>IF(EK143=0,0,(EL143-EK143)/EK143*100)</f>
        <v>0</v>
      </c>
      <c r="EN143" s="66"/>
      <c r="EO143" s="66"/>
      <c r="EP143" s="365">
        <f>IF(EN143=0,0,(EO143-EN143)/EN143*100)</f>
        <v>0</v>
      </c>
      <c r="EQ143" s="66"/>
      <c r="ER143" s="66"/>
      <c r="ES143" s="365">
        <f>IF(EQ143=0,0,(ER143-EQ143)/EQ143*100)</f>
        <v>0</v>
      </c>
      <c r="ET143" s="66"/>
      <c r="EU143" s="66"/>
      <c r="EV143" s="365">
        <f>IF(ET143=0,0,(EU143-ET143)/ET143*100)</f>
        <v>0</v>
      </c>
      <c r="EW143" s="66"/>
      <c r="EX143" s="66"/>
      <c r="EY143" s="365">
        <f>IF(EW143=0,0,(EX143-EW143)/EW143*100)</f>
        <v>0</v>
      </c>
      <c r="EZ143" s="66"/>
      <c r="FA143" s="66"/>
      <c r="FB143" s="365">
        <f>IF(EZ143=0,0,(FA143-EZ143)/EZ143*100)</f>
        <v>0</v>
      </c>
      <c r="FC143" s="66"/>
      <c r="FD143" s="66"/>
      <c r="FE143" s="365">
        <f>IF(FC143=0,0,(FD143-FC143)/FC143*100)</f>
        <v>0</v>
      </c>
      <c r="FF143" s="66"/>
      <c r="FG143" s="66"/>
      <c r="FH143" s="365">
        <f>IF(FF143=0,0,(FG143-FF143)/FF143*100)</f>
        <v>0</v>
      </c>
      <c r="FI143" s="66"/>
      <c r="FJ143" s="66"/>
      <c r="FK143" s="365">
        <f>IF(FI143=0,0,(FJ143-FI143)/FI143*100)</f>
        <v>0</v>
      </c>
      <c r="FL143" s="66"/>
      <c r="FM143" s="66"/>
      <c r="FN143" s="365">
        <f>IF(FL143=0,0,(FM143-FL143)/FL143*100)</f>
        <v>0</v>
      </c>
      <c r="FO143" s="66"/>
      <c r="FP143" s="66"/>
      <c r="FQ143" s="365">
        <f>IF(FO143=0,0,(FP143-FO143)/FO143*100)</f>
        <v>0</v>
      </c>
      <c r="FR143" s="66"/>
      <c r="FS143" s="66"/>
      <c r="FT143" s="365">
        <f>IF(FR143=0,0,(FS143-FR143)/FR143*100)</f>
        <v>0</v>
      </c>
      <c r="FU143" s="66"/>
      <c r="FV143" s="66"/>
      <c r="FW143" s="365">
        <f>IF(FU143=0,0,(FV143-FU143)/FU143*100)</f>
        <v>0</v>
      </c>
      <c r="FX143" s="497"/>
      <c r="FY143" s="497"/>
      <c r="FZ143" s="1181" t="s">
        <v>2144</v>
      </c>
      <c r="GA143" s="1181"/>
      <c r="GB143" s="1181"/>
      <c r="GC143" s="1181"/>
      <c r="GD143" s="1181"/>
    </row>
    <row s="1619" customFormat="1" customHeight="1" ht="15" hidden="1">
      <c r="A144" s="1461"/>
      <c r="B144" s="961" cm="1" t="str">
        <f t="array" ref="B144:B144">B143</f>
        <v>false</v>
      </c>
      <c r="C144" s="1322" t="s">
        <v>1721</v>
      </c>
      <c r="D144" s="1291" t="s">
        <v>1722</v>
      </c>
      <c r="E144" s="794">
        <v>15.8</v>
      </c>
      <c r="F144" s="919" cm="1" t="str">
        <f t="array" ref="F144:F144">OFFSET(G144,-1,-1)</f>
        <v>2</v>
      </c>
      <c r="G144" s="190" t="s">
        <v>1723</v>
      </c>
      <c r="H144" s="210" t="s">
        <v>2145</v>
      </c>
      <c r="I144" s="210" t="s">
        <v>2088</v>
      </c>
      <c r="J144" s="1312"/>
      <c r="K144" s="1312" cm="1" t="str">
        <f t="array" ref="K144:K144">OFFSET(J144,-1,1)</f>
        <v>ТЭ.42.26824396.0005</v>
      </c>
      <c r="L144" s="1312"/>
      <c r="M144" s="1312" t="s">
        <v>1724</v>
      </c>
      <c r="N144" s="1312" t="s">
        <v>2091</v>
      </c>
      <c r="O144" s="1313" t="s">
        <v>2092</v>
      </c>
      <c r="P144" s="1312" t="s">
        <v>2146</v>
      </c>
      <c r="Q144" s="1312"/>
      <c r="R144" s="925"/>
      <c r="S144" s="497"/>
      <c r="T144" s="805" cm="1" t="str">
        <f t="array" ref="T144:T144">T143</f>
        <v>false</v>
      </c>
      <c r="U144" s="1461"/>
      <c r="V144" s="1461"/>
      <c r="W144" s="1461"/>
      <c r="X144" s="1461"/>
      <c r="Y144" s="1461"/>
      <c r="Z144" s="1461"/>
      <c r="AA144" s="497"/>
      <c r="AB144" s="273" t="s">
        <v>2147</v>
      </c>
      <c r="AC144" s="169" t="s">
        <v>591</v>
      </c>
      <c r="AD144" s="145">
        <f>IF(method_reg="Метод экономически обоснованных расходов",_xlfn.SUMIFS('Калькуляция (4.6)'!AJ$25:AJ$229,'Калькуляция (4.6)'!$F$25:$F$229,$F144,'Калькуляция (4.6)'!$G$25:$G$229,$G144),IF(method_reg="Метод сравнения аналогов",_xlfn.SUMIFS(INDEX('Калькуляция (МСА)'!$AE$25:$BC$109,,MATCH(AD$8,'Калькуляция (МСА)'!$AE$8:$BC$8,0)),'Калькуляция (МСА)'!$F$25:$F$109,$F144,'Калькуляция (МСА)'!$G$25:$G$109,$G144),_xlfn.SUMIFS(INDEX('Калькуляция (5.9)'!$AJ$25:$BC$192,,MATCH(AD$8,'Калькуляция (5.9)'!$AJ$8:$BC$8,0)),'Калькуляция (5.9)'!$F$25:$F$192,$F144,'Калькуляция (5.9)'!$G$25:$G$192,$G144)))</f>
        <v>1024</v>
      </c>
      <c r="AE144" s="145">
        <f>IF(method_reg="Метод экономически обоснованных расходов",_xlfn.SUMIFS('Калькуляция (4.6)'!AK$25:AK$229,'Калькуляция (4.6)'!$F$25:$F$229,$F144,'Калькуляция (4.6)'!$G$25:$G$229,$G144),IF(method_reg="Метод сравнения аналогов",_xlfn.SUMIFS(INDEX('Калькуляция (МСА)'!$AE$25:$BC$109,,MATCH(AE$8,'Калькуляция (МСА)'!$AE$8:$BC$8,0)),'Калькуляция (МСА)'!$F$25:$F$109,$F144,'Калькуляция (МСА)'!$G$25:$G$109,$G144),_xlfn.SUMIFS(INDEX('Калькуляция (5.9)'!$AJ$25:$BC$192,,MATCH(AE$8,'Калькуляция (5.9)'!$AJ$8:$BC$8,0)),'Калькуляция (5.9)'!$F$25:$F$192,$F144,'Калькуляция (5.9)'!$G$25:$G$192,$G144)))</f>
        <v>1024</v>
      </c>
      <c r="AF144" s="397">
        <f>IF(AD144=0,0,(AE144-AD144)/AD144*100)</f>
        <v>0</v>
      </c>
      <c r="AG144" s="413">
        <f>IF(method_reg="Метод сравнения аналогов",_xlfn.SUMIFS(INDEX('Калькуляция (МСА)'!$AE$25:$BC$109,,MATCH(AG$8,'Калькуляция (МСА)'!$AE$8:$BC$8,0)),'Калькуляция (МСА)'!$F$25:$F$109,$F144,'Калькуляция (МСА)'!$G$25:$G$109,$G144),_xlfn.SUMIFS(INDEX('Калькуляция (5.9)'!$AJ$25:$BC$192,,MATCH(AG$8,'Калькуляция (5.9)'!$AJ$8:$BC$8,0)),'Калькуляция (5.9)'!$F$25:$F$192,$F144,'Калькуляция (5.9)'!$G$25:$G$192,$G144))</f>
        <v>1024</v>
      </c>
      <c r="AH144" s="413">
        <f>IF(method_reg="Метод сравнения аналогов",_xlfn.SUMIFS(INDEX('Калькуляция (МСА)'!$AE$25:$BC$109,,MATCH(AH$8,'Калькуляция (МСА)'!$AE$8:$BC$8,0)),'Калькуляция (МСА)'!$F$25:$F$109,$F144,'Калькуляция (МСА)'!$G$25:$G$109,$G144),_xlfn.SUMIFS(INDEX('Калькуляция (5.9)'!$AJ$25:$BC$192,,MATCH(AH$8,'Калькуляция (5.9)'!$AJ$8:$BC$8,0)),'Калькуляция (5.9)'!$F$25:$F$192,$F144,'Калькуляция (5.9)'!$G$25:$G$192,$G144))</f>
        <v>1024</v>
      </c>
      <c r="AI144" s="397">
        <f>IF(AG144=0,0,(AH144-AG144)/AG144*100)</f>
        <v>0</v>
      </c>
      <c r="AJ144" s="413">
        <f>IF(method_reg="Метод сравнения аналогов",_xlfn.SUMIFS(INDEX('Калькуляция (МСА)'!$AE$25:$BC$109,,MATCH(AJ$8,'Калькуляция (МСА)'!$AE$8:$BC$8,0)),'Калькуляция (МСА)'!$F$25:$F$109,$F144,'Калькуляция (МСА)'!$G$25:$G$109,$G144),_xlfn.SUMIFS(INDEX('Калькуляция (5.9)'!$AJ$25:$BC$192,,MATCH(AJ$8,'Калькуляция (5.9)'!$AJ$8:$BC$8,0)),'Калькуляция (5.9)'!$F$25:$F$192,$F144,'Калькуляция (5.9)'!$G$25:$G$192,$G144))</f>
        <v>1024</v>
      </c>
      <c r="AK144" s="413">
        <f>IF(method_reg="Метод сравнения аналогов",_xlfn.SUMIFS(INDEX('Калькуляция (МСА)'!$AE$25:$BC$109,,MATCH(AK$8,'Калькуляция (МСА)'!$AE$8:$BC$8,0)),'Калькуляция (МСА)'!$F$25:$F$109,$F144,'Калькуляция (МСА)'!$G$25:$G$109,$G144),_xlfn.SUMIFS(INDEX('Калькуляция (5.9)'!$AJ$25:$BC$192,,MATCH(AK$8,'Калькуляция (5.9)'!$AJ$8:$BC$8,0)),'Калькуляция (5.9)'!$F$25:$F$192,$F144,'Калькуляция (5.9)'!$G$25:$G$192,$G144))</f>
        <v>1024</v>
      </c>
      <c r="AL144" s="397">
        <f>IF(AJ144=0,0,(AK144-AJ144)/AJ144*100)</f>
        <v>0</v>
      </c>
      <c r="AM144" s="413">
        <f>IF(method_reg="Метод сравнения аналогов",_xlfn.SUMIFS(INDEX('Калькуляция (МСА)'!$AE$25:$BC$109,,MATCH(AM$8,'Калькуляция (МСА)'!$AE$8:$BC$8,0)),'Калькуляция (МСА)'!$F$25:$F$109,$F144,'Калькуляция (МСА)'!$G$25:$G$109,$G144),_xlfn.SUMIFS(INDEX('Калькуляция (5.9)'!$AJ$25:$BC$192,,MATCH(AM$8,'Калькуляция (5.9)'!$AJ$8:$BC$8,0)),'Калькуляция (5.9)'!$F$25:$F$192,$F144,'Калькуляция (5.9)'!$G$25:$G$192,$G144))</f>
        <v>1024</v>
      </c>
      <c r="AN144" s="413">
        <f>IF(method_reg="Метод сравнения аналогов",_xlfn.SUMIFS(INDEX('Калькуляция (МСА)'!$AE$25:$BC$109,,MATCH(AN$8,'Калькуляция (МСА)'!$AE$8:$BC$8,0)),'Калькуляция (МСА)'!$F$25:$F$109,$F144,'Калькуляция (МСА)'!$G$25:$G$109,$G144),_xlfn.SUMIFS(INDEX('Калькуляция (5.9)'!$AJ$25:$BC$192,,MATCH(AN$8,'Калькуляция (5.9)'!$AJ$8:$BC$8,0)),'Калькуляция (5.9)'!$F$25:$F$192,$F144,'Калькуляция (5.9)'!$G$25:$G$192,$G144))</f>
        <v>1024</v>
      </c>
      <c r="AO144" s="397">
        <f>IF(AM144=0,0,(AN144-AM144)/AM144*100)</f>
        <v>0</v>
      </c>
      <c r="AP144" s="413">
        <f>IF(method_reg="Метод сравнения аналогов",_xlfn.SUMIFS(INDEX('Калькуляция (МСА)'!$AE$25:$BC$109,,MATCH(AP$8,'Калькуляция (МСА)'!$AE$8:$BC$8,0)),'Калькуляция (МСА)'!$F$25:$F$109,$F144,'Калькуляция (МСА)'!$G$25:$G$109,$G144),_xlfn.SUMIFS(INDEX('Калькуляция (5.9)'!$AJ$25:$BC$192,,MATCH(AP$8,'Калькуляция (5.9)'!$AJ$8:$BC$8,0)),'Калькуляция (5.9)'!$F$25:$F$192,$F144,'Калькуляция (5.9)'!$G$25:$G$192,$G144))</f>
        <v>1024</v>
      </c>
      <c r="AQ144" s="413">
        <f>IF(method_reg="Метод сравнения аналогов",_xlfn.SUMIFS(INDEX('Калькуляция (МСА)'!$AE$25:$BC$109,,MATCH(AQ$8,'Калькуляция (МСА)'!$AE$8:$BC$8,0)),'Калькуляция (МСА)'!$F$25:$F$109,$F144,'Калькуляция (МСА)'!$G$25:$G$109,$G144),_xlfn.SUMIFS(INDEX('Калькуляция (5.9)'!$AJ$25:$BC$192,,MATCH(AQ$8,'Калькуляция (5.9)'!$AJ$8:$BC$8,0)),'Калькуляция (5.9)'!$F$25:$F$192,$F144,'Калькуляция (5.9)'!$G$25:$G$192,$G144))</f>
        <v>1024</v>
      </c>
      <c r="AR144" s="397">
        <f>IF(AP144=0,0,(AQ144-AP144)/AP144*100)</f>
        <v>0</v>
      </c>
      <c r="AS144" s="145">
        <f>IF(method_reg="Метод сравнения аналогов",_xlfn.SUMIFS(INDEX('Калькуляция (МСА)'!$AE$25:$BC$109,,MATCH(AS$8,'Калькуляция (МСА)'!$AE$8:$BC$8,0)),'Калькуляция (МСА)'!$F$25:$F$109,$F144,'Калькуляция (МСА)'!$G$25:$G$109,$G144),_xlfn.SUMIFS(INDEX('Калькуляция (5.9)'!$AJ$25:$BC$192,,MATCH(AS$8,'Калькуляция (5.9)'!$AJ$8:$BC$8,0)),'Калькуляция (5.9)'!$F$25:$F$192,$F144,'Калькуляция (5.9)'!$G$25:$G$192,$G144))</f>
        <v>1024</v>
      </c>
      <c r="AT144" s="145">
        <f>IF(method_reg="Метод сравнения аналогов",_xlfn.SUMIFS(INDEX('Калькуляция (МСА)'!$AE$25:$BC$109,,MATCH(AT$8,'Калькуляция (МСА)'!$AE$8:$BC$8,0)),'Калькуляция (МСА)'!$F$25:$F$109,$F144,'Калькуляция (МСА)'!$G$25:$G$109,$G144),_xlfn.SUMIFS(INDEX('Калькуляция (5.9)'!$AJ$25:$BC$192,,MATCH(AT$8,'Калькуляция (5.9)'!$AJ$8:$BC$8,0)),'Калькуляция (5.9)'!$F$25:$F$192,$F144,'Калькуляция (5.9)'!$G$25:$G$192,$G144))</f>
        <v>0</v>
      </c>
      <c r="AU144" s="397">
        <f>IF(AS144=0,0,(AT144-AS144)/AS144*100)</f>
        <v>-100</v>
      </c>
      <c r="AV144" s="145">
        <f>IF(method_reg="Метод сравнения аналогов",_xlfn.SUMIFS(INDEX('Калькуляция (МСА)'!$AE$25:$BC$109,,MATCH(AV$8,'Калькуляция (МСА)'!$AE$8:$BC$8,0)),'Калькуляция (МСА)'!$F$25:$F$109,$F144,'Калькуляция (МСА)'!$G$25:$G$109,$G144),_xlfn.SUMIFS(INDEX('Калькуляция (5.9)'!$AJ$25:$BC$192,,MATCH(AV$8,'Калькуляция (5.9)'!$AJ$8:$BC$8,0)),'Калькуляция (5.9)'!$F$25:$F$192,$F144,'Калькуляция (5.9)'!$G$25:$G$192,$G144))</f>
        <v>1024</v>
      </c>
      <c r="AW144" s="145">
        <f>IF(method_reg="Метод сравнения аналогов",_xlfn.SUMIFS(INDEX('Калькуляция (МСА)'!$AE$25:$BC$109,,MATCH(AW$8,'Калькуляция (МСА)'!$AE$8:$BC$8,0)),'Калькуляция (МСА)'!$F$25:$F$109,$F144,'Калькуляция (МСА)'!$G$25:$G$109,$G144),_xlfn.SUMIFS(INDEX('Калькуляция (5.9)'!$AJ$25:$BC$192,,MATCH(AW$8,'Калькуляция (5.9)'!$AJ$8:$BC$8,0)),'Калькуляция (5.9)'!$F$25:$F$192,$F144,'Калькуляция (5.9)'!$G$25:$G$192,$G144))</f>
        <v>0</v>
      </c>
      <c r="AX144" s="397">
        <f>IF(AV144=0,0,(AW144-AV144)/AV144*100)</f>
        <v>-100</v>
      </c>
      <c r="AY144" s="145">
        <f>IF(method_reg="Метод сравнения аналогов",_xlfn.SUMIFS(INDEX('Калькуляция (МСА)'!$AE$25:$BC$109,,MATCH(AY$8,'Калькуляция (МСА)'!$AE$8:$BC$8,0)),'Калькуляция (МСА)'!$F$25:$F$109,$F144,'Калькуляция (МСА)'!$G$25:$G$109,$G144),_xlfn.SUMIFS(INDEX('Калькуляция (5.9)'!$AJ$25:$BC$192,,MATCH(AY$8,'Калькуляция (5.9)'!$AJ$8:$BC$8,0)),'Калькуляция (5.9)'!$F$25:$F$192,$F144,'Калькуляция (5.9)'!$G$25:$G$192,$G144))</f>
        <v>1024</v>
      </c>
      <c r="AZ144" s="145">
        <f>IF(method_reg="Метод сравнения аналогов",_xlfn.SUMIFS(INDEX('Калькуляция (МСА)'!$AE$25:$BC$109,,MATCH(AZ$8,'Калькуляция (МСА)'!$AE$8:$BC$8,0)),'Калькуляция (МСА)'!$F$25:$F$109,$F144,'Калькуляция (МСА)'!$G$25:$G$109,$G144),_xlfn.SUMIFS(INDEX('Калькуляция (5.9)'!$AJ$25:$BC$192,,MATCH(AZ$8,'Калькуляция (5.9)'!$AJ$8:$BC$8,0)),'Калькуляция (5.9)'!$F$25:$F$192,$F144,'Калькуляция (5.9)'!$G$25:$G$192,$G144))</f>
        <v>0</v>
      </c>
      <c r="BA144" s="397">
        <f>IF(AY144=0,0,(AZ144-AY144)/AY144*100)</f>
        <v>-100</v>
      </c>
      <c r="BB144" s="145">
        <f>IF(method_reg="Метод сравнения аналогов",_xlfn.SUMIFS(INDEX('Калькуляция (МСА)'!$AE$25:$BC$109,,MATCH(BB$8,'Калькуляция (МСА)'!$AE$8:$BC$8,0)),'Калькуляция (МСА)'!$F$25:$F$109,$F144,'Калькуляция (МСА)'!$G$25:$G$109,$G144),_xlfn.SUMIFS(INDEX('Калькуляция (5.9)'!$AJ$25:$BC$192,,MATCH(BB$8,'Калькуляция (5.9)'!$AJ$8:$BC$8,0)),'Калькуляция (5.9)'!$F$25:$F$192,$F144,'Калькуляция (5.9)'!$G$25:$G$192,$G144))</f>
        <v>1024</v>
      </c>
      <c r="BC144" s="145">
        <f>IF(method_reg="Метод сравнения аналогов",_xlfn.SUMIFS(INDEX('Калькуляция (МСА)'!$AE$25:$BC$109,,MATCH(BC$8,'Калькуляция (МСА)'!$AE$8:$BC$8,0)),'Калькуляция (МСА)'!$F$25:$F$109,$F144,'Калькуляция (МСА)'!$G$25:$G$109,$G144),_xlfn.SUMIFS(INDEX('Калькуляция (5.9)'!$AJ$25:$BC$192,,MATCH(BC$8,'Калькуляция (5.9)'!$AJ$8:$BC$8,0)),'Калькуляция (5.9)'!$F$25:$F$192,$F144,'Калькуляция (5.9)'!$G$25:$G$192,$G144))</f>
        <v>0</v>
      </c>
      <c r="BD144" s="397">
        <f>IF(BB144=0,0,(BC144-BB144)/BB144*100)</f>
        <v>-100</v>
      </c>
      <c r="BE144" s="145">
        <f>IF(method_reg="Метод сравнения аналогов",_xlfn.SUMIFS(INDEX('Калькуляция (МСА)'!$AE$25:$BC$109,,MATCH(BE$8,'Калькуляция (МСА)'!$AE$8:$BC$8,0)),'Калькуляция (МСА)'!$F$25:$F$109,$F144,'Калькуляция (МСА)'!$G$25:$G$109,$G144),_xlfn.SUMIFS(INDEX('Калькуляция (5.9)'!$AJ$25:$BC$192,,MATCH(BE$8,'Калькуляция (5.9)'!$AJ$8:$BC$8,0)),'Калькуляция (5.9)'!$F$25:$F$192,$F144,'Калькуляция (5.9)'!$G$25:$G$192,$G144))</f>
        <v>1024</v>
      </c>
      <c r="BF144" s="145">
        <f>IF(method_reg="Метод сравнения аналогов",_xlfn.SUMIFS(INDEX('Калькуляция (МСА)'!$AE$25:$BC$109,,MATCH(BF$8,'Калькуляция (МСА)'!$AE$8:$BC$8,0)),'Калькуляция (МСА)'!$F$25:$F$109,$F144,'Калькуляция (МСА)'!$G$25:$G$109,$G144),_xlfn.SUMIFS(INDEX('Калькуляция (5.9)'!$AJ$25:$BC$192,,MATCH(BF$8,'Калькуляция (5.9)'!$AJ$8:$BC$8,0)),'Калькуляция (5.9)'!$F$25:$F$192,$F144,'Калькуляция (5.9)'!$G$25:$G$192,$G144))</f>
        <v>0</v>
      </c>
      <c r="BG144" s="397">
        <f>IF(BE144=0,0,(BF144-BE144)/BE144*100)</f>
        <v>-100</v>
      </c>
      <c r="BH144" s="145"/>
      <c r="BI144" s="145"/>
      <c r="BJ144" s="397">
        <f>IF(BH144=0,0,(BI144-BH144)/BH144*100)</f>
        <v>0</v>
      </c>
      <c r="BK144" s="145"/>
      <c r="BL144" s="145"/>
      <c r="BM144" s="397">
        <f>IF(BK144=0,0,(BL144-BK144)/BK144*100)</f>
        <v>0</v>
      </c>
      <c r="BN144" s="145"/>
      <c r="BO144" s="145"/>
      <c r="BP144" s="397">
        <f>IF(BN144=0,0,(BO144-BN144)/BN144*100)</f>
        <v>0</v>
      </c>
      <c r="BQ144" s="145"/>
      <c r="BR144" s="145"/>
      <c r="BS144" s="397">
        <f>IF(BQ144=0,0,(BR144-BQ144)/BQ144*100)</f>
        <v>0</v>
      </c>
      <c r="BT144" s="145"/>
      <c r="BU144" s="145"/>
      <c r="BV144" s="397">
        <f>IF(BT144=0,0,(BU144-BT144)/BT144*100)</f>
        <v>0</v>
      </c>
      <c r="BW144" s="145"/>
      <c r="BX144" s="145"/>
      <c r="BY144" s="397">
        <f>IF(BW144=0,0,(BX144-BW144)/BW144*100)</f>
        <v>0</v>
      </c>
      <c r="BZ144" s="145"/>
      <c r="CA144" s="145"/>
      <c r="CB144" s="397">
        <f>IF(BZ144=0,0,(CA144-BZ144)/BZ144*100)</f>
        <v>0</v>
      </c>
      <c r="CC144" s="145"/>
      <c r="CD144" s="145"/>
      <c r="CE144" s="397">
        <f>IF(CC144=0,0,(CD144-CC144)/CC144*100)</f>
        <v>0</v>
      </c>
      <c r="CF144" s="145"/>
      <c r="CG144" s="145"/>
      <c r="CH144" s="397">
        <f>IF(CF144=0,0,(CG144-CF144)/CF144*100)</f>
        <v>0</v>
      </c>
      <c r="CI144" s="145"/>
      <c r="CJ144" s="145"/>
      <c r="CK144" s="397">
        <f>IF(CI144=0,0,(CJ144-CI144)/CI144*100)</f>
        <v>0</v>
      </c>
      <c r="CL144" s="145"/>
      <c r="CM144" s="145"/>
      <c r="CN144" s="397">
        <f>IF(CL144=0,0,(CM144-CL144)/CL144*100)</f>
        <v>0</v>
      </c>
      <c r="CO144" s="145"/>
      <c r="CP144" s="145"/>
      <c r="CQ144" s="397">
        <f>IF(CO144=0,0,(CP144-CO144)/CO144*100)</f>
        <v>0</v>
      </c>
      <c r="CR144" s="145"/>
      <c r="CS144" s="145"/>
      <c r="CT144" s="397">
        <f>IF(CR144=0,0,(CS144-CR144)/CR144*100)</f>
        <v>0</v>
      </c>
      <c r="CU144" s="145"/>
      <c r="CV144" s="145"/>
      <c r="CW144" s="397">
        <f>IF(CU144=0,0,(CV144-CU144)/CU144*100)</f>
        <v>0</v>
      </c>
      <c r="CX144" s="145"/>
      <c r="CY144" s="145"/>
      <c r="CZ144" s="397">
        <f>IF(CX144=0,0,(CY144-CX144)/CX144*100)</f>
        <v>0</v>
      </c>
      <c r="DA144" s="145"/>
      <c r="DB144" s="145"/>
      <c r="DC144" s="397">
        <f>IF(DA144=0,0,(DB144-DA144)/DA144*100)</f>
        <v>0</v>
      </c>
      <c r="DD144" s="145"/>
      <c r="DE144" s="145"/>
      <c r="DF144" s="397">
        <f>IF(DD144=0,0,(DE144-DD144)/DD144*100)</f>
        <v>0</v>
      </c>
      <c r="DG144" s="145"/>
      <c r="DH144" s="145"/>
      <c r="DI144" s="397">
        <f>IF(DG144=0,0,(DH144-DG144)/DG144*100)</f>
        <v>0</v>
      </c>
      <c r="DJ144" s="145"/>
      <c r="DK144" s="145"/>
      <c r="DL144" s="397">
        <f>IF(DJ144=0,0,(DK144-DJ144)/DJ144*100)</f>
        <v>0</v>
      </c>
      <c r="DM144" s="145"/>
      <c r="DN144" s="145"/>
      <c r="DO144" s="397">
        <f>IF(DM144=0,0,(DN144-DM144)/DM144*100)</f>
        <v>0</v>
      </c>
      <c r="DP144" s="145"/>
      <c r="DQ144" s="145"/>
      <c r="DR144" s="397">
        <f>IF(DP144=0,0,(DQ144-DP144)/DP144*100)</f>
        <v>0</v>
      </c>
      <c r="DS144" s="145"/>
      <c r="DT144" s="145"/>
      <c r="DU144" s="397">
        <f>IF(DS144=0,0,(DT144-DS144)/DS144*100)</f>
        <v>0</v>
      </c>
      <c r="DV144" s="145"/>
      <c r="DW144" s="145"/>
      <c r="DX144" s="397">
        <f>IF(DV144=0,0,(DW144-DV144)/DV144*100)</f>
        <v>0</v>
      </c>
      <c r="DY144" s="145"/>
      <c r="DZ144" s="145"/>
      <c r="EA144" s="397">
        <f>IF(DY144=0,0,(DZ144-DY144)/DY144*100)</f>
        <v>0</v>
      </c>
      <c r="EB144" s="145"/>
      <c r="EC144" s="145"/>
      <c r="ED144" s="397">
        <f>IF(EB144=0,0,(EC144-EB144)/EB144*100)</f>
        <v>0</v>
      </c>
      <c r="EE144" s="145"/>
      <c r="EF144" s="145"/>
      <c r="EG144" s="397">
        <f>IF(EE144=0,0,(EF144-EE144)/EE144*100)</f>
        <v>0</v>
      </c>
      <c r="EH144" s="145"/>
      <c r="EI144" s="145"/>
      <c r="EJ144" s="397">
        <f>IF(EH144=0,0,(EI144-EH144)/EH144*100)</f>
        <v>0</v>
      </c>
      <c r="EK144" s="145"/>
      <c r="EL144" s="145"/>
      <c r="EM144" s="397">
        <f>IF(EK144=0,0,(EL144-EK144)/EK144*100)</f>
        <v>0</v>
      </c>
      <c r="EN144" s="145"/>
      <c r="EO144" s="145"/>
      <c r="EP144" s="397">
        <f>IF(EN144=0,0,(EO144-EN144)/EN144*100)</f>
        <v>0</v>
      </c>
      <c r="EQ144" s="145"/>
      <c r="ER144" s="145"/>
      <c r="ES144" s="397">
        <f>IF(EQ144=0,0,(ER144-EQ144)/EQ144*100)</f>
        <v>0</v>
      </c>
      <c r="ET144" s="145"/>
      <c r="EU144" s="145"/>
      <c r="EV144" s="397">
        <f>IF(ET144=0,0,(EU144-ET144)/ET144*100)</f>
        <v>0</v>
      </c>
      <c r="EW144" s="145"/>
      <c r="EX144" s="145"/>
      <c r="EY144" s="397">
        <f>IF(EW144=0,0,(EX144-EW144)/EW144*100)</f>
        <v>0</v>
      </c>
      <c r="EZ144" s="145"/>
      <c r="FA144" s="145"/>
      <c r="FB144" s="397">
        <f>IF(EZ144=0,0,(FA144-EZ144)/EZ144*100)</f>
        <v>0</v>
      </c>
      <c r="FC144" s="145"/>
      <c r="FD144" s="145"/>
      <c r="FE144" s="397">
        <f>IF(FC144=0,0,(FD144-FC144)/FC144*100)</f>
        <v>0</v>
      </c>
      <c r="FF144" s="145"/>
      <c r="FG144" s="145"/>
      <c r="FH144" s="397">
        <f>IF(FF144=0,0,(FG144-FF144)/FF144*100)</f>
        <v>0</v>
      </c>
      <c r="FI144" s="145"/>
      <c r="FJ144" s="145"/>
      <c r="FK144" s="397">
        <f>IF(FI144=0,0,(FJ144-FI144)/FI144*100)</f>
        <v>0</v>
      </c>
      <c r="FL144" s="145"/>
      <c r="FM144" s="145"/>
      <c r="FN144" s="397">
        <f>IF(FL144=0,0,(FM144-FL144)/FL144*100)</f>
        <v>0</v>
      </c>
      <c r="FO144" s="145"/>
      <c r="FP144" s="145"/>
      <c r="FQ144" s="397">
        <f>IF(FO144=0,0,(FP144-FO144)/FO144*100)</f>
        <v>0</v>
      </c>
      <c r="FR144" s="145"/>
      <c r="FS144" s="145"/>
      <c r="FT144" s="397">
        <f>IF(FR144=0,0,(FS144-FR144)/FR144*100)</f>
        <v>0</v>
      </c>
      <c r="FU144" s="145"/>
      <c r="FV144" s="145"/>
      <c r="FW144" s="397">
        <f>IF(FU144=0,0,(FV144-FU144)/FU144*100)</f>
        <v>0</v>
      </c>
      <c r="FX144" s="497"/>
      <c r="FY144" s="497"/>
      <c r="FZ144" s="1181" t="s">
        <v>2148</v>
      </c>
      <c r="GA144" s="1181"/>
      <c r="GB144" s="1181"/>
      <c r="GC144" s="1181"/>
      <c r="GD144" s="1181"/>
    </row>
    <row s="1619" customFormat="1" customHeight="1" ht="30" hidden="1">
      <c r="A145" s="1461"/>
      <c r="B145" s="961" cm="1" t="str">
        <f t="array" ref="B145:B145">B144</f>
        <v>false</v>
      </c>
      <c r="C145" s="1322" t="s">
        <v>1775</v>
      </c>
      <c r="D145" s="1291" t="s">
        <v>1776</v>
      </c>
      <c r="E145" s="794">
        <v>31.5</v>
      </c>
      <c r="F145" s="919" cm="1" t="str">
        <f t="array" ref="F145:F145">OFFSET(G145,-1,-1)</f>
        <v>2</v>
      </c>
      <c r="G145" s="736" t="s">
        <v>1777</v>
      </c>
      <c r="H145" s="210" t="s">
        <v>2149</v>
      </c>
      <c r="I145" s="210" t="s">
        <v>2088</v>
      </c>
      <c r="J145" s="1312"/>
      <c r="K145" s="1312" cm="1" t="str">
        <f t="array" ref="K145:K145">OFFSET(J145,-1,1)</f>
        <v>ТЭ.42.26824396.0005</v>
      </c>
      <c r="L145" s="1312"/>
      <c r="M145" s="1312" t="s">
        <v>1724</v>
      </c>
      <c r="N145" s="1312" t="s">
        <v>2091</v>
      </c>
      <c r="O145" s="1313" t="s">
        <v>2092</v>
      </c>
      <c r="P145" s="1312" t="s">
        <v>2150</v>
      </c>
      <c r="Q145" s="1312"/>
      <c r="R145" s="925"/>
      <c r="S145" s="497"/>
      <c r="T145" s="805" cm="1" t="str">
        <f t="array" ref="T145:T145">T144</f>
        <v>false</v>
      </c>
      <c r="U145" s="1461"/>
      <c r="V145" s="1461"/>
      <c r="W145" s="1461"/>
      <c r="X145" s="1461"/>
      <c r="Y145" s="1461"/>
      <c r="Z145" s="1461"/>
      <c r="AA145" s="497"/>
      <c r="AB145" s="273" t="s">
        <v>2151</v>
      </c>
      <c r="AC145" s="517" t="s">
        <v>1779</v>
      </c>
      <c r="AD145" s="66">
        <f>IF(method_reg="Метод экономически обоснованных расходов",_xlfn.SUMIFS('Калькуляция (4.6)'!AJ$25:AJ$229,'Калькуляция (4.6)'!$F$25:$F$229,$F145,'Калькуляция (4.6)'!$G$25:$G$229,$G145),IF(method_reg="Метод сравнения аналогов",_xlfn.SUMIFS(INDEX('Калькуляция (МСА)'!$AE$25:$BC$109,,MATCH(AD$8,'Калькуляция (МСА)'!$AE$8:$BC$8,0)),'Калькуляция (МСА)'!$F$25:$F$109,$F145,'Калькуляция (МСА)'!$G$25:$G$109,$G145),_xlfn.SUMIFS(INDEX('Калькуляция (5.9)'!$AJ$25:$BC$192,,MATCH(AD$8,'Калькуляция (5.9)'!$AJ$8:$BC$8,0)),'Калькуляция (5.9)'!$F$25:$F$192,$F145,'Калькуляция (5.9)'!$G$25:$G$192,$G145)))</f>
        <v>0</v>
      </c>
      <c r="AE145" s="66">
        <f>IF(method_reg="Метод экономически обоснованных расходов",_xlfn.SUMIFS('Калькуляция (4.6)'!AK$25:AK$229,'Калькуляция (4.6)'!$F$25:$F$229,$F145,'Калькуляция (4.6)'!$G$25:$G$229,$G145),IF(method_reg="Метод сравнения аналогов",_xlfn.SUMIFS(INDEX('Калькуляция (МСА)'!$AE$25:$BC$109,,MATCH(AE$8,'Калькуляция (МСА)'!$AE$8:$BC$8,0)),'Калькуляция (МСА)'!$F$25:$F$109,$F145,'Калькуляция (МСА)'!$G$25:$G$109,$G145),_xlfn.SUMIFS(INDEX('Калькуляция (5.9)'!$AJ$25:$BC$192,,MATCH(AE$8,'Калькуляция (5.9)'!$AJ$8:$BC$8,0)),'Калькуляция (5.9)'!$F$25:$F$192,$F145,'Калькуляция (5.9)'!$G$25:$G$192,$G145)))</f>
        <v>0</v>
      </c>
      <c r="AF145" s="365">
        <f>IF(AD145=0,0,(AE145-AD145)/AD145*100)</f>
        <v>0</v>
      </c>
      <c r="AG145" s="366">
        <f>IF(method_reg="Метод сравнения аналогов",_xlfn.SUMIFS(INDEX('Калькуляция (МСА)'!$AE$25:$BC$109,,MATCH(AG$8,'Калькуляция (МСА)'!$AE$8:$BC$8,0)),'Калькуляция (МСА)'!$F$25:$F$109,$F145,'Калькуляция (МСА)'!$G$25:$G$109,$G145),_xlfn.SUMIFS(INDEX('Калькуляция (5.9)'!$AJ$25:$BC$192,,MATCH(AG$8,'Калькуляция (5.9)'!$AJ$8:$BC$8,0)),'Калькуляция (5.9)'!$F$25:$F$192,$F145,'Калькуляция (5.9)'!$G$25:$G$192,$G145))</f>
        <v>0</v>
      </c>
      <c r="AH145" s="366">
        <f>IF(method_reg="Метод сравнения аналогов",_xlfn.SUMIFS(INDEX('Калькуляция (МСА)'!$AE$25:$BC$109,,MATCH(AH$8,'Калькуляция (МСА)'!$AE$8:$BC$8,0)),'Калькуляция (МСА)'!$F$25:$F$109,$F145,'Калькуляция (МСА)'!$G$25:$G$109,$G145),_xlfn.SUMIFS(INDEX('Калькуляция (5.9)'!$AJ$25:$BC$192,,MATCH(AH$8,'Калькуляция (5.9)'!$AJ$8:$BC$8,0)),'Калькуляция (5.9)'!$F$25:$F$192,$F145,'Калькуляция (5.9)'!$G$25:$G$192,$G145))</f>
        <v>0</v>
      </c>
      <c r="AI145" s="365">
        <f>IF(AG145=0,0,(AH145-AG145)/AG145*100)</f>
        <v>0</v>
      </c>
      <c r="AJ145" s="366">
        <f>IF(method_reg="Метод сравнения аналогов",_xlfn.SUMIFS(INDEX('Калькуляция (МСА)'!$AE$25:$BC$109,,MATCH(AJ$8,'Калькуляция (МСА)'!$AE$8:$BC$8,0)),'Калькуляция (МСА)'!$F$25:$F$109,$F145,'Калькуляция (МСА)'!$G$25:$G$109,$G145),_xlfn.SUMIFS(INDEX('Калькуляция (5.9)'!$AJ$25:$BC$192,,MATCH(AJ$8,'Калькуляция (5.9)'!$AJ$8:$BC$8,0)),'Калькуляция (5.9)'!$F$25:$F$192,$F145,'Калькуляция (5.9)'!$G$25:$G$192,$G145))</f>
        <v>0</v>
      </c>
      <c r="AK145" s="366">
        <f>IF(method_reg="Метод сравнения аналогов",_xlfn.SUMIFS(INDEX('Калькуляция (МСА)'!$AE$25:$BC$109,,MATCH(AK$8,'Калькуляция (МСА)'!$AE$8:$BC$8,0)),'Калькуляция (МСА)'!$F$25:$F$109,$F145,'Калькуляция (МСА)'!$G$25:$G$109,$G145),_xlfn.SUMIFS(INDEX('Калькуляция (5.9)'!$AJ$25:$BC$192,,MATCH(AK$8,'Калькуляция (5.9)'!$AJ$8:$BC$8,0)),'Калькуляция (5.9)'!$F$25:$F$192,$F145,'Калькуляция (5.9)'!$G$25:$G$192,$G145))</f>
        <v>0</v>
      </c>
      <c r="AL145" s="365">
        <f>IF(AJ145=0,0,(AK145-AJ145)/AJ145*100)</f>
        <v>0</v>
      </c>
      <c r="AM145" s="366">
        <f>IF(method_reg="Метод сравнения аналогов",_xlfn.SUMIFS(INDEX('Калькуляция (МСА)'!$AE$25:$BC$109,,MATCH(AM$8,'Калькуляция (МСА)'!$AE$8:$BC$8,0)),'Калькуляция (МСА)'!$F$25:$F$109,$F145,'Калькуляция (МСА)'!$G$25:$G$109,$G145),_xlfn.SUMIFS(INDEX('Калькуляция (5.9)'!$AJ$25:$BC$192,,MATCH(AM$8,'Калькуляция (5.9)'!$AJ$8:$BC$8,0)),'Калькуляция (5.9)'!$F$25:$F$192,$F145,'Калькуляция (5.9)'!$G$25:$G$192,$G145))</f>
        <v>0</v>
      </c>
      <c r="AN145" s="366">
        <f>IF(method_reg="Метод сравнения аналогов",_xlfn.SUMIFS(INDEX('Калькуляция (МСА)'!$AE$25:$BC$109,,MATCH(AN$8,'Калькуляция (МСА)'!$AE$8:$BC$8,0)),'Калькуляция (МСА)'!$F$25:$F$109,$F145,'Калькуляция (МСА)'!$G$25:$G$109,$G145),_xlfn.SUMIFS(INDEX('Калькуляция (5.9)'!$AJ$25:$BC$192,,MATCH(AN$8,'Калькуляция (5.9)'!$AJ$8:$BC$8,0)),'Калькуляция (5.9)'!$F$25:$F$192,$F145,'Калькуляция (5.9)'!$G$25:$G$192,$G145))</f>
        <v>0</v>
      </c>
      <c r="AO145" s="365">
        <f>IF(AM145=0,0,(AN145-AM145)/AM145*100)</f>
        <v>0</v>
      </c>
      <c r="AP145" s="366">
        <f>IF(method_reg="Метод сравнения аналогов",_xlfn.SUMIFS(INDEX('Калькуляция (МСА)'!$AE$25:$BC$109,,MATCH(AP$8,'Калькуляция (МСА)'!$AE$8:$BC$8,0)),'Калькуляция (МСА)'!$F$25:$F$109,$F145,'Калькуляция (МСА)'!$G$25:$G$109,$G145),_xlfn.SUMIFS(INDEX('Калькуляция (5.9)'!$AJ$25:$BC$192,,MATCH(AP$8,'Калькуляция (5.9)'!$AJ$8:$BC$8,0)),'Калькуляция (5.9)'!$F$25:$F$192,$F145,'Калькуляция (5.9)'!$G$25:$G$192,$G145))</f>
        <v>0</v>
      </c>
      <c r="AQ145" s="366">
        <f>IF(method_reg="Метод сравнения аналогов",_xlfn.SUMIFS(INDEX('Калькуляция (МСА)'!$AE$25:$BC$109,,MATCH(AQ$8,'Калькуляция (МСА)'!$AE$8:$BC$8,0)),'Калькуляция (МСА)'!$F$25:$F$109,$F145,'Калькуляция (МСА)'!$G$25:$G$109,$G145),_xlfn.SUMIFS(INDEX('Калькуляция (5.9)'!$AJ$25:$BC$192,,MATCH(AQ$8,'Калькуляция (5.9)'!$AJ$8:$BC$8,0)),'Калькуляция (5.9)'!$F$25:$F$192,$F145,'Калькуляция (5.9)'!$G$25:$G$192,$G145))</f>
        <v>0</v>
      </c>
      <c r="AR145" s="365">
        <f>IF(AP145=0,0,(AQ145-AP145)/AP145*100)</f>
        <v>0</v>
      </c>
      <c r="AS145" s="66">
        <f>IF(method_reg="Метод сравнения аналогов",_xlfn.SUMIFS(INDEX('Калькуляция (МСА)'!$AE$25:$BC$109,,MATCH(AS$8,'Калькуляция (МСА)'!$AE$8:$BC$8,0)),'Калькуляция (МСА)'!$F$25:$F$109,$F145,'Калькуляция (МСА)'!$G$25:$G$109,$G145),_xlfn.SUMIFS(INDEX('Калькуляция (5.9)'!$AJ$25:$BC$192,,MATCH(AS$8,'Калькуляция (5.9)'!$AJ$8:$BC$8,0)),'Калькуляция (5.9)'!$F$25:$F$192,$F145,'Калькуляция (5.9)'!$G$25:$G$192,$G145))</f>
        <v>0</v>
      </c>
      <c r="AT145" s="66">
        <f>IF(method_reg="Метод сравнения аналогов",_xlfn.SUMIFS(INDEX('Калькуляция (МСА)'!$AE$25:$BC$109,,MATCH(AT$8,'Калькуляция (МСА)'!$AE$8:$BC$8,0)),'Калькуляция (МСА)'!$F$25:$F$109,$F145,'Калькуляция (МСА)'!$G$25:$G$109,$G145),_xlfn.SUMIFS(INDEX('Калькуляция (5.9)'!$AJ$25:$BC$192,,MATCH(AT$8,'Калькуляция (5.9)'!$AJ$8:$BC$8,0)),'Калькуляция (5.9)'!$F$25:$F$192,$F145,'Калькуляция (5.9)'!$G$25:$G$192,$G145))</f>
        <v>0</v>
      </c>
      <c r="AU145" s="365">
        <f>IF(AS145=0,0,(AT145-AS145)/AS145*100)</f>
        <v>0</v>
      </c>
      <c r="AV145" s="66">
        <f>IF(method_reg="Метод сравнения аналогов",_xlfn.SUMIFS(INDEX('Калькуляция (МСА)'!$AE$25:$BC$109,,MATCH(AV$8,'Калькуляция (МСА)'!$AE$8:$BC$8,0)),'Калькуляция (МСА)'!$F$25:$F$109,$F145,'Калькуляция (МСА)'!$G$25:$G$109,$G145),_xlfn.SUMIFS(INDEX('Калькуляция (5.9)'!$AJ$25:$BC$192,,MATCH(AV$8,'Калькуляция (5.9)'!$AJ$8:$BC$8,0)),'Калькуляция (5.9)'!$F$25:$F$192,$F145,'Калькуляция (5.9)'!$G$25:$G$192,$G145))</f>
        <v>0</v>
      </c>
      <c r="AW145" s="66">
        <f>IF(method_reg="Метод сравнения аналогов",_xlfn.SUMIFS(INDEX('Калькуляция (МСА)'!$AE$25:$BC$109,,MATCH(AW$8,'Калькуляция (МСА)'!$AE$8:$BC$8,0)),'Калькуляция (МСА)'!$F$25:$F$109,$F145,'Калькуляция (МСА)'!$G$25:$G$109,$G145),_xlfn.SUMIFS(INDEX('Калькуляция (5.9)'!$AJ$25:$BC$192,,MATCH(AW$8,'Калькуляция (5.9)'!$AJ$8:$BC$8,0)),'Калькуляция (5.9)'!$F$25:$F$192,$F145,'Калькуляция (5.9)'!$G$25:$G$192,$G145))</f>
        <v>0</v>
      </c>
      <c r="AX145" s="365">
        <f>IF(AV145=0,0,(AW145-AV145)/AV145*100)</f>
        <v>0</v>
      </c>
      <c r="AY145" s="66">
        <f>IF(method_reg="Метод сравнения аналогов",_xlfn.SUMIFS(INDEX('Калькуляция (МСА)'!$AE$25:$BC$109,,MATCH(AY$8,'Калькуляция (МСА)'!$AE$8:$BC$8,0)),'Калькуляция (МСА)'!$F$25:$F$109,$F145,'Калькуляция (МСА)'!$G$25:$G$109,$G145),_xlfn.SUMIFS(INDEX('Калькуляция (5.9)'!$AJ$25:$BC$192,,MATCH(AY$8,'Калькуляция (5.9)'!$AJ$8:$BC$8,0)),'Калькуляция (5.9)'!$F$25:$F$192,$F145,'Калькуляция (5.9)'!$G$25:$G$192,$G145))</f>
        <v>0</v>
      </c>
      <c r="AZ145" s="66">
        <f>IF(method_reg="Метод сравнения аналогов",_xlfn.SUMIFS(INDEX('Калькуляция (МСА)'!$AE$25:$BC$109,,MATCH(AZ$8,'Калькуляция (МСА)'!$AE$8:$BC$8,0)),'Калькуляция (МСА)'!$F$25:$F$109,$F145,'Калькуляция (МСА)'!$G$25:$G$109,$G145),_xlfn.SUMIFS(INDEX('Калькуляция (5.9)'!$AJ$25:$BC$192,,MATCH(AZ$8,'Калькуляция (5.9)'!$AJ$8:$BC$8,0)),'Калькуляция (5.9)'!$F$25:$F$192,$F145,'Калькуляция (5.9)'!$G$25:$G$192,$G145))</f>
        <v>0</v>
      </c>
      <c r="BA145" s="365">
        <f>IF(AY145=0,0,(AZ145-AY145)/AY145*100)</f>
        <v>0</v>
      </c>
      <c r="BB145" s="66">
        <f>IF(method_reg="Метод сравнения аналогов",_xlfn.SUMIFS(INDEX('Калькуляция (МСА)'!$AE$25:$BC$109,,MATCH(BB$8,'Калькуляция (МСА)'!$AE$8:$BC$8,0)),'Калькуляция (МСА)'!$F$25:$F$109,$F145,'Калькуляция (МСА)'!$G$25:$G$109,$G145),_xlfn.SUMIFS(INDEX('Калькуляция (5.9)'!$AJ$25:$BC$192,,MATCH(BB$8,'Калькуляция (5.9)'!$AJ$8:$BC$8,0)),'Калькуляция (5.9)'!$F$25:$F$192,$F145,'Калькуляция (5.9)'!$G$25:$G$192,$G145))</f>
        <v>0</v>
      </c>
      <c r="BC145" s="66">
        <f>IF(method_reg="Метод сравнения аналогов",_xlfn.SUMIFS(INDEX('Калькуляция (МСА)'!$AE$25:$BC$109,,MATCH(BC$8,'Калькуляция (МСА)'!$AE$8:$BC$8,0)),'Калькуляция (МСА)'!$F$25:$F$109,$F145,'Калькуляция (МСА)'!$G$25:$G$109,$G145),_xlfn.SUMIFS(INDEX('Калькуляция (5.9)'!$AJ$25:$BC$192,,MATCH(BC$8,'Калькуляция (5.9)'!$AJ$8:$BC$8,0)),'Калькуляция (5.9)'!$F$25:$F$192,$F145,'Калькуляция (5.9)'!$G$25:$G$192,$G145))</f>
        <v>0</v>
      </c>
      <c r="BD145" s="365">
        <f>IF(BB145=0,0,(BC145-BB145)/BB145*100)</f>
        <v>0</v>
      </c>
      <c r="BE145" s="66">
        <f>IF(method_reg="Метод сравнения аналогов",_xlfn.SUMIFS(INDEX('Калькуляция (МСА)'!$AE$25:$BC$109,,MATCH(BE$8,'Калькуляция (МСА)'!$AE$8:$BC$8,0)),'Калькуляция (МСА)'!$F$25:$F$109,$F145,'Калькуляция (МСА)'!$G$25:$G$109,$G145),_xlfn.SUMIFS(INDEX('Калькуляция (5.9)'!$AJ$25:$BC$192,,MATCH(BE$8,'Калькуляция (5.9)'!$AJ$8:$BC$8,0)),'Калькуляция (5.9)'!$F$25:$F$192,$F145,'Калькуляция (5.9)'!$G$25:$G$192,$G145))</f>
        <v>0</v>
      </c>
      <c r="BF145" s="66">
        <f>IF(method_reg="Метод сравнения аналогов",_xlfn.SUMIFS(INDEX('Калькуляция (МСА)'!$AE$25:$BC$109,,MATCH(BF$8,'Калькуляция (МСА)'!$AE$8:$BC$8,0)),'Калькуляция (МСА)'!$F$25:$F$109,$F145,'Калькуляция (МСА)'!$G$25:$G$109,$G145),_xlfn.SUMIFS(INDEX('Калькуляция (5.9)'!$AJ$25:$BC$192,,MATCH(BF$8,'Калькуляция (5.9)'!$AJ$8:$BC$8,0)),'Калькуляция (5.9)'!$F$25:$F$192,$F145,'Калькуляция (5.9)'!$G$25:$G$192,$G145))</f>
        <v>0</v>
      </c>
      <c r="BG145" s="365">
        <f>IF(BE145=0,0,(BF145-BE145)/BE145*100)</f>
        <v>0</v>
      </c>
      <c r="BH145" s="66"/>
      <c r="BI145" s="66"/>
      <c r="BJ145" s="365">
        <f>IF(BH145=0,0,(BI145-BH145)/BH145*100)</f>
        <v>0</v>
      </c>
      <c r="BK145" s="66"/>
      <c r="BL145" s="66"/>
      <c r="BM145" s="365">
        <f>IF(BK145=0,0,(BL145-BK145)/BK145*100)</f>
        <v>0</v>
      </c>
      <c r="BN145" s="66"/>
      <c r="BO145" s="66"/>
      <c r="BP145" s="365">
        <f>IF(BN145=0,0,(BO145-BN145)/BN145*100)</f>
        <v>0</v>
      </c>
      <c r="BQ145" s="66"/>
      <c r="BR145" s="66"/>
      <c r="BS145" s="365">
        <f>IF(BQ145=0,0,(BR145-BQ145)/BQ145*100)</f>
        <v>0</v>
      </c>
      <c r="BT145" s="66"/>
      <c r="BU145" s="66"/>
      <c r="BV145" s="365">
        <f>IF(BT145=0,0,(BU145-BT145)/BT145*100)</f>
        <v>0</v>
      </c>
      <c r="BW145" s="66"/>
      <c r="BX145" s="66"/>
      <c r="BY145" s="365">
        <f>IF(BW145=0,0,(BX145-BW145)/BW145*100)</f>
        <v>0</v>
      </c>
      <c r="BZ145" s="66"/>
      <c r="CA145" s="66"/>
      <c r="CB145" s="365">
        <f>IF(BZ145=0,0,(CA145-BZ145)/BZ145*100)</f>
        <v>0</v>
      </c>
      <c r="CC145" s="66"/>
      <c r="CD145" s="66"/>
      <c r="CE145" s="365">
        <f>IF(CC145=0,0,(CD145-CC145)/CC145*100)</f>
        <v>0</v>
      </c>
      <c r="CF145" s="66"/>
      <c r="CG145" s="66"/>
      <c r="CH145" s="365">
        <f>IF(CF145=0,0,(CG145-CF145)/CF145*100)</f>
        <v>0</v>
      </c>
      <c r="CI145" s="66"/>
      <c r="CJ145" s="66"/>
      <c r="CK145" s="365">
        <f>IF(CI145=0,0,(CJ145-CI145)/CI145*100)</f>
        <v>0</v>
      </c>
      <c r="CL145" s="66"/>
      <c r="CM145" s="66"/>
      <c r="CN145" s="365">
        <f>IF(CL145=0,0,(CM145-CL145)/CL145*100)</f>
        <v>0</v>
      </c>
      <c r="CO145" s="66"/>
      <c r="CP145" s="66"/>
      <c r="CQ145" s="365">
        <f>IF(CO145=0,0,(CP145-CO145)/CO145*100)</f>
        <v>0</v>
      </c>
      <c r="CR145" s="66"/>
      <c r="CS145" s="66"/>
      <c r="CT145" s="365">
        <f>IF(CR145=0,0,(CS145-CR145)/CR145*100)</f>
        <v>0</v>
      </c>
      <c r="CU145" s="66"/>
      <c r="CV145" s="66"/>
      <c r="CW145" s="365">
        <f>IF(CU145=0,0,(CV145-CU145)/CU145*100)</f>
        <v>0</v>
      </c>
      <c r="CX145" s="66"/>
      <c r="CY145" s="66"/>
      <c r="CZ145" s="365">
        <f>IF(CX145=0,0,(CY145-CX145)/CX145*100)</f>
        <v>0</v>
      </c>
      <c r="DA145" s="66"/>
      <c r="DB145" s="66"/>
      <c r="DC145" s="365">
        <f>IF(DA145=0,0,(DB145-DA145)/DA145*100)</f>
        <v>0</v>
      </c>
      <c r="DD145" s="66"/>
      <c r="DE145" s="66"/>
      <c r="DF145" s="365">
        <f>IF(DD145=0,0,(DE145-DD145)/DD145*100)</f>
        <v>0</v>
      </c>
      <c r="DG145" s="66"/>
      <c r="DH145" s="66"/>
      <c r="DI145" s="365">
        <f>IF(DG145=0,0,(DH145-DG145)/DG145*100)</f>
        <v>0</v>
      </c>
      <c r="DJ145" s="66"/>
      <c r="DK145" s="66"/>
      <c r="DL145" s="365">
        <f>IF(DJ145=0,0,(DK145-DJ145)/DJ145*100)</f>
        <v>0</v>
      </c>
      <c r="DM145" s="66"/>
      <c r="DN145" s="66"/>
      <c r="DO145" s="365">
        <f>IF(DM145=0,0,(DN145-DM145)/DM145*100)</f>
        <v>0</v>
      </c>
      <c r="DP145" s="66"/>
      <c r="DQ145" s="66"/>
      <c r="DR145" s="365">
        <f>IF(DP145=0,0,(DQ145-DP145)/DP145*100)</f>
        <v>0</v>
      </c>
      <c r="DS145" s="66"/>
      <c r="DT145" s="66"/>
      <c r="DU145" s="365">
        <f>IF(DS145=0,0,(DT145-DS145)/DS145*100)</f>
        <v>0</v>
      </c>
      <c r="DV145" s="66"/>
      <c r="DW145" s="66"/>
      <c r="DX145" s="365">
        <f>IF(DV145=0,0,(DW145-DV145)/DV145*100)</f>
        <v>0</v>
      </c>
      <c r="DY145" s="66"/>
      <c r="DZ145" s="66"/>
      <c r="EA145" s="365">
        <f>IF(DY145=0,0,(DZ145-DY145)/DY145*100)</f>
        <v>0</v>
      </c>
      <c r="EB145" s="66"/>
      <c r="EC145" s="66"/>
      <c r="ED145" s="365">
        <f>IF(EB145=0,0,(EC145-EB145)/EB145*100)</f>
        <v>0</v>
      </c>
      <c r="EE145" s="66"/>
      <c r="EF145" s="66"/>
      <c r="EG145" s="365">
        <f>IF(EE145=0,0,(EF145-EE145)/EE145*100)</f>
        <v>0</v>
      </c>
      <c r="EH145" s="66"/>
      <c r="EI145" s="66"/>
      <c r="EJ145" s="365">
        <f>IF(EH145=0,0,(EI145-EH145)/EH145*100)</f>
        <v>0</v>
      </c>
      <c r="EK145" s="66"/>
      <c r="EL145" s="66"/>
      <c r="EM145" s="365">
        <f>IF(EK145=0,0,(EL145-EK145)/EK145*100)</f>
        <v>0</v>
      </c>
      <c r="EN145" s="66"/>
      <c r="EO145" s="66"/>
      <c r="EP145" s="365">
        <f>IF(EN145=0,0,(EO145-EN145)/EN145*100)</f>
        <v>0</v>
      </c>
      <c r="EQ145" s="66"/>
      <c r="ER145" s="66"/>
      <c r="ES145" s="365">
        <f>IF(EQ145=0,0,(ER145-EQ145)/EQ145*100)</f>
        <v>0</v>
      </c>
      <c r="ET145" s="66"/>
      <c r="EU145" s="66"/>
      <c r="EV145" s="365">
        <f>IF(ET145=0,0,(EU145-ET145)/ET145*100)</f>
        <v>0</v>
      </c>
      <c r="EW145" s="66"/>
      <c r="EX145" s="66"/>
      <c r="EY145" s="365">
        <f>IF(EW145=0,0,(EX145-EW145)/EW145*100)</f>
        <v>0</v>
      </c>
      <c r="EZ145" s="66"/>
      <c r="FA145" s="66"/>
      <c r="FB145" s="365">
        <f>IF(EZ145=0,0,(FA145-EZ145)/EZ145*100)</f>
        <v>0</v>
      </c>
      <c r="FC145" s="66"/>
      <c r="FD145" s="66"/>
      <c r="FE145" s="365">
        <f>IF(FC145=0,0,(FD145-FC145)/FC145*100)</f>
        <v>0</v>
      </c>
      <c r="FF145" s="66"/>
      <c r="FG145" s="66"/>
      <c r="FH145" s="365">
        <f>IF(FF145=0,0,(FG145-FF145)/FF145*100)</f>
        <v>0</v>
      </c>
      <c r="FI145" s="66"/>
      <c r="FJ145" s="66"/>
      <c r="FK145" s="365">
        <f>IF(FI145=0,0,(FJ145-FI145)/FI145*100)</f>
        <v>0</v>
      </c>
      <c r="FL145" s="66"/>
      <c r="FM145" s="66"/>
      <c r="FN145" s="365">
        <f>IF(FL145=0,0,(FM145-FL145)/FL145*100)</f>
        <v>0</v>
      </c>
      <c r="FO145" s="66"/>
      <c r="FP145" s="66"/>
      <c r="FQ145" s="365">
        <f>IF(FO145=0,0,(FP145-FO145)/FO145*100)</f>
        <v>0</v>
      </c>
      <c r="FR145" s="66"/>
      <c r="FS145" s="66"/>
      <c r="FT145" s="365">
        <f>IF(FR145=0,0,(FS145-FR145)/FR145*100)</f>
        <v>0</v>
      </c>
      <c r="FU145" s="66"/>
      <c r="FV145" s="66"/>
      <c r="FW145" s="365">
        <f>IF(FU145=0,0,(FV145-FU145)/FU145*100)</f>
        <v>0</v>
      </c>
      <c r="FX145" s="497"/>
      <c r="FY145" s="497"/>
      <c r="FZ145" s="1181" t="s">
        <v>2152</v>
      </c>
      <c r="GA145" s="1181"/>
      <c r="GB145" s="1181"/>
      <c r="GC145" s="1181"/>
      <c r="GD145" s="1181"/>
    </row>
    <row s="1619" customFormat="1" customHeight="1" ht="15" hidden="1">
      <c r="A146" s="1461"/>
      <c r="B146" s="961" cm="1" t="str">
        <f t="array" ref="B146:B146">B145</f>
        <v>false</v>
      </c>
      <c r="C146" s="1322" t="s">
        <v>1747</v>
      </c>
      <c r="D146" s="1291" t="s">
        <v>1748</v>
      </c>
      <c r="E146" s="794">
        <v>15.8</v>
      </c>
      <c r="F146" s="919" cm="1" t="str">
        <f t="array" ref="F146:F146">OFFSET(G146,-1,-1)</f>
        <v>2</v>
      </c>
      <c r="G146" s="736" t="s">
        <v>1751</v>
      </c>
      <c r="H146" s="210" t="s">
        <v>2153</v>
      </c>
      <c r="I146" s="210" t="s">
        <v>2088</v>
      </c>
      <c r="J146" s="1312"/>
      <c r="K146" s="1312" cm="1" t="str">
        <f t="array" ref="K146:K146">OFFSET(J146,-1,1)</f>
        <v>ТЭ.42.26824396.0005</v>
      </c>
      <c r="L146" s="1312"/>
      <c r="M146" s="1312" t="s">
        <v>1724</v>
      </c>
      <c r="N146" s="1312" t="s">
        <v>2091</v>
      </c>
      <c r="O146" s="1313" t="s">
        <v>2092</v>
      </c>
      <c r="P146" s="1312" t="s">
        <v>2154</v>
      </c>
      <c r="Q146" s="1312"/>
      <c r="R146" s="925"/>
      <c r="S146" s="497"/>
      <c r="T146" s="805" cm="1" t="str">
        <f t="array" ref="T146:T146">T145</f>
        <v>false</v>
      </c>
      <c r="U146" s="1461"/>
      <c r="V146" s="1461"/>
      <c r="W146" s="1461"/>
      <c r="X146" s="1461"/>
      <c r="Y146" s="1461"/>
      <c r="Z146" s="1461"/>
      <c r="AA146" s="497"/>
      <c r="AB146" s="273" t="s">
        <v>2155</v>
      </c>
      <c r="AC146" s="664" t="s">
        <v>690</v>
      </c>
      <c r="AD146" s="66">
        <f>IF(method_reg="Метод экономически обоснованных расходов",_xlfn.SUMIFS('Калькуляция (4.6)'!AJ$25:AJ$229,'Калькуляция (4.6)'!$F$25:$F$229,$F146,'Калькуляция (4.6)'!$G$25:$G$229,$G146),IF(method_reg="Метод сравнения аналогов",_xlfn.SUMIFS(INDEX('Калькуляция (МСА)'!$AE$25:$BC$109,,MATCH(AD$8,'Калькуляция (МСА)'!$AE$8:$BC$8,0)),'Калькуляция (МСА)'!$F$25:$F$109,$F146,'Калькуляция (МСА)'!$G$25:$G$109,$G146),_xlfn.SUMIFS(INDEX('Калькуляция (5.9)'!$AJ$25:$BC$192,,MATCH(AD$8,'Калькуляция (5.9)'!$AJ$8:$BC$8,0)),'Калькуляция (5.9)'!$F$25:$F$192,$F146,'Калькуляция (5.9)'!$G$25:$G$192,$G146)))</f>
        <v>0</v>
      </c>
      <c r="AE146" s="66">
        <f>IF(method_reg="Метод экономически обоснованных расходов",_xlfn.SUMIFS('Калькуляция (4.6)'!AK$25:AK$229,'Калькуляция (4.6)'!$F$25:$F$229,$F146,'Калькуляция (4.6)'!$G$25:$G$229,$G146),IF(method_reg="Метод сравнения аналогов",_xlfn.SUMIFS(INDEX('Калькуляция (МСА)'!$AE$25:$BC$109,,MATCH(AE$8,'Калькуляция (МСА)'!$AE$8:$BC$8,0)),'Калькуляция (МСА)'!$F$25:$F$109,$F146,'Калькуляция (МСА)'!$G$25:$G$109,$G146),_xlfn.SUMIFS(INDEX('Калькуляция (5.9)'!$AJ$25:$BC$192,,MATCH(AE$8,'Калькуляция (5.9)'!$AJ$8:$BC$8,0)),'Калькуляция (5.9)'!$F$25:$F$192,$F146,'Калькуляция (5.9)'!$G$25:$G$192,$G146)))</f>
        <v>0</v>
      </c>
      <c r="AF146" s="365">
        <f>IF(AD146=0,0,(AE146-AD146)/AD146*100)</f>
        <v>0</v>
      </c>
      <c r="AG146" s="366">
        <f>IF(method_reg="Метод сравнения аналогов",_xlfn.SUMIFS(INDEX('Калькуляция (МСА)'!$AE$25:$BC$109,,MATCH(AG$8,'Калькуляция (МСА)'!$AE$8:$BC$8,0)),'Калькуляция (МСА)'!$F$25:$F$109,$F146,'Калькуляция (МСА)'!$G$25:$G$109,$G146),_xlfn.SUMIFS(INDEX('Калькуляция (5.9)'!$AJ$25:$BC$192,,MATCH(AG$8,'Калькуляция (5.9)'!$AJ$8:$BC$8,0)),'Калькуляция (5.9)'!$F$25:$F$192,$F146,'Калькуляция (5.9)'!$G$25:$G$192,$G146))</f>
        <v>0</v>
      </c>
      <c r="AH146" s="366">
        <f>IF(method_reg="Метод сравнения аналогов",_xlfn.SUMIFS(INDEX('Калькуляция (МСА)'!$AE$25:$BC$109,,MATCH(AH$8,'Калькуляция (МСА)'!$AE$8:$BC$8,0)),'Калькуляция (МСА)'!$F$25:$F$109,$F146,'Калькуляция (МСА)'!$G$25:$G$109,$G146),_xlfn.SUMIFS(INDEX('Калькуляция (5.9)'!$AJ$25:$BC$192,,MATCH(AH$8,'Калькуляция (5.9)'!$AJ$8:$BC$8,0)),'Калькуляция (5.9)'!$F$25:$F$192,$F146,'Калькуляция (5.9)'!$G$25:$G$192,$G146))</f>
        <v>0</v>
      </c>
      <c r="AI146" s="365">
        <f>IF(AG146=0,0,(AH146-AG146)/AG146*100)</f>
        <v>0</v>
      </c>
      <c r="AJ146" s="366">
        <f>IF(method_reg="Метод сравнения аналогов",_xlfn.SUMIFS(INDEX('Калькуляция (МСА)'!$AE$25:$BC$109,,MATCH(AJ$8,'Калькуляция (МСА)'!$AE$8:$BC$8,0)),'Калькуляция (МСА)'!$F$25:$F$109,$F146,'Калькуляция (МСА)'!$G$25:$G$109,$G146),_xlfn.SUMIFS(INDEX('Калькуляция (5.9)'!$AJ$25:$BC$192,,MATCH(AJ$8,'Калькуляция (5.9)'!$AJ$8:$BC$8,0)),'Калькуляция (5.9)'!$F$25:$F$192,$F146,'Калькуляция (5.9)'!$G$25:$G$192,$G146))</f>
        <v>0</v>
      </c>
      <c r="AK146" s="366">
        <f>IF(method_reg="Метод сравнения аналогов",_xlfn.SUMIFS(INDEX('Калькуляция (МСА)'!$AE$25:$BC$109,,MATCH(AK$8,'Калькуляция (МСА)'!$AE$8:$BC$8,0)),'Калькуляция (МСА)'!$F$25:$F$109,$F146,'Калькуляция (МСА)'!$G$25:$G$109,$G146),_xlfn.SUMIFS(INDEX('Калькуляция (5.9)'!$AJ$25:$BC$192,,MATCH(AK$8,'Калькуляция (5.9)'!$AJ$8:$BC$8,0)),'Калькуляция (5.9)'!$F$25:$F$192,$F146,'Калькуляция (5.9)'!$G$25:$G$192,$G146))</f>
        <v>0</v>
      </c>
      <c r="AL146" s="365">
        <f>IF(AJ146=0,0,(AK146-AJ146)/AJ146*100)</f>
        <v>0</v>
      </c>
      <c r="AM146" s="366">
        <f>IF(method_reg="Метод сравнения аналогов",_xlfn.SUMIFS(INDEX('Калькуляция (МСА)'!$AE$25:$BC$109,,MATCH(AM$8,'Калькуляция (МСА)'!$AE$8:$BC$8,0)),'Калькуляция (МСА)'!$F$25:$F$109,$F146,'Калькуляция (МСА)'!$G$25:$G$109,$G146),_xlfn.SUMIFS(INDEX('Калькуляция (5.9)'!$AJ$25:$BC$192,,MATCH(AM$8,'Калькуляция (5.9)'!$AJ$8:$BC$8,0)),'Калькуляция (5.9)'!$F$25:$F$192,$F146,'Калькуляция (5.9)'!$G$25:$G$192,$G146))</f>
        <v>0</v>
      </c>
      <c r="AN146" s="366">
        <f>IF(method_reg="Метод сравнения аналогов",_xlfn.SUMIFS(INDEX('Калькуляция (МСА)'!$AE$25:$BC$109,,MATCH(AN$8,'Калькуляция (МСА)'!$AE$8:$BC$8,0)),'Калькуляция (МСА)'!$F$25:$F$109,$F146,'Калькуляция (МСА)'!$G$25:$G$109,$G146),_xlfn.SUMIFS(INDEX('Калькуляция (5.9)'!$AJ$25:$BC$192,,MATCH(AN$8,'Калькуляция (5.9)'!$AJ$8:$BC$8,0)),'Калькуляция (5.9)'!$F$25:$F$192,$F146,'Калькуляция (5.9)'!$G$25:$G$192,$G146))</f>
        <v>0</v>
      </c>
      <c r="AO146" s="365">
        <f>IF(AM146=0,0,(AN146-AM146)/AM146*100)</f>
        <v>0</v>
      </c>
      <c r="AP146" s="366">
        <f>IF(method_reg="Метод сравнения аналогов",_xlfn.SUMIFS(INDEX('Калькуляция (МСА)'!$AE$25:$BC$109,,MATCH(AP$8,'Калькуляция (МСА)'!$AE$8:$BC$8,0)),'Калькуляция (МСА)'!$F$25:$F$109,$F146,'Калькуляция (МСА)'!$G$25:$G$109,$G146),_xlfn.SUMIFS(INDEX('Калькуляция (5.9)'!$AJ$25:$BC$192,,MATCH(AP$8,'Калькуляция (5.9)'!$AJ$8:$BC$8,0)),'Калькуляция (5.9)'!$F$25:$F$192,$F146,'Калькуляция (5.9)'!$G$25:$G$192,$G146))</f>
        <v>0</v>
      </c>
      <c r="AQ146" s="366">
        <f>IF(method_reg="Метод сравнения аналогов",_xlfn.SUMIFS(INDEX('Калькуляция (МСА)'!$AE$25:$BC$109,,MATCH(AQ$8,'Калькуляция (МСА)'!$AE$8:$BC$8,0)),'Калькуляция (МСА)'!$F$25:$F$109,$F146,'Калькуляция (МСА)'!$G$25:$G$109,$G146),_xlfn.SUMIFS(INDEX('Калькуляция (5.9)'!$AJ$25:$BC$192,,MATCH(AQ$8,'Калькуляция (5.9)'!$AJ$8:$BC$8,0)),'Калькуляция (5.9)'!$F$25:$F$192,$F146,'Калькуляция (5.9)'!$G$25:$G$192,$G146))</f>
        <v>0</v>
      </c>
      <c r="AR146" s="365">
        <f>IF(AP146=0,0,(AQ146-AP146)/AP146*100)</f>
        <v>0</v>
      </c>
      <c r="AS146" s="66">
        <f>IF(method_reg="Метод сравнения аналогов",_xlfn.SUMIFS(INDEX('Калькуляция (МСА)'!$AE$25:$BC$109,,MATCH(AS$8,'Калькуляция (МСА)'!$AE$8:$BC$8,0)),'Калькуляция (МСА)'!$F$25:$F$109,$F146,'Калькуляция (МСА)'!$G$25:$G$109,$G146),_xlfn.SUMIFS(INDEX('Калькуляция (5.9)'!$AJ$25:$BC$192,,MATCH(AS$8,'Калькуляция (5.9)'!$AJ$8:$BC$8,0)),'Калькуляция (5.9)'!$F$25:$F$192,$F146,'Калькуляция (5.9)'!$G$25:$G$192,$G146))</f>
        <v>0</v>
      </c>
      <c r="AT146" s="66">
        <f>IF(method_reg="Метод сравнения аналогов",_xlfn.SUMIFS(INDEX('Калькуляция (МСА)'!$AE$25:$BC$109,,MATCH(AT$8,'Калькуляция (МСА)'!$AE$8:$BC$8,0)),'Калькуляция (МСА)'!$F$25:$F$109,$F146,'Калькуляция (МСА)'!$G$25:$G$109,$G146),_xlfn.SUMIFS(INDEX('Калькуляция (5.9)'!$AJ$25:$BC$192,,MATCH(AT$8,'Калькуляция (5.9)'!$AJ$8:$BC$8,0)),'Калькуляция (5.9)'!$F$25:$F$192,$F146,'Калькуляция (5.9)'!$G$25:$G$192,$G146))</f>
        <v>0</v>
      </c>
      <c r="AU146" s="365">
        <f>IF(AS146=0,0,(AT146-AS146)/AS146*100)</f>
        <v>0</v>
      </c>
      <c r="AV146" s="66">
        <f>IF(method_reg="Метод сравнения аналогов",_xlfn.SUMIFS(INDEX('Калькуляция (МСА)'!$AE$25:$BC$109,,MATCH(AV$8,'Калькуляция (МСА)'!$AE$8:$BC$8,0)),'Калькуляция (МСА)'!$F$25:$F$109,$F146,'Калькуляция (МСА)'!$G$25:$G$109,$G146),_xlfn.SUMIFS(INDEX('Калькуляция (5.9)'!$AJ$25:$BC$192,,MATCH(AV$8,'Калькуляция (5.9)'!$AJ$8:$BC$8,0)),'Калькуляция (5.9)'!$F$25:$F$192,$F146,'Калькуляция (5.9)'!$G$25:$G$192,$G146))</f>
        <v>0</v>
      </c>
      <c r="AW146" s="66">
        <f>IF(method_reg="Метод сравнения аналогов",_xlfn.SUMIFS(INDEX('Калькуляция (МСА)'!$AE$25:$BC$109,,MATCH(AW$8,'Калькуляция (МСА)'!$AE$8:$BC$8,0)),'Калькуляция (МСА)'!$F$25:$F$109,$F146,'Калькуляция (МСА)'!$G$25:$G$109,$G146),_xlfn.SUMIFS(INDEX('Калькуляция (5.9)'!$AJ$25:$BC$192,,MATCH(AW$8,'Калькуляция (5.9)'!$AJ$8:$BC$8,0)),'Калькуляция (5.9)'!$F$25:$F$192,$F146,'Калькуляция (5.9)'!$G$25:$G$192,$G146))</f>
        <v>0</v>
      </c>
      <c r="AX146" s="365">
        <f>IF(AV146=0,0,(AW146-AV146)/AV146*100)</f>
        <v>0</v>
      </c>
      <c r="AY146" s="66">
        <f>IF(method_reg="Метод сравнения аналогов",_xlfn.SUMIFS(INDEX('Калькуляция (МСА)'!$AE$25:$BC$109,,MATCH(AY$8,'Калькуляция (МСА)'!$AE$8:$BC$8,0)),'Калькуляция (МСА)'!$F$25:$F$109,$F146,'Калькуляция (МСА)'!$G$25:$G$109,$G146),_xlfn.SUMIFS(INDEX('Калькуляция (5.9)'!$AJ$25:$BC$192,,MATCH(AY$8,'Калькуляция (5.9)'!$AJ$8:$BC$8,0)),'Калькуляция (5.9)'!$F$25:$F$192,$F146,'Калькуляция (5.9)'!$G$25:$G$192,$G146))</f>
        <v>0</v>
      </c>
      <c r="AZ146" s="66">
        <f>IF(method_reg="Метод сравнения аналогов",_xlfn.SUMIFS(INDEX('Калькуляция (МСА)'!$AE$25:$BC$109,,MATCH(AZ$8,'Калькуляция (МСА)'!$AE$8:$BC$8,0)),'Калькуляция (МСА)'!$F$25:$F$109,$F146,'Калькуляция (МСА)'!$G$25:$G$109,$G146),_xlfn.SUMIFS(INDEX('Калькуляция (5.9)'!$AJ$25:$BC$192,,MATCH(AZ$8,'Калькуляция (5.9)'!$AJ$8:$BC$8,0)),'Калькуляция (5.9)'!$F$25:$F$192,$F146,'Калькуляция (5.9)'!$G$25:$G$192,$G146))</f>
        <v>0</v>
      </c>
      <c r="BA146" s="365">
        <f>IF(AY146=0,0,(AZ146-AY146)/AY146*100)</f>
        <v>0</v>
      </c>
      <c r="BB146" s="66">
        <f>IF(method_reg="Метод сравнения аналогов",_xlfn.SUMIFS(INDEX('Калькуляция (МСА)'!$AE$25:$BC$109,,MATCH(BB$8,'Калькуляция (МСА)'!$AE$8:$BC$8,0)),'Калькуляция (МСА)'!$F$25:$F$109,$F146,'Калькуляция (МСА)'!$G$25:$G$109,$G146),_xlfn.SUMIFS(INDEX('Калькуляция (5.9)'!$AJ$25:$BC$192,,MATCH(BB$8,'Калькуляция (5.9)'!$AJ$8:$BC$8,0)),'Калькуляция (5.9)'!$F$25:$F$192,$F146,'Калькуляция (5.9)'!$G$25:$G$192,$G146))</f>
        <v>0</v>
      </c>
      <c r="BC146" s="66">
        <f>IF(method_reg="Метод сравнения аналогов",_xlfn.SUMIFS(INDEX('Калькуляция (МСА)'!$AE$25:$BC$109,,MATCH(BC$8,'Калькуляция (МСА)'!$AE$8:$BC$8,0)),'Калькуляция (МСА)'!$F$25:$F$109,$F146,'Калькуляция (МСА)'!$G$25:$G$109,$G146),_xlfn.SUMIFS(INDEX('Калькуляция (5.9)'!$AJ$25:$BC$192,,MATCH(BC$8,'Калькуляция (5.9)'!$AJ$8:$BC$8,0)),'Калькуляция (5.9)'!$F$25:$F$192,$F146,'Калькуляция (5.9)'!$G$25:$G$192,$G146))</f>
        <v>0</v>
      </c>
      <c r="BD146" s="365">
        <f>IF(BB146=0,0,(BC146-BB146)/BB146*100)</f>
        <v>0</v>
      </c>
      <c r="BE146" s="66">
        <f>IF(method_reg="Метод сравнения аналогов",_xlfn.SUMIFS(INDEX('Калькуляция (МСА)'!$AE$25:$BC$109,,MATCH(BE$8,'Калькуляция (МСА)'!$AE$8:$BC$8,0)),'Калькуляция (МСА)'!$F$25:$F$109,$F146,'Калькуляция (МСА)'!$G$25:$G$109,$G146),_xlfn.SUMIFS(INDEX('Калькуляция (5.9)'!$AJ$25:$BC$192,,MATCH(BE$8,'Калькуляция (5.9)'!$AJ$8:$BC$8,0)),'Калькуляция (5.9)'!$F$25:$F$192,$F146,'Калькуляция (5.9)'!$G$25:$G$192,$G146))</f>
        <v>0</v>
      </c>
      <c r="BF146" s="66">
        <f>IF(method_reg="Метод сравнения аналогов",_xlfn.SUMIFS(INDEX('Калькуляция (МСА)'!$AE$25:$BC$109,,MATCH(BF$8,'Калькуляция (МСА)'!$AE$8:$BC$8,0)),'Калькуляция (МСА)'!$F$25:$F$109,$F146,'Калькуляция (МСА)'!$G$25:$G$109,$G146),_xlfn.SUMIFS(INDEX('Калькуляция (5.9)'!$AJ$25:$BC$192,,MATCH(BF$8,'Калькуляция (5.9)'!$AJ$8:$BC$8,0)),'Калькуляция (5.9)'!$F$25:$F$192,$F146,'Калькуляция (5.9)'!$G$25:$G$192,$G146))</f>
        <v>0</v>
      </c>
      <c r="BG146" s="365">
        <f>IF(BE146=0,0,(BF146-BE146)/BE146*100)</f>
        <v>0</v>
      </c>
      <c r="BH146" s="66"/>
      <c r="BI146" s="66"/>
      <c r="BJ146" s="365">
        <f>IF(BH146=0,0,(BI146-BH146)/BH146*100)</f>
        <v>0</v>
      </c>
      <c r="BK146" s="66"/>
      <c r="BL146" s="66"/>
      <c r="BM146" s="365">
        <f>IF(BK146=0,0,(BL146-BK146)/BK146*100)</f>
        <v>0</v>
      </c>
      <c r="BN146" s="66"/>
      <c r="BO146" s="66"/>
      <c r="BP146" s="365">
        <f>IF(BN146=0,0,(BO146-BN146)/BN146*100)</f>
        <v>0</v>
      </c>
      <c r="BQ146" s="66"/>
      <c r="BR146" s="66"/>
      <c r="BS146" s="365">
        <f>IF(BQ146=0,0,(BR146-BQ146)/BQ146*100)</f>
        <v>0</v>
      </c>
      <c r="BT146" s="66"/>
      <c r="BU146" s="66"/>
      <c r="BV146" s="365">
        <f>IF(BT146=0,0,(BU146-BT146)/BT146*100)</f>
        <v>0</v>
      </c>
      <c r="BW146" s="66"/>
      <c r="BX146" s="66"/>
      <c r="BY146" s="365">
        <f>IF(BW146=0,0,(BX146-BW146)/BW146*100)</f>
        <v>0</v>
      </c>
      <c r="BZ146" s="66"/>
      <c r="CA146" s="66"/>
      <c r="CB146" s="365">
        <f>IF(BZ146=0,0,(CA146-BZ146)/BZ146*100)</f>
        <v>0</v>
      </c>
      <c r="CC146" s="66"/>
      <c r="CD146" s="66"/>
      <c r="CE146" s="365">
        <f>IF(CC146=0,0,(CD146-CC146)/CC146*100)</f>
        <v>0</v>
      </c>
      <c r="CF146" s="66"/>
      <c r="CG146" s="66"/>
      <c r="CH146" s="365">
        <f>IF(CF146=0,0,(CG146-CF146)/CF146*100)</f>
        <v>0</v>
      </c>
      <c r="CI146" s="66"/>
      <c r="CJ146" s="66"/>
      <c r="CK146" s="365">
        <f>IF(CI146=0,0,(CJ146-CI146)/CI146*100)</f>
        <v>0</v>
      </c>
      <c r="CL146" s="66"/>
      <c r="CM146" s="66"/>
      <c r="CN146" s="365">
        <f>IF(CL146=0,0,(CM146-CL146)/CL146*100)</f>
        <v>0</v>
      </c>
      <c r="CO146" s="66"/>
      <c r="CP146" s="66"/>
      <c r="CQ146" s="365">
        <f>IF(CO146=0,0,(CP146-CO146)/CO146*100)</f>
        <v>0</v>
      </c>
      <c r="CR146" s="66"/>
      <c r="CS146" s="66"/>
      <c r="CT146" s="365">
        <f>IF(CR146=0,0,(CS146-CR146)/CR146*100)</f>
        <v>0</v>
      </c>
      <c r="CU146" s="66"/>
      <c r="CV146" s="66"/>
      <c r="CW146" s="365">
        <f>IF(CU146=0,0,(CV146-CU146)/CU146*100)</f>
        <v>0</v>
      </c>
      <c r="CX146" s="66"/>
      <c r="CY146" s="66"/>
      <c r="CZ146" s="365">
        <f>IF(CX146=0,0,(CY146-CX146)/CX146*100)</f>
        <v>0</v>
      </c>
      <c r="DA146" s="66"/>
      <c r="DB146" s="66"/>
      <c r="DC146" s="365">
        <f>IF(DA146=0,0,(DB146-DA146)/DA146*100)</f>
        <v>0</v>
      </c>
      <c r="DD146" s="66"/>
      <c r="DE146" s="66"/>
      <c r="DF146" s="365">
        <f>IF(DD146=0,0,(DE146-DD146)/DD146*100)</f>
        <v>0</v>
      </c>
      <c r="DG146" s="66"/>
      <c r="DH146" s="66"/>
      <c r="DI146" s="365">
        <f>IF(DG146=0,0,(DH146-DG146)/DG146*100)</f>
        <v>0</v>
      </c>
      <c r="DJ146" s="66"/>
      <c r="DK146" s="66"/>
      <c r="DL146" s="365">
        <f>IF(DJ146=0,0,(DK146-DJ146)/DJ146*100)</f>
        <v>0</v>
      </c>
      <c r="DM146" s="66"/>
      <c r="DN146" s="66"/>
      <c r="DO146" s="365">
        <f>IF(DM146=0,0,(DN146-DM146)/DM146*100)</f>
        <v>0</v>
      </c>
      <c r="DP146" s="66"/>
      <c r="DQ146" s="66"/>
      <c r="DR146" s="365">
        <f>IF(DP146=0,0,(DQ146-DP146)/DP146*100)</f>
        <v>0</v>
      </c>
      <c r="DS146" s="66"/>
      <c r="DT146" s="66"/>
      <c r="DU146" s="365">
        <f>IF(DS146=0,0,(DT146-DS146)/DS146*100)</f>
        <v>0</v>
      </c>
      <c r="DV146" s="66"/>
      <c r="DW146" s="66"/>
      <c r="DX146" s="365">
        <f>IF(DV146=0,0,(DW146-DV146)/DV146*100)</f>
        <v>0</v>
      </c>
      <c r="DY146" s="66"/>
      <c r="DZ146" s="66"/>
      <c r="EA146" s="365">
        <f>IF(DY146=0,0,(DZ146-DY146)/DY146*100)</f>
        <v>0</v>
      </c>
      <c r="EB146" s="66"/>
      <c r="EC146" s="66"/>
      <c r="ED146" s="365">
        <f>IF(EB146=0,0,(EC146-EB146)/EB146*100)</f>
        <v>0</v>
      </c>
      <c r="EE146" s="66"/>
      <c r="EF146" s="66"/>
      <c r="EG146" s="365">
        <f>IF(EE146=0,0,(EF146-EE146)/EE146*100)</f>
        <v>0</v>
      </c>
      <c r="EH146" s="66"/>
      <c r="EI146" s="66"/>
      <c r="EJ146" s="365">
        <f>IF(EH146=0,0,(EI146-EH146)/EH146*100)</f>
        <v>0</v>
      </c>
      <c r="EK146" s="66"/>
      <c r="EL146" s="66"/>
      <c r="EM146" s="365">
        <f>IF(EK146=0,0,(EL146-EK146)/EK146*100)</f>
        <v>0</v>
      </c>
      <c r="EN146" s="66"/>
      <c r="EO146" s="66"/>
      <c r="EP146" s="365">
        <f>IF(EN146=0,0,(EO146-EN146)/EN146*100)</f>
        <v>0</v>
      </c>
      <c r="EQ146" s="66"/>
      <c r="ER146" s="66"/>
      <c r="ES146" s="365">
        <f>IF(EQ146=0,0,(ER146-EQ146)/EQ146*100)</f>
        <v>0</v>
      </c>
      <c r="ET146" s="66"/>
      <c r="EU146" s="66"/>
      <c r="EV146" s="365">
        <f>IF(ET146=0,0,(EU146-ET146)/ET146*100)</f>
        <v>0</v>
      </c>
      <c r="EW146" s="66"/>
      <c r="EX146" s="66"/>
      <c r="EY146" s="365">
        <f>IF(EW146=0,0,(EX146-EW146)/EW146*100)</f>
        <v>0</v>
      </c>
      <c r="EZ146" s="66"/>
      <c r="FA146" s="66"/>
      <c r="FB146" s="365">
        <f>IF(EZ146=0,0,(FA146-EZ146)/EZ146*100)</f>
        <v>0</v>
      </c>
      <c r="FC146" s="66"/>
      <c r="FD146" s="66"/>
      <c r="FE146" s="365">
        <f>IF(FC146=0,0,(FD146-FC146)/FC146*100)</f>
        <v>0</v>
      </c>
      <c r="FF146" s="66"/>
      <c r="FG146" s="66"/>
      <c r="FH146" s="365">
        <f>IF(FF146=0,0,(FG146-FF146)/FF146*100)</f>
        <v>0</v>
      </c>
      <c r="FI146" s="66"/>
      <c r="FJ146" s="66"/>
      <c r="FK146" s="365">
        <f>IF(FI146=0,0,(FJ146-FI146)/FI146*100)</f>
        <v>0</v>
      </c>
      <c r="FL146" s="66"/>
      <c r="FM146" s="66"/>
      <c r="FN146" s="365">
        <f>IF(FL146=0,0,(FM146-FL146)/FL146*100)</f>
        <v>0</v>
      </c>
      <c r="FO146" s="66"/>
      <c r="FP146" s="66"/>
      <c r="FQ146" s="365">
        <f>IF(FO146=0,0,(FP146-FO146)/FO146*100)</f>
        <v>0</v>
      </c>
      <c r="FR146" s="66"/>
      <c r="FS146" s="66"/>
      <c r="FT146" s="365">
        <f>IF(FR146=0,0,(FS146-FR146)/FR146*100)</f>
        <v>0</v>
      </c>
      <c r="FU146" s="66"/>
      <c r="FV146" s="66"/>
      <c r="FW146" s="365">
        <f>IF(FU146=0,0,(FV146-FU146)/FU146*100)</f>
        <v>0</v>
      </c>
      <c r="FX146" s="497"/>
      <c r="FY146" s="497"/>
      <c r="FZ146" s="1181" t="s">
        <v>2156</v>
      </c>
      <c r="GA146" s="1181"/>
      <c r="GB146" s="1181"/>
      <c r="GC146" s="1181"/>
      <c r="GD146" s="1181"/>
    </row>
    <row s="1619" customFormat="1" customHeight="1" ht="15" hidden="1">
      <c r="A147" s="1461"/>
      <c r="B147" s="961" cm="1" t="str">
        <f t="array" ref="B147:B147">B146</f>
        <v>false</v>
      </c>
      <c r="C147" s="1322"/>
      <c r="D147" s="1291"/>
      <c r="E147" s="794">
        <v>15.8</v>
      </c>
      <c r="F147" s="919" cm="1" t="str">
        <f t="array" ref="F147:F147">OFFSET(G147,-1,-1)</f>
        <v>2</v>
      </c>
      <c r="G147" s="497"/>
      <c r="H147" s="497"/>
      <c r="I147" s="497"/>
      <c r="J147" s="1314"/>
      <c r="K147" s="1312" cm="1" t="str">
        <f t="array" ref="K147:K147">OFFSET(J147,-1,1)</f>
        <v>ТЭ.42.26824396.0005</v>
      </c>
      <c r="L147" s="1314"/>
      <c r="M147" s="1314"/>
      <c r="N147" s="1314"/>
      <c r="O147" s="1314"/>
      <c r="P147" s="1312"/>
      <c r="Q147" s="1312"/>
      <c r="R147" s="925"/>
      <c r="S147" s="497"/>
      <c r="T147" s="805" cm="1" t="str">
        <f t="array" ref="T147:T147">T146</f>
        <v>false</v>
      </c>
      <c r="U147" s="1461"/>
      <c r="V147" s="1461"/>
      <c r="W147" s="1461"/>
      <c r="X147" s="1461"/>
      <c r="Y147" s="1461"/>
      <c r="Z147" s="1461"/>
      <c r="AA147" s="497"/>
      <c r="AB147" s="1351" t="s">
        <v>2157</v>
      </c>
      <c r="AC147" s="367"/>
      <c r="AD147" s="368"/>
      <c r="AE147" s="368"/>
      <c r="AF147" s="368"/>
      <c r="AG147" s="368"/>
      <c r="AH147" s="368"/>
      <c r="AI147" s="368"/>
      <c r="AJ147" s="368"/>
      <c r="AK147" s="368"/>
      <c r="AL147" s="368"/>
      <c r="AM147" s="368"/>
      <c r="AN147" s="368"/>
      <c r="AO147" s="368"/>
      <c r="AP147" s="368"/>
      <c r="AQ147" s="368"/>
      <c r="AR147" s="368"/>
      <c r="AS147" s="368"/>
      <c r="AT147" s="368"/>
      <c r="AU147" s="368"/>
      <c r="AV147" s="368"/>
      <c r="AW147" s="368"/>
      <c r="AX147" s="368"/>
      <c r="AY147" s="368"/>
      <c r="AZ147" s="368"/>
      <c r="BA147" s="368"/>
      <c r="BB147" s="368"/>
      <c r="BC147" s="368"/>
      <c r="BD147" s="368"/>
      <c r="BE147" s="368"/>
      <c r="BF147" s="368"/>
      <c r="BG147" s="368"/>
      <c r="BH147" s="368"/>
      <c r="BI147" s="368"/>
      <c r="BJ147" s="368"/>
      <c r="BK147" s="368"/>
      <c r="BL147" s="368"/>
      <c r="BM147" s="368"/>
      <c r="BN147" s="368"/>
      <c r="BO147" s="368"/>
      <c r="BP147" s="368"/>
      <c r="BQ147" s="368"/>
      <c r="BR147" s="368"/>
      <c r="BS147" s="368"/>
      <c r="BT147" s="368"/>
      <c r="BU147" s="368"/>
      <c r="BV147" s="368"/>
      <c r="BW147" s="368"/>
      <c r="BX147" s="368"/>
      <c r="BY147" s="368"/>
      <c r="BZ147" s="368"/>
      <c r="CA147" s="368"/>
      <c r="CB147" s="368"/>
      <c r="CC147" s="368"/>
      <c r="CD147" s="368"/>
      <c r="CE147" s="368"/>
      <c r="CF147" s="368"/>
      <c r="CG147" s="368"/>
      <c r="CH147" s="368"/>
      <c r="CI147" s="368"/>
      <c r="CJ147" s="368"/>
      <c r="CK147" s="368"/>
      <c r="CL147" s="368"/>
      <c r="CM147" s="368"/>
      <c r="CN147" s="368"/>
      <c r="CO147" s="368"/>
      <c r="CP147" s="368"/>
      <c r="CQ147" s="368"/>
      <c r="CR147" s="368"/>
      <c r="CS147" s="368"/>
      <c r="CT147" s="368"/>
      <c r="CU147" s="368"/>
      <c r="CV147" s="368"/>
      <c r="CW147" s="368"/>
      <c r="CX147" s="368"/>
      <c r="CY147" s="368"/>
      <c r="CZ147" s="368"/>
      <c r="DA147" s="368"/>
      <c r="DB147" s="368"/>
      <c r="DC147" s="368"/>
      <c r="DD147" s="368"/>
      <c r="DE147" s="368"/>
      <c r="DF147" s="368"/>
      <c r="DG147" s="368"/>
      <c r="DH147" s="368"/>
      <c r="DI147" s="368"/>
      <c r="DJ147" s="368"/>
      <c r="DK147" s="368"/>
      <c r="DL147" s="368"/>
      <c r="DM147" s="368"/>
      <c r="DN147" s="368"/>
      <c r="DO147" s="368"/>
      <c r="DP147" s="368"/>
      <c r="DQ147" s="368"/>
      <c r="DR147" s="368"/>
      <c r="DS147" s="368"/>
      <c r="DT147" s="368"/>
      <c r="DU147" s="368"/>
      <c r="DV147" s="368"/>
      <c r="DW147" s="368"/>
      <c r="DX147" s="368"/>
      <c r="DY147" s="368"/>
      <c r="DZ147" s="368"/>
      <c r="EA147" s="368"/>
      <c r="EB147" s="368"/>
      <c r="EC147" s="368"/>
      <c r="ED147" s="368"/>
      <c r="EE147" s="368"/>
      <c r="EF147" s="368"/>
      <c r="EG147" s="368"/>
      <c r="EH147" s="368"/>
      <c r="EI147" s="368"/>
      <c r="EJ147" s="368"/>
      <c r="EK147" s="368"/>
      <c r="EL147" s="368"/>
      <c r="EM147" s="368"/>
      <c r="EN147" s="368"/>
      <c r="EO147" s="368"/>
      <c r="EP147" s="368"/>
      <c r="EQ147" s="368"/>
      <c r="ER147" s="368"/>
      <c r="ES147" s="368"/>
      <c r="ET147" s="368"/>
      <c r="EU147" s="368"/>
      <c r="EV147" s="368"/>
      <c r="EW147" s="368"/>
      <c r="EX147" s="368"/>
      <c r="EY147" s="368"/>
      <c r="EZ147" s="368"/>
      <c r="FA147" s="368"/>
      <c r="FB147" s="368"/>
      <c r="FC147" s="368"/>
      <c r="FD147" s="368"/>
      <c r="FE147" s="368"/>
      <c r="FF147" s="368"/>
      <c r="FG147" s="368"/>
      <c r="FH147" s="368"/>
      <c r="FI147" s="368"/>
      <c r="FJ147" s="368"/>
      <c r="FK147" s="368"/>
      <c r="FL147" s="368"/>
      <c r="FM147" s="368"/>
      <c r="FN147" s="368"/>
      <c r="FO147" s="368"/>
      <c r="FP147" s="368"/>
      <c r="FQ147" s="368"/>
      <c r="FR147" s="368"/>
      <c r="FS147" s="368"/>
      <c r="FT147" s="368"/>
      <c r="FU147" s="368"/>
      <c r="FV147" s="368"/>
      <c r="FW147" s="369"/>
      <c r="FX147" s="497"/>
      <c r="FY147" s="497"/>
      <c r="FZ147" s="1216"/>
      <c r="GA147" s="1181"/>
      <c r="GB147" s="1181"/>
      <c r="GC147" s="1181"/>
      <c r="GD147" s="1181"/>
    </row>
    <row s="1619" customFormat="1" customHeight="1" ht="15" hidden="1">
      <c r="A148" s="1461"/>
      <c r="B148" s="961" cm="1" t="str">
        <f t="array" ref="B148:B148">B147</f>
        <v>false</v>
      </c>
      <c r="C148" s="1322" t="s">
        <v>2133</v>
      </c>
      <c r="D148" s="1291" t="s">
        <v>2134</v>
      </c>
      <c r="E148" s="794">
        <v>15.8</v>
      </c>
      <c r="F148" s="919" cm="1" t="str">
        <f t="array" ref="F148:F148">OFFSET(G148,-1,-1)</f>
        <v>2</v>
      </c>
      <c r="G148" s="736" t="s">
        <v>1736</v>
      </c>
      <c r="H148" s="210" t="s">
        <v>2135</v>
      </c>
      <c r="I148" s="210" t="s">
        <v>2095</v>
      </c>
      <c r="J148" s="1312"/>
      <c r="K148" s="1312" cm="1" t="str">
        <f t="array" ref="K148:K148">OFFSET(J148,-1,1)</f>
        <v>ТЭ.42.26824396.0005</v>
      </c>
      <c r="L148" s="1312"/>
      <c r="M148" s="1312" t="s">
        <v>1733</v>
      </c>
      <c r="N148" s="1312" t="s">
        <v>2091</v>
      </c>
      <c r="O148" s="1313" t="s">
        <v>2092</v>
      </c>
      <c r="P148" s="1312" t="s">
        <v>2136</v>
      </c>
      <c r="Q148" s="1312"/>
      <c r="R148" s="925"/>
      <c r="S148" s="497"/>
      <c r="T148" s="805" cm="1" t="str">
        <f t="array" ref="T148:T148">T147</f>
        <v>false</v>
      </c>
      <c r="U148" s="1461"/>
      <c r="V148" s="1461"/>
      <c r="W148" s="1461"/>
      <c r="X148" s="1461"/>
      <c r="Y148" s="1461"/>
      <c r="Z148" s="1461"/>
      <c r="AA148" s="497"/>
      <c r="AB148" s="273" t="s">
        <v>2137</v>
      </c>
      <c r="AC148" s="169" t="s">
        <v>895</v>
      </c>
      <c r="AD148" s="66">
        <f>IF(method_reg="Метод экономически обоснованных расходов",_xlfn.SUMIFS('Калькуляция (4.6)'!AJ$25:AJ$229,'Калькуляция (4.6)'!$F$25:$F$229,$F148,'Калькуляция (4.6)'!$G$25:$G$229,$G148),IF(method_reg="Метод сравнения аналогов",_xlfn.SUMIFS(INDEX('Калькуляция (МСА)'!$AE$25:$BC$109,,MATCH(AD$8,'Калькуляция (МСА)'!$AE$8:$BC$8,0)),'Калькуляция (МСА)'!$F$25:$F$109,$F148,'Калькуляция (МСА)'!$G$25:$G$109,$G148),_xlfn.SUMIFS(INDEX('Калькуляция (5.9)'!$AJ$25:$BC$192,,MATCH(AD$8,'Калькуляция (5.9)'!$AJ$8:$BC$8,0)),'Калькуляция (5.9)'!$F$25:$F$192,$F148,'Калькуляция (5.9)'!$G$25:$G$192,$G148)))</f>
        <v>12629.95</v>
      </c>
      <c r="AE148" s="66">
        <f>IF(method_reg="Метод экономически обоснованных расходов",_xlfn.SUMIFS('Калькуляция (4.6)'!AK$25:AK$229,'Калькуляция (4.6)'!$F$25:$F$229,$F148,'Калькуляция (4.6)'!$G$25:$G$229,$G148),IF(method_reg="Метод сравнения аналогов",_xlfn.SUMIFS(INDEX('Калькуляция (МСА)'!$AE$25:$BC$109,,MATCH(AE$8,'Калькуляция (МСА)'!$AE$8:$BC$8,0)),'Калькуляция (МСА)'!$F$25:$F$109,$F148,'Калькуляция (МСА)'!$G$25:$G$109,$G148),_xlfn.SUMIFS(INDEX('Калькуляция (5.9)'!$AJ$25:$BC$192,,MATCH(AE$8,'Калькуляция (5.9)'!$AJ$8:$BC$8,0)),'Калькуляция (5.9)'!$F$25:$F$192,$F148,'Калькуляция (5.9)'!$G$25:$G$192,$G148)))</f>
        <v>3228.86728754133</v>
      </c>
      <c r="AF148" s="365">
        <f>IF(AD148=0,0,(AE148-AD148)/AD148*100)</f>
        <v>-74.4348371328364</v>
      </c>
      <c r="AG148" s="366">
        <f>IF(method_reg="Метод сравнения аналогов",_xlfn.SUMIFS(INDEX('Калькуляция (МСА)'!$AE$25:$BC$109,,MATCH(AG$8,'Калькуляция (МСА)'!$AE$8:$BC$8,0)),'Калькуляция (МСА)'!$F$25:$F$109,$F148,'Калькуляция (МСА)'!$G$25:$G$109,$G148),_xlfn.SUMIFS(INDEX('Калькуляция (5.9)'!$AJ$25:$BC$192,,MATCH(AG$8,'Калькуляция (5.9)'!$AJ$8:$BC$8,0)),'Калькуляция (5.9)'!$F$25:$F$192,$F148,'Калькуляция (5.9)'!$G$25:$G$192,$G148))</f>
        <v>6917.15036615477</v>
      </c>
      <c r="AH148" s="366">
        <f>IF(method_reg="Метод сравнения аналогов",_xlfn.SUMIFS(INDEX('Калькуляция (МСА)'!$AE$25:$BC$109,,MATCH(AH$8,'Калькуляция (МСА)'!$AE$8:$BC$8,0)),'Калькуляция (МСА)'!$F$25:$F$109,$F148,'Калькуляция (МСА)'!$G$25:$G$109,$G148),_xlfn.SUMIFS(INDEX('Калькуляция (5.9)'!$AJ$25:$BC$192,,MATCH(AH$8,'Калькуляция (5.9)'!$AJ$8:$BC$8,0)),'Калькуляция (5.9)'!$F$25:$F$192,$F148,'Калькуляция (5.9)'!$G$25:$G$192,$G148))</f>
        <v>10057.1944070982</v>
      </c>
      <c r="AI148" s="365">
        <f>IF(AG148=0,0,(AH148-AG148)/AG148*100)</f>
        <v>45.3950525104599</v>
      </c>
      <c r="AJ148" s="366">
        <f>IF(method_reg="Метод сравнения аналогов",_xlfn.SUMIFS(INDEX('Калькуляция (МСА)'!$AE$25:$BC$109,,MATCH(AJ$8,'Калькуляция (МСА)'!$AE$8:$BC$8,0)),'Калькуляция (МСА)'!$F$25:$F$109,$F148,'Калькуляция (МСА)'!$G$25:$G$109,$G148),_xlfn.SUMIFS(INDEX('Калькуляция (5.9)'!$AJ$25:$BC$192,,MATCH(AJ$8,'Калькуляция (5.9)'!$AJ$8:$BC$8,0)),'Калькуляция (5.9)'!$F$25:$F$192,$F148,'Калькуляция (5.9)'!$G$25:$G$192,$G148))</f>
        <v>7804.68979974401</v>
      </c>
      <c r="AK148" s="366">
        <f>IF(method_reg="Метод сравнения аналогов",_xlfn.SUMIFS(INDEX('Калькуляция (МСА)'!$AE$25:$BC$109,,MATCH(AK$8,'Калькуляция (МСА)'!$AE$8:$BC$8,0)),'Калькуляция (МСА)'!$F$25:$F$109,$F148,'Калькуляция (МСА)'!$G$25:$G$109,$G148),_xlfn.SUMIFS(INDEX('Калькуляция (5.9)'!$AJ$25:$BC$192,,MATCH(AK$8,'Калькуляция (5.9)'!$AJ$8:$BC$8,0)),'Калькуляция (5.9)'!$F$25:$F$192,$F148,'Калькуляция (5.9)'!$G$25:$G$192,$G148))</f>
        <v>4827.99161324376</v>
      </c>
      <c r="AL148" s="365">
        <f>IF(AJ148=0,0,(AK148-AJ148)/AJ148*100)</f>
        <v>-38.139865425502</v>
      </c>
      <c r="AM148" s="366">
        <f>IF(method_reg="Метод сравнения аналогов",_xlfn.SUMIFS(INDEX('Калькуляция (МСА)'!$AE$25:$BC$109,,MATCH(AM$8,'Калькуляция (МСА)'!$AE$8:$BC$8,0)),'Калькуляция (МСА)'!$F$25:$F$109,$F148,'Калькуляция (МСА)'!$G$25:$G$109,$G148),_xlfn.SUMIFS(INDEX('Калькуляция (5.9)'!$AJ$25:$BC$192,,MATCH(AM$8,'Калькуляция (5.9)'!$AJ$8:$BC$8,0)),'Калькуляция (5.9)'!$F$25:$F$192,$F148,'Калькуляция (5.9)'!$G$25:$G$192,$G148))</f>
        <v>7342.58281529991</v>
      </c>
      <c r="AN148" s="366">
        <f>IF(method_reg="Метод сравнения аналогов",_xlfn.SUMIFS(INDEX('Калькуляция (МСА)'!$AE$25:$BC$109,,MATCH(AN$8,'Калькуляция (МСА)'!$AE$8:$BC$8,0)),'Калькуляция (МСА)'!$F$25:$F$109,$F148,'Калькуляция (МСА)'!$G$25:$G$109,$G148),_xlfn.SUMIFS(INDEX('Калькуляция (5.9)'!$AJ$25:$BC$192,,MATCH(AN$8,'Калькуляция (5.9)'!$AJ$8:$BC$8,0)),'Калькуляция (5.9)'!$F$25:$F$192,$F148,'Калькуляция (5.9)'!$G$25:$G$192,$G148))</f>
        <v>5393.39504678196</v>
      </c>
      <c r="AO148" s="365">
        <f>IF(AM148=0,0,(AN148-AM148)/AM148*100)</f>
        <v>-26.5463504811465</v>
      </c>
      <c r="AP148" s="366">
        <f>IF(method_reg="Метод сравнения аналогов",_xlfn.SUMIFS(INDEX('Калькуляция (МСА)'!$AE$25:$BC$109,,MATCH(AP$8,'Калькуляция (МСА)'!$AE$8:$BC$8,0)),'Калькуляция (МСА)'!$F$25:$F$109,$F148,'Калькуляция (МСА)'!$G$25:$G$109,$G148),_xlfn.SUMIFS(INDEX('Калькуляция (5.9)'!$AJ$25:$BC$192,,MATCH(AP$8,'Калькуляция (5.9)'!$AJ$8:$BC$8,0)),'Калькуляция (5.9)'!$F$25:$F$192,$F148,'Калькуляция (5.9)'!$G$25:$G$192,$G148))</f>
        <v>8234.21476379477</v>
      </c>
      <c r="AQ148" s="366">
        <f>IF(method_reg="Метод сравнения аналогов",_xlfn.SUMIFS(INDEX('Калькуляция (МСА)'!$AE$25:$BC$109,,MATCH(AQ$8,'Калькуляция (МСА)'!$AE$8:$BC$8,0)),'Калькуляция (МСА)'!$F$25:$F$109,$F148,'Калькуляция (МСА)'!$G$25:$G$109,$G148),_xlfn.SUMIFS(INDEX('Калькуляция (5.9)'!$AJ$25:$BC$192,,MATCH(AQ$8,'Калькуляция (5.9)'!$AJ$8:$BC$8,0)),'Калькуляция (5.9)'!$F$25:$F$192,$F148,'Калькуляция (5.9)'!$G$25:$G$192,$G148))</f>
        <v>5115.44438620049</v>
      </c>
      <c r="AR148" s="365">
        <f>IF(AP148=0,0,(AQ148-AP148)/AP148*100)</f>
        <v>-37.8757473184605</v>
      </c>
      <c r="AS148" s="66">
        <f>IF(method_reg="Метод сравнения аналогов",_xlfn.SUMIFS(INDEX('Калькуляция (МСА)'!$AE$25:$BC$109,,MATCH(AS$8,'Калькуляция (МСА)'!$AE$8:$BC$8,0)),'Калькуляция (МСА)'!$F$25:$F$109,$F148,'Калькуляция (МСА)'!$G$25:$G$109,$G148),_xlfn.SUMIFS(INDEX('Калькуляция (5.9)'!$AJ$25:$BC$192,,MATCH(AS$8,'Калькуляция (5.9)'!$AJ$8:$BC$8,0)),'Калькуляция (5.9)'!$F$25:$F$192,$F148,'Калькуляция (5.9)'!$G$25:$G$192,$G148))</f>
        <v>2400.45285593702</v>
      </c>
      <c r="AT148" s="66">
        <f>IF(method_reg="Метод сравнения аналогов",_xlfn.SUMIFS(INDEX('Калькуляция (МСА)'!$AE$25:$BC$109,,MATCH(AT$8,'Калькуляция (МСА)'!$AE$8:$BC$8,0)),'Калькуляция (МСА)'!$F$25:$F$109,$F148,'Калькуляция (МСА)'!$G$25:$G$109,$G148),_xlfn.SUMIFS(INDEX('Калькуляция (5.9)'!$AJ$25:$BC$192,,MATCH(AT$8,'Калькуляция (5.9)'!$AJ$8:$BC$8,0)),'Калькуляция (5.9)'!$F$25:$F$192,$F148,'Калькуляция (5.9)'!$G$25:$G$192,$G148))</f>
        <v>0</v>
      </c>
      <c r="AU148" s="365">
        <f>IF(AS148=0,0,(AT148-AS148)/AS148*100)</f>
        <v>-100</v>
      </c>
      <c r="AV148" s="66">
        <f>IF(method_reg="Метод сравнения аналогов",_xlfn.SUMIFS(INDEX('Калькуляция (МСА)'!$AE$25:$BC$109,,MATCH(AV$8,'Калькуляция (МСА)'!$AE$8:$BC$8,0)),'Калькуляция (МСА)'!$F$25:$F$109,$F148,'Калькуляция (МСА)'!$G$25:$G$109,$G148),_xlfn.SUMIFS(INDEX('Калькуляция (5.9)'!$AJ$25:$BC$192,,MATCH(AV$8,'Калькуляция (5.9)'!$AJ$8:$BC$8,0)),'Калькуляция (5.9)'!$F$25:$F$192,$F148,'Калькуляция (5.9)'!$G$25:$G$192,$G148))</f>
        <v>2376.44832737766</v>
      </c>
      <c r="AW148" s="66">
        <f>IF(method_reg="Метод сравнения аналогов",_xlfn.SUMIFS(INDEX('Калькуляция (МСА)'!$AE$25:$BC$109,,MATCH(AW$8,'Калькуляция (МСА)'!$AE$8:$BC$8,0)),'Калькуляция (МСА)'!$F$25:$F$109,$F148,'Калькуляция (МСА)'!$G$25:$G$109,$G148),_xlfn.SUMIFS(INDEX('Калькуляция (5.9)'!$AJ$25:$BC$192,,MATCH(AW$8,'Калькуляция (5.9)'!$AJ$8:$BC$8,0)),'Калькуляция (5.9)'!$F$25:$F$192,$F148,'Калькуляция (5.9)'!$G$25:$G$192,$G148))</f>
        <v>0</v>
      </c>
      <c r="AX148" s="365">
        <f>IF(AV148=0,0,(AW148-AV148)/AV148*100)</f>
        <v>-100</v>
      </c>
      <c r="AY148" s="66">
        <f>IF(method_reg="Метод сравнения аналогов",_xlfn.SUMIFS(INDEX('Калькуляция (МСА)'!$AE$25:$BC$109,,MATCH(AY$8,'Калькуляция (МСА)'!$AE$8:$BC$8,0)),'Калькуляция (МСА)'!$F$25:$F$109,$F148,'Калькуляция (МСА)'!$G$25:$G$109,$G148),_xlfn.SUMIFS(INDEX('Калькуляция (5.9)'!$AJ$25:$BC$192,,MATCH(AY$8,'Калькуляция (5.9)'!$AJ$8:$BC$8,0)),'Калькуляция (5.9)'!$F$25:$F$192,$F148,'Калькуляция (5.9)'!$G$25:$G$192,$G148))</f>
        <v>2352.68384410387</v>
      </c>
      <c r="AZ148" s="66">
        <f>IF(method_reg="Метод сравнения аналогов",_xlfn.SUMIFS(INDEX('Калькуляция (МСА)'!$AE$25:$BC$109,,MATCH(AZ$8,'Калькуляция (МСА)'!$AE$8:$BC$8,0)),'Калькуляция (МСА)'!$F$25:$F$109,$F148,'Калькуляция (МСА)'!$G$25:$G$109,$G148),_xlfn.SUMIFS(INDEX('Калькуляция (5.9)'!$AJ$25:$BC$192,,MATCH(AZ$8,'Калькуляция (5.9)'!$AJ$8:$BC$8,0)),'Калькуляция (5.9)'!$F$25:$F$192,$F148,'Калькуляция (5.9)'!$G$25:$G$192,$G148))</f>
        <v>0</v>
      </c>
      <c r="BA148" s="365">
        <f>IF(AY148=0,0,(AZ148-AY148)/AY148*100)</f>
        <v>-100</v>
      </c>
      <c r="BB148" s="66">
        <f>IF(method_reg="Метод сравнения аналогов",_xlfn.SUMIFS(INDEX('Калькуляция (МСА)'!$AE$25:$BC$109,,MATCH(BB$8,'Калькуляция (МСА)'!$AE$8:$BC$8,0)),'Калькуляция (МСА)'!$F$25:$F$109,$F148,'Калькуляция (МСА)'!$G$25:$G$109,$G148),_xlfn.SUMIFS(INDEX('Калькуляция (5.9)'!$AJ$25:$BC$192,,MATCH(BB$8,'Калькуляция (5.9)'!$AJ$8:$BC$8,0)),'Калькуляция (5.9)'!$F$25:$F$192,$F148,'Калькуляция (5.9)'!$G$25:$G$192,$G148))</f>
        <v>2329.15700566283</v>
      </c>
      <c r="BC148" s="66">
        <f>IF(method_reg="Метод сравнения аналогов",_xlfn.SUMIFS(INDEX('Калькуляция (МСА)'!$AE$25:$BC$109,,MATCH(BC$8,'Калькуляция (МСА)'!$AE$8:$BC$8,0)),'Калькуляция (МСА)'!$F$25:$F$109,$F148,'Калькуляция (МСА)'!$G$25:$G$109,$G148),_xlfn.SUMIFS(INDEX('Калькуляция (5.9)'!$AJ$25:$BC$192,,MATCH(BC$8,'Калькуляция (5.9)'!$AJ$8:$BC$8,0)),'Калькуляция (5.9)'!$F$25:$F$192,$F148,'Калькуляция (5.9)'!$G$25:$G$192,$G148))</f>
        <v>0</v>
      </c>
      <c r="BD148" s="365">
        <f>IF(BB148=0,0,(BC148-BB148)/BB148*100)</f>
        <v>-100</v>
      </c>
      <c r="BE148" s="66">
        <f>IF(method_reg="Метод сравнения аналогов",_xlfn.SUMIFS(INDEX('Калькуляция (МСА)'!$AE$25:$BC$109,,MATCH(BE$8,'Калькуляция (МСА)'!$AE$8:$BC$8,0)),'Калькуляция (МСА)'!$F$25:$F$109,$F148,'Калькуляция (МСА)'!$G$25:$G$109,$G148),_xlfn.SUMIFS(INDEX('Калькуляция (5.9)'!$AJ$25:$BC$192,,MATCH(BE$8,'Калькуляция (5.9)'!$AJ$8:$BC$8,0)),'Калькуляция (5.9)'!$F$25:$F$192,$F148,'Калькуляция (5.9)'!$G$25:$G$192,$G148))</f>
        <v>2305.86543560621</v>
      </c>
      <c r="BF148" s="66">
        <f>IF(method_reg="Метод сравнения аналогов",_xlfn.SUMIFS(INDEX('Калькуляция (МСА)'!$AE$25:$BC$109,,MATCH(BF$8,'Калькуляция (МСА)'!$AE$8:$BC$8,0)),'Калькуляция (МСА)'!$F$25:$F$109,$F148,'Калькуляция (МСА)'!$G$25:$G$109,$G148),_xlfn.SUMIFS(INDEX('Калькуляция (5.9)'!$AJ$25:$BC$192,,MATCH(BF$8,'Калькуляция (5.9)'!$AJ$8:$BC$8,0)),'Калькуляция (5.9)'!$F$25:$F$192,$F148,'Калькуляция (5.9)'!$G$25:$G$192,$G148))</f>
        <v>0</v>
      </c>
      <c r="BG148" s="365">
        <f>IF(BE148=0,0,(BF148-BE148)/BE148*100)</f>
        <v>-100</v>
      </c>
      <c r="BH148" s="66">
        <f>IF(BH150=0,0,(BH149*BH150+BH151*BH152*6)/BH150)</f>
        <v>0</v>
      </c>
      <c r="BI148" s="66">
        <f>IF(BI150=0,0,(BI149*BI150+BI151*BI152*6)/BI150)</f>
        <v>0</v>
      </c>
      <c r="BJ148" s="365">
        <f>IF(BH148=0,0,(BI148-BH148)/BH148*100)</f>
        <v>0</v>
      </c>
      <c r="BK148" s="66">
        <f>IF(BK150=0,0,(BK149*BK150+BK151*BK152*6)/BK150)</f>
        <v>0</v>
      </c>
      <c r="BL148" s="66">
        <f>IF(BL150=0,0,(BL149*BL150+BL151*BL152*6)/BL150)</f>
        <v>0</v>
      </c>
      <c r="BM148" s="365">
        <f>IF(BK148=0,0,(BL148-BK148)/BK148*100)</f>
        <v>0</v>
      </c>
      <c r="BN148" s="66">
        <f>IF(BN150=0,0,(BN149*BN150+BN151*BN152*6)/BN150)</f>
        <v>0</v>
      </c>
      <c r="BO148" s="66">
        <f>IF(BO150=0,0,(BO149*BO150+BO151*BO152*6)/BO150)</f>
        <v>0</v>
      </c>
      <c r="BP148" s="365">
        <f>IF(BN148=0,0,(BO148-BN148)/BN148*100)</f>
        <v>0</v>
      </c>
      <c r="BQ148" s="66">
        <f>IF(BQ150=0,0,(BQ149*BQ150+BQ151*BQ152*6)/BQ150)</f>
        <v>0</v>
      </c>
      <c r="BR148" s="66">
        <f>IF(BR150=0,0,(BR149*BR150+BR151*BR152*6)/BR150)</f>
        <v>0</v>
      </c>
      <c r="BS148" s="365">
        <f>IF(BQ148=0,0,(BR148-BQ148)/BQ148*100)</f>
        <v>0</v>
      </c>
      <c r="BT148" s="66">
        <f>IF(BT150=0,0,(BT149*BT150+BT151*BT152*6)/BT150)</f>
        <v>0</v>
      </c>
      <c r="BU148" s="66">
        <f>IF(BU150=0,0,(BU149*BU150+BU151*BU152*6)/BU150)</f>
        <v>0</v>
      </c>
      <c r="BV148" s="365">
        <f>IF(BT148=0,0,(BU148-BT148)/BT148*100)</f>
        <v>0</v>
      </c>
      <c r="BW148" s="66">
        <f>IF(BW150=0,0,(BW149*BW150+BW151*BW152*6)/BW150)</f>
        <v>0</v>
      </c>
      <c r="BX148" s="66">
        <f>IF(BX150=0,0,(BX149*BX150+BX151*BX152*6)/BX150)</f>
        <v>0</v>
      </c>
      <c r="BY148" s="365">
        <f>IF(BW148=0,0,(BX148-BW148)/BW148*100)</f>
        <v>0</v>
      </c>
      <c r="BZ148" s="66">
        <f>IF(BZ150=0,0,(BZ149*BZ150+BZ151*BZ152*6)/BZ150)</f>
        <v>0</v>
      </c>
      <c r="CA148" s="66">
        <f>IF(CA150=0,0,(CA149*CA150+CA151*CA152*6)/CA150)</f>
        <v>0</v>
      </c>
      <c r="CB148" s="365">
        <f>IF(BZ148=0,0,(CA148-BZ148)/BZ148*100)</f>
        <v>0</v>
      </c>
      <c r="CC148" s="66">
        <f>IF(CC150=0,0,(CC149*CC150+CC151*CC152*6)/CC150)</f>
        <v>0</v>
      </c>
      <c r="CD148" s="66">
        <f>IF(CD150=0,0,(CD149*CD150+CD151*CD152*6)/CD150)</f>
        <v>0</v>
      </c>
      <c r="CE148" s="365">
        <f>IF(CC148=0,0,(CD148-CC148)/CC148*100)</f>
        <v>0</v>
      </c>
      <c r="CF148" s="66">
        <f>IF(CF150=0,0,(CF149*CF150+CF151*CF152*6)/CF150)</f>
        <v>0</v>
      </c>
      <c r="CG148" s="66">
        <f>IF(CG150=0,0,(CG149*CG150+CG151*CG152*6)/CG150)</f>
        <v>0</v>
      </c>
      <c r="CH148" s="365">
        <f>IF(CF148=0,0,(CG148-CF148)/CF148*100)</f>
        <v>0</v>
      </c>
      <c r="CI148" s="66">
        <f>IF(CI150=0,0,(CI149*CI150+CI151*CI152*6)/CI150)</f>
        <v>0</v>
      </c>
      <c r="CJ148" s="66">
        <f>IF(CJ150=0,0,(CJ149*CJ150+CJ151*CJ152*6)/CJ150)</f>
        <v>0</v>
      </c>
      <c r="CK148" s="365">
        <f>IF(CI148=0,0,(CJ148-CI148)/CI148*100)</f>
        <v>0</v>
      </c>
      <c r="CL148" s="66">
        <f>IF(CL150=0,0,(CL149*CL150+CL151*CL152*6)/CL150)</f>
        <v>0</v>
      </c>
      <c r="CM148" s="66">
        <f>IF(CM150=0,0,(CM149*CM150+CM151*CM152*6)/CM150)</f>
        <v>0</v>
      </c>
      <c r="CN148" s="365">
        <f>IF(CL148=0,0,(CM148-CL148)/CL148*100)</f>
        <v>0</v>
      </c>
      <c r="CO148" s="66">
        <f>IF(CO150=0,0,(CO149*CO150+CO151*CO152*6)/CO150)</f>
        <v>0</v>
      </c>
      <c r="CP148" s="66">
        <f>IF(CP150=0,0,(CP149*CP150+CP151*CP152*6)/CP150)</f>
        <v>0</v>
      </c>
      <c r="CQ148" s="365">
        <f>IF(CO148=0,0,(CP148-CO148)/CO148*100)</f>
        <v>0</v>
      </c>
      <c r="CR148" s="66">
        <f>IF(CR150=0,0,(CR149*CR150+CR151*CR152*6)/CR150)</f>
        <v>0</v>
      </c>
      <c r="CS148" s="66">
        <f>IF(CS150=0,0,(CS149*CS150+CS151*CS152*6)/CS150)</f>
        <v>0</v>
      </c>
      <c r="CT148" s="365">
        <f>IF(CR148=0,0,(CS148-CR148)/CR148*100)</f>
        <v>0</v>
      </c>
      <c r="CU148" s="66">
        <f>IF(CU150=0,0,(CU149*CU150+CU151*CU152*6)/CU150)</f>
        <v>0</v>
      </c>
      <c r="CV148" s="66">
        <f>IF(CV150=0,0,(CV149*CV150+CV151*CV152*6)/CV150)</f>
        <v>0</v>
      </c>
      <c r="CW148" s="365">
        <f>IF(CU148=0,0,(CV148-CU148)/CU148*100)</f>
        <v>0</v>
      </c>
      <c r="CX148" s="66">
        <f>IF(CX150=0,0,(CX149*CX150+CX151*CX152*6)/CX150)</f>
        <v>0</v>
      </c>
      <c r="CY148" s="66">
        <f>IF(CY150=0,0,(CY149*CY150+CY151*CY152*6)/CY150)</f>
        <v>0</v>
      </c>
      <c r="CZ148" s="365">
        <f>IF(CX148=0,0,(CY148-CX148)/CX148*100)</f>
        <v>0</v>
      </c>
      <c r="DA148" s="66">
        <f>IF(DA150=0,0,(DA149*DA150+DA151*DA152*6)/DA150)</f>
        <v>0</v>
      </c>
      <c r="DB148" s="66">
        <f>IF(DB150=0,0,(DB149*DB150+DB151*DB152*6)/DB150)</f>
        <v>0</v>
      </c>
      <c r="DC148" s="365">
        <f>IF(DA148=0,0,(DB148-DA148)/DA148*100)</f>
        <v>0</v>
      </c>
      <c r="DD148" s="66">
        <f>IF(DD150=0,0,(DD149*DD150+DD151*DD152*6)/DD150)</f>
        <v>0</v>
      </c>
      <c r="DE148" s="66">
        <f>IF(DE150=0,0,(DE149*DE150+DE151*DE152*6)/DE150)</f>
        <v>0</v>
      </c>
      <c r="DF148" s="365">
        <f>IF(DD148=0,0,(DE148-DD148)/DD148*100)</f>
        <v>0</v>
      </c>
      <c r="DG148" s="66">
        <f>IF(DG150=0,0,(DG149*DG150+DG151*DG152*6)/DG150)</f>
        <v>0</v>
      </c>
      <c r="DH148" s="66">
        <f>IF(DH150=0,0,(DH149*DH150+DH151*DH152*6)/DH150)</f>
        <v>0</v>
      </c>
      <c r="DI148" s="365">
        <f>IF(DG148=0,0,(DH148-DG148)/DG148*100)</f>
        <v>0</v>
      </c>
      <c r="DJ148" s="66">
        <f>IF(DJ150=0,0,(DJ149*DJ150+DJ151*DJ152*6)/DJ150)</f>
        <v>0</v>
      </c>
      <c r="DK148" s="66">
        <f>IF(DK150=0,0,(DK149*DK150+DK151*DK152*6)/DK150)</f>
        <v>0</v>
      </c>
      <c r="DL148" s="365">
        <f>IF(DJ148=0,0,(DK148-DJ148)/DJ148*100)</f>
        <v>0</v>
      </c>
      <c r="DM148" s="66">
        <f>IF(DM150=0,0,(DM149*DM150+DM151*DM152*6)/DM150)</f>
        <v>0</v>
      </c>
      <c r="DN148" s="66">
        <f>IF(DN150=0,0,(DN149*DN150+DN151*DN152*6)/DN150)</f>
        <v>0</v>
      </c>
      <c r="DO148" s="365">
        <f>IF(DM148=0,0,(DN148-DM148)/DM148*100)</f>
        <v>0</v>
      </c>
      <c r="DP148" s="66">
        <f>IF(DP150=0,0,(DP149*DP150+DP151*DP152*6)/DP150)</f>
        <v>0</v>
      </c>
      <c r="DQ148" s="66">
        <f>IF(DQ150=0,0,(DQ149*DQ150+DQ151*DQ152*6)/DQ150)</f>
        <v>0</v>
      </c>
      <c r="DR148" s="365">
        <f>IF(DP148=0,0,(DQ148-DP148)/DP148*100)</f>
        <v>0</v>
      </c>
      <c r="DS148" s="66">
        <f>IF(DS150=0,0,(DS149*DS150+DS151*DS152*6)/DS150)</f>
        <v>0</v>
      </c>
      <c r="DT148" s="66">
        <f>IF(DT150=0,0,(DT149*DT150+DT151*DT152*6)/DT150)</f>
        <v>0</v>
      </c>
      <c r="DU148" s="365">
        <f>IF(DS148=0,0,(DT148-DS148)/DS148*100)</f>
        <v>0</v>
      </c>
      <c r="DV148" s="66">
        <f>IF(DV150=0,0,(DV149*DV150+DV151*DV152*6)/DV150)</f>
        <v>0</v>
      </c>
      <c r="DW148" s="66">
        <f>IF(DW150=0,0,(DW149*DW150+DW151*DW152*6)/DW150)</f>
        <v>0</v>
      </c>
      <c r="DX148" s="365">
        <f>IF(DV148=0,0,(DW148-DV148)/DV148*100)</f>
        <v>0</v>
      </c>
      <c r="DY148" s="66">
        <f>IF(DY150=0,0,(DY149*DY150+DY151*DY152*6)/DY150)</f>
        <v>0</v>
      </c>
      <c r="DZ148" s="66">
        <f>IF(DZ150=0,0,(DZ149*DZ150+DZ151*DZ152*6)/DZ150)</f>
        <v>0</v>
      </c>
      <c r="EA148" s="365">
        <f>IF(DY148=0,0,(DZ148-DY148)/DY148*100)</f>
        <v>0</v>
      </c>
      <c r="EB148" s="66">
        <f>IF(EB150=0,0,(EB149*EB150+EB151*EB152*6)/EB150)</f>
        <v>0</v>
      </c>
      <c r="EC148" s="66">
        <f>IF(EC150=0,0,(EC149*EC150+EC151*EC152*6)/EC150)</f>
        <v>0</v>
      </c>
      <c r="ED148" s="365">
        <f>IF(EB148=0,0,(EC148-EB148)/EB148*100)</f>
        <v>0</v>
      </c>
      <c r="EE148" s="66">
        <f>IF(EE150=0,0,(EE149*EE150+EE151*EE152*6)/EE150)</f>
        <v>0</v>
      </c>
      <c r="EF148" s="66">
        <f>IF(EF150=0,0,(EF149*EF150+EF151*EF152*6)/EF150)</f>
        <v>0</v>
      </c>
      <c r="EG148" s="365">
        <f>IF(EE148=0,0,(EF148-EE148)/EE148*100)</f>
        <v>0</v>
      </c>
      <c r="EH148" s="66">
        <f>IF(EH150=0,0,(EH149*EH150+EH151*EH152*6)/EH150)</f>
        <v>0</v>
      </c>
      <c r="EI148" s="66">
        <f>IF(EI150=0,0,(EI149*EI150+EI151*EI152*6)/EI150)</f>
        <v>0</v>
      </c>
      <c r="EJ148" s="365">
        <f>IF(EH148=0,0,(EI148-EH148)/EH148*100)</f>
        <v>0</v>
      </c>
      <c r="EK148" s="66">
        <f>IF(EK150=0,0,(EK149*EK150+EK151*EK152*6)/EK150)</f>
        <v>0</v>
      </c>
      <c r="EL148" s="66">
        <f>IF(EL150=0,0,(EL149*EL150+EL151*EL152*6)/EL150)</f>
        <v>0</v>
      </c>
      <c r="EM148" s="365">
        <f>IF(EK148=0,0,(EL148-EK148)/EK148*100)</f>
        <v>0</v>
      </c>
      <c r="EN148" s="66">
        <f>IF(EN150=0,0,(EN149*EN150+EN151*EN152*6)/EN150)</f>
        <v>0</v>
      </c>
      <c r="EO148" s="66">
        <f>IF(EO150=0,0,(EO149*EO150+EO151*EO152*6)/EO150)</f>
        <v>0</v>
      </c>
      <c r="EP148" s="365">
        <f>IF(EN148=0,0,(EO148-EN148)/EN148*100)</f>
        <v>0</v>
      </c>
      <c r="EQ148" s="66">
        <f>IF(EQ150=0,0,(EQ149*EQ150+EQ151*EQ152*6)/EQ150)</f>
        <v>0</v>
      </c>
      <c r="ER148" s="66">
        <f>IF(ER150=0,0,(ER149*ER150+ER151*ER152*6)/ER150)</f>
        <v>0</v>
      </c>
      <c r="ES148" s="365">
        <f>IF(EQ148=0,0,(ER148-EQ148)/EQ148*100)</f>
        <v>0</v>
      </c>
      <c r="ET148" s="66">
        <f>IF(ET150=0,0,(ET149*ET150+ET151*ET152*6)/ET150)</f>
        <v>0</v>
      </c>
      <c r="EU148" s="66">
        <f>IF(EU150=0,0,(EU149*EU150+EU151*EU152*6)/EU150)</f>
        <v>0</v>
      </c>
      <c r="EV148" s="365">
        <f>IF(ET148=0,0,(EU148-ET148)/ET148*100)</f>
        <v>0</v>
      </c>
      <c r="EW148" s="66">
        <f>IF(EW150=0,0,(EW149*EW150+EW151*EW152*6)/EW150)</f>
        <v>0</v>
      </c>
      <c r="EX148" s="66">
        <f>IF(EX150=0,0,(EX149*EX150+EX151*EX152*6)/EX150)</f>
        <v>0</v>
      </c>
      <c r="EY148" s="365">
        <f>IF(EW148=0,0,(EX148-EW148)/EW148*100)</f>
        <v>0</v>
      </c>
      <c r="EZ148" s="66">
        <f>IF(EZ150=0,0,(EZ149*EZ150+EZ151*EZ152*6)/EZ150)</f>
        <v>0</v>
      </c>
      <c r="FA148" s="66">
        <f>IF(FA150=0,0,(FA149*FA150+FA151*FA152*6)/FA150)</f>
        <v>0</v>
      </c>
      <c r="FB148" s="365">
        <f>IF(EZ148=0,0,(FA148-EZ148)/EZ148*100)</f>
        <v>0</v>
      </c>
      <c r="FC148" s="66">
        <f>IF(FC150=0,0,(FC149*FC150+FC151*FC152*6)/FC150)</f>
        <v>0</v>
      </c>
      <c r="FD148" s="66">
        <f>IF(FD150=0,0,(FD149*FD150+FD151*FD152*6)/FD150)</f>
        <v>0</v>
      </c>
      <c r="FE148" s="365">
        <f>IF(FC148=0,0,(FD148-FC148)/FC148*100)</f>
        <v>0</v>
      </c>
      <c r="FF148" s="66">
        <f>IF(FF150=0,0,(FF149*FF150+FF151*FF152*6)/FF150)</f>
        <v>0</v>
      </c>
      <c r="FG148" s="66">
        <f>IF(FG150=0,0,(FG149*FG150+FG151*FG152*6)/FG150)</f>
        <v>0</v>
      </c>
      <c r="FH148" s="365">
        <f>IF(FF148=0,0,(FG148-FF148)/FF148*100)</f>
        <v>0</v>
      </c>
      <c r="FI148" s="66">
        <f>IF(FI150=0,0,(FI149*FI150+FI151*FI152*6)/FI150)</f>
        <v>0</v>
      </c>
      <c r="FJ148" s="66">
        <f>IF(FJ150=0,0,(FJ149*FJ150+FJ151*FJ152*6)/FJ150)</f>
        <v>0</v>
      </c>
      <c r="FK148" s="365">
        <f>IF(FI148=0,0,(FJ148-FI148)/FI148*100)</f>
        <v>0</v>
      </c>
      <c r="FL148" s="66">
        <f>IF(FL150=0,0,(FL149*FL150+FL151*FL152*6)/FL150)</f>
        <v>0</v>
      </c>
      <c r="FM148" s="66">
        <f>IF(FM150=0,0,(FM149*FM150+FM151*FM152*6)/FM150)</f>
        <v>0</v>
      </c>
      <c r="FN148" s="365">
        <f>IF(FL148=0,0,(FM148-FL148)/FL148*100)</f>
        <v>0</v>
      </c>
      <c r="FO148" s="66">
        <f>IF(FO150=0,0,(FO149*FO150+FO151*FO152*6)/FO150)</f>
        <v>0</v>
      </c>
      <c r="FP148" s="66">
        <f>IF(FP150=0,0,(FP149*FP150+FP151*FP152*6)/FP150)</f>
        <v>0</v>
      </c>
      <c r="FQ148" s="365">
        <f>IF(FO148=0,0,(FP148-FO148)/FO148*100)</f>
        <v>0</v>
      </c>
      <c r="FR148" s="66">
        <f>IF(FR150=0,0,(FR149*FR150+FR151*FR152*6)/FR150)</f>
        <v>0</v>
      </c>
      <c r="FS148" s="66">
        <f>IF(FS150=0,0,(FS149*FS150+FS151*FS152*6)/FS150)</f>
        <v>0</v>
      </c>
      <c r="FT148" s="365">
        <f>IF(FR148=0,0,(FS148-FR148)/FR148*100)</f>
        <v>0</v>
      </c>
      <c r="FU148" s="66">
        <f>IF(FU150=0,0,(FU149*FU150+FU151*FU152*6)/FU150)</f>
        <v>0</v>
      </c>
      <c r="FV148" s="66">
        <f>IF(FV150=0,0,(FV149*FV150+FV151*FV152*6)/FV150)</f>
        <v>0</v>
      </c>
      <c r="FW148" s="365">
        <f>IF(FU148=0,0,(FV148-FU148)/FU148*100)</f>
        <v>0</v>
      </c>
      <c r="FX148" s="497"/>
      <c r="FY148" s="497"/>
      <c r="FZ148" s="1181" t="s">
        <v>2158</v>
      </c>
      <c r="GA148" s="1181"/>
      <c r="GB148" s="1181"/>
      <c r="GC148" s="1181"/>
      <c r="GD148" s="1181"/>
    </row>
    <row s="1619" customFormat="1" customHeight="1" ht="15" hidden="1">
      <c r="A149" s="1461"/>
      <c r="B149" s="961" cm="1" t="str">
        <f t="array" ref="B149:B149">B148</f>
        <v>false</v>
      </c>
      <c r="C149" s="1322" t="s">
        <v>2139</v>
      </c>
      <c r="D149" s="1291" t="s">
        <v>2140</v>
      </c>
      <c r="E149" s="794">
        <v>15.8</v>
      </c>
      <c r="F149" s="919" cm="1" t="str">
        <f t="array" ref="F149:F149">OFFSET(G149,-1,-1)</f>
        <v>2</v>
      </c>
      <c r="G149" s="736" t="s">
        <v>1765</v>
      </c>
      <c r="H149" s="210" t="s">
        <v>2141</v>
      </c>
      <c r="I149" s="210" t="s">
        <v>2095</v>
      </c>
      <c r="J149" s="1312"/>
      <c r="K149" s="1312" cm="1" t="str">
        <f t="array" ref="K149:K149">OFFSET(J149,-1,1)</f>
        <v>ТЭ.42.26824396.0005</v>
      </c>
      <c r="L149" s="1312"/>
      <c r="M149" s="1312" t="s">
        <v>1733</v>
      </c>
      <c r="N149" s="1312" t="s">
        <v>2091</v>
      </c>
      <c r="O149" s="1313" t="s">
        <v>2092</v>
      </c>
      <c r="P149" s="1312" t="s">
        <v>2142</v>
      </c>
      <c r="Q149" s="1312"/>
      <c r="R149" s="925"/>
      <c r="S149" s="497"/>
      <c r="T149" s="805" cm="1" t="str">
        <f t="array" ref="T149:T149">T148</f>
        <v>false</v>
      </c>
      <c r="U149" s="1461"/>
      <c r="V149" s="1461"/>
      <c r="W149" s="1461"/>
      <c r="X149" s="1461"/>
      <c r="Y149" s="1461"/>
      <c r="Z149" s="1461"/>
      <c r="AA149" s="497"/>
      <c r="AB149" s="273" t="s">
        <v>2143</v>
      </c>
      <c r="AC149" s="169" t="s">
        <v>895</v>
      </c>
      <c r="AD149" s="66">
        <f>IF(method_reg="Метод экономически обоснованных расходов",_xlfn.SUMIFS('Калькуляция (4.6)'!AJ$25:AJ$229,'Калькуляция (4.6)'!$F$25:$F$229,$F149,'Калькуляция (4.6)'!$G$25:$G$229,$G149),IF(method_reg="Метод сравнения аналогов",_xlfn.SUMIFS(INDEX('Калькуляция (МСА)'!$AE$25:$BC$109,,MATCH(AD$8,'Калькуляция (МСА)'!$AE$8:$BC$8,0)),'Калькуляция (МСА)'!$F$25:$F$109,$F149,'Калькуляция (МСА)'!$G$25:$G$109,$G149),_xlfn.SUMIFS(INDEX('Калькуляция (5.9)'!$AJ$25:$BC$192,,MATCH(AD$8,'Калькуляция (5.9)'!$AJ$8:$BC$8,0)),'Калькуляция (5.9)'!$F$25:$F$192,$F149,'Калькуляция (5.9)'!$G$25:$G$192,$G149)))</f>
        <v>13823.6994031792</v>
      </c>
      <c r="AE149" s="66">
        <f>IF(method_reg="Метод экономически обоснованных расходов",_xlfn.SUMIFS('Калькуляция (4.6)'!AK$25:AK$229,'Калькуляция (4.6)'!$F$25:$F$229,$F149,'Калькуляция (4.6)'!$G$25:$G$229,$G149),IF(method_reg="Метод сравнения аналогов",_xlfn.SUMIFS(INDEX('Калькуляция (МСА)'!$AE$25:$BC$109,,MATCH(AE$8,'Калькуляция (МСА)'!$AE$8:$BC$8,0)),'Калькуляция (МСА)'!$F$25:$F$109,$F149,'Калькуляция (МСА)'!$G$25:$G$109,$G149),_xlfn.SUMIFS(INDEX('Калькуляция (5.9)'!$AJ$25:$BC$192,,MATCH(AE$8,'Калькуляция (5.9)'!$AJ$8:$BC$8,0)),'Калькуляция (5.9)'!$F$25:$F$192,$F149,'Калькуляция (5.9)'!$G$25:$G$192,$G149)))</f>
        <v>11982.7863626858</v>
      </c>
      <c r="AF149" s="365">
        <f>IF(AD149=0,0,(AE149-AD149)/AD149*100)</f>
        <v>-13.3170795081816</v>
      </c>
      <c r="AG149" s="366">
        <f>IF(method_reg="Метод сравнения аналогов",_xlfn.SUMIFS(INDEX('Калькуляция (МСА)'!$AE$25:$BC$109,,MATCH(AG$8,'Калькуляция (МСА)'!$AE$8:$BC$8,0)),'Калькуляция (МСА)'!$F$25:$F$109,$F149,'Калькуляция (МСА)'!$G$25:$G$109,$G149),_xlfn.SUMIFS(INDEX('Калькуляция (5.9)'!$AJ$25:$BC$192,,MATCH(AG$8,'Калькуляция (5.9)'!$AJ$8:$BC$8,0)),'Калькуляция (5.9)'!$F$25:$F$192,$F149,'Калькуляция (5.9)'!$G$25:$G$192,$G149))</f>
        <v>3682.48064525549</v>
      </c>
      <c r="AH149" s="366">
        <f>IF(method_reg="Метод сравнения аналогов",_xlfn.SUMIFS(INDEX('Калькуляция (МСА)'!$AE$25:$BC$109,,MATCH(AH$8,'Калькуляция (МСА)'!$AE$8:$BC$8,0)),'Калькуляция (МСА)'!$F$25:$F$109,$F149,'Калькуляция (МСА)'!$G$25:$G$109,$G149),_xlfn.SUMIFS(INDEX('Калькуляция (5.9)'!$AJ$25:$BC$192,,MATCH(AH$8,'Калькуляция (5.9)'!$AJ$8:$BC$8,0)),'Калькуляция (5.9)'!$F$25:$F$192,$F149,'Калькуляция (5.9)'!$G$25:$G$192,$G149))</f>
        <v>3168.41156909948</v>
      </c>
      <c r="AI149" s="365">
        <f>IF(AG149=0,0,(AH149-AG149)/AG149*100)</f>
        <v>-13.9598581955437</v>
      </c>
      <c r="AJ149" s="366">
        <f>IF(method_reg="Метод сравнения аналогов",_xlfn.SUMIFS(INDEX('Калькуляция (МСА)'!$AE$25:$BC$109,,MATCH(AJ$8,'Калькуляция (МСА)'!$AE$8:$BC$8,0)),'Калькуляция (МСА)'!$F$25:$F$109,$F149,'Калькуляция (МСА)'!$G$25:$G$109,$G149),_xlfn.SUMIFS(INDEX('Калькуляция (5.9)'!$AJ$25:$BC$192,,MATCH(AJ$8,'Калькуляция (5.9)'!$AJ$8:$BC$8,0)),'Калькуляция (5.9)'!$F$25:$F$192,$F149,'Калькуляция (5.9)'!$G$25:$G$192,$G149))</f>
        <v>4234.5069964115</v>
      </c>
      <c r="AK149" s="366">
        <f>IF(method_reg="Метод сравнения аналогов",_xlfn.SUMIFS(INDEX('Калькуляция (МСА)'!$AE$25:$BC$109,,MATCH(AK$8,'Калькуляция (МСА)'!$AE$8:$BC$8,0)),'Калькуляция (МСА)'!$F$25:$F$109,$F149,'Калькуляция (МСА)'!$G$25:$G$109,$G149),_xlfn.SUMIFS(INDEX('Калькуляция (5.9)'!$AJ$25:$BC$192,,MATCH(AK$8,'Калькуляция (5.9)'!$AJ$8:$BC$8,0)),'Калькуляция (5.9)'!$F$25:$F$192,$F149,'Калькуляция (5.9)'!$G$25:$G$192,$G149))</f>
        <v>3524.88598390798</v>
      </c>
      <c r="AL149" s="365">
        <f>IF(AJ149=0,0,(AK149-AJ149)/AJ149*100)</f>
        <v>-16.7580550251749</v>
      </c>
      <c r="AM149" s="366">
        <f>IF(method_reg="Метод сравнения аналогов",_xlfn.SUMIFS(INDEX('Калькуляция (МСА)'!$AE$25:$BC$109,,MATCH(AM$8,'Калькуляция (МСА)'!$AE$8:$BC$8,0)),'Калькуляция (МСА)'!$F$25:$F$109,$F149,'Калькуляция (МСА)'!$G$25:$G$109,$G149),_xlfn.SUMIFS(INDEX('Калькуляция (5.9)'!$AJ$25:$BC$192,,MATCH(AM$8,'Калькуляция (5.9)'!$AJ$8:$BC$8,0)),'Калькуляция (5.9)'!$F$25:$F$192,$F149,'Калькуляция (5.9)'!$G$25:$G$192,$G149))</f>
        <v>3967.15277043795</v>
      </c>
      <c r="AN149" s="366">
        <f>IF(method_reg="Метод сравнения аналогов",_xlfn.SUMIFS(INDEX('Калькуляция (МСА)'!$AE$25:$BC$109,,MATCH(AN$8,'Калькуляция (МСА)'!$AE$8:$BC$8,0)),'Калькуляция (МСА)'!$F$25:$F$109,$F149,'Калькуляция (МСА)'!$G$25:$G$109,$G149),_xlfn.SUMIFS(INDEX('Калькуляция (5.9)'!$AJ$25:$BC$192,,MATCH(AN$8,'Калькуляция (5.9)'!$AJ$8:$BC$8,0)),'Калькуляция (5.9)'!$F$25:$F$192,$F149,'Калькуляция (5.9)'!$G$25:$G$192,$G149))</f>
        <v>3351.35676175974</v>
      </c>
      <c r="AO149" s="365">
        <f>IF(AM149=0,0,(AN149-AM149)/AM149*100)</f>
        <v>-15.5223669042175</v>
      </c>
      <c r="AP149" s="366">
        <f>IF(method_reg="Метод сравнения аналогов",_xlfn.SUMIFS(INDEX('Калькуляция (МСА)'!$AE$25:$BC$109,,MATCH(AP$8,'Калькуляция (МСА)'!$AE$8:$BC$8,0)),'Калькуляция (МСА)'!$F$25:$F$109,$F149,'Калькуляция (МСА)'!$G$25:$G$109,$G149),_xlfn.SUMIFS(INDEX('Калькуляция (5.9)'!$AJ$25:$BC$192,,MATCH(AP$8,'Калькуляция (5.9)'!$AJ$8:$BC$8,0)),'Калькуляция (5.9)'!$F$25:$F$192,$F149,'Калькуляция (5.9)'!$G$25:$G$192,$G149))</f>
        <v>4565.43316061139</v>
      </c>
      <c r="AQ149" s="366">
        <f>IF(method_reg="Метод сравнения аналогов",_xlfn.SUMIFS(INDEX('Калькуляция (МСА)'!$AE$25:$BC$109,,MATCH(AQ$8,'Калькуляция (МСА)'!$AE$8:$BC$8,0)),'Калькуляция (МСА)'!$F$25:$F$109,$F149,'Калькуляция (МСА)'!$G$25:$G$109,$G149),_xlfn.SUMIFS(INDEX('Калькуляция (5.9)'!$AJ$25:$BC$192,,MATCH(AQ$8,'Калькуляция (5.9)'!$AJ$8:$BC$8,0)),'Калькуляция (5.9)'!$F$25:$F$192,$F149,'Калькуляция (5.9)'!$G$25:$G$192,$G149))</f>
        <v>3730.91276940185</v>
      </c>
      <c r="AR149" s="365">
        <f>IF(AP149=0,0,(AQ149-AP149)/AP149*100)</f>
        <v>-18.2791065349379</v>
      </c>
      <c r="AS149" s="66">
        <f>IF(method_reg="Метод сравнения аналогов",_xlfn.SUMIFS(INDEX('Калькуляция (МСА)'!$AE$25:$BC$109,,MATCH(AS$8,'Калькуляция (МСА)'!$AE$8:$BC$8,0)),'Калькуляция (МСА)'!$F$25:$F$109,$F149,'Калькуляция (МСА)'!$G$25:$G$109,$G149),_xlfn.SUMIFS(INDEX('Калькуляция (5.9)'!$AJ$25:$BC$192,,MATCH(AS$8,'Калькуляция (5.9)'!$AJ$8:$BC$8,0)),'Калькуляция (5.9)'!$F$25:$F$192,$F149,'Калькуляция (5.9)'!$G$25:$G$192,$G149))</f>
        <v>0</v>
      </c>
      <c r="AT149" s="66">
        <f>IF(method_reg="Метод сравнения аналогов",_xlfn.SUMIFS(INDEX('Калькуляция (МСА)'!$AE$25:$BC$109,,MATCH(AT$8,'Калькуляция (МСА)'!$AE$8:$BC$8,0)),'Калькуляция (МСА)'!$F$25:$F$109,$F149,'Калькуляция (МСА)'!$G$25:$G$109,$G149),_xlfn.SUMIFS(INDEX('Калькуляция (5.9)'!$AJ$25:$BC$192,,MATCH(AT$8,'Калькуляция (5.9)'!$AJ$8:$BC$8,0)),'Калькуляция (5.9)'!$F$25:$F$192,$F149,'Калькуляция (5.9)'!$G$25:$G$192,$G149))</f>
        <v>0</v>
      </c>
      <c r="AU149" s="365">
        <f>IF(AS149=0,0,(AT149-AS149)/AS149*100)</f>
        <v>0</v>
      </c>
      <c r="AV149" s="66">
        <f>IF(method_reg="Метод сравнения аналогов",_xlfn.SUMIFS(INDEX('Калькуляция (МСА)'!$AE$25:$BC$109,,MATCH(AV$8,'Калькуляция (МСА)'!$AE$8:$BC$8,0)),'Калькуляция (МСА)'!$F$25:$F$109,$F149,'Калькуляция (МСА)'!$G$25:$G$109,$G149),_xlfn.SUMIFS(INDEX('Калькуляция (5.9)'!$AJ$25:$BC$192,,MATCH(AV$8,'Калькуляция (5.9)'!$AJ$8:$BC$8,0)),'Калькуляция (5.9)'!$F$25:$F$192,$F149,'Калькуляция (5.9)'!$G$25:$G$192,$G149))</f>
        <v>0</v>
      </c>
      <c r="AW149" s="66">
        <f>IF(method_reg="Метод сравнения аналогов",_xlfn.SUMIFS(INDEX('Калькуляция (МСА)'!$AE$25:$BC$109,,MATCH(AW$8,'Калькуляция (МСА)'!$AE$8:$BC$8,0)),'Калькуляция (МСА)'!$F$25:$F$109,$F149,'Калькуляция (МСА)'!$G$25:$G$109,$G149),_xlfn.SUMIFS(INDEX('Калькуляция (5.9)'!$AJ$25:$BC$192,,MATCH(AW$8,'Калькуляция (5.9)'!$AJ$8:$BC$8,0)),'Калькуляция (5.9)'!$F$25:$F$192,$F149,'Калькуляция (5.9)'!$G$25:$G$192,$G149))</f>
        <v>0</v>
      </c>
      <c r="AX149" s="365">
        <f>IF(AV149=0,0,(AW149-AV149)/AV149*100)</f>
        <v>0</v>
      </c>
      <c r="AY149" s="66">
        <f>IF(method_reg="Метод сравнения аналогов",_xlfn.SUMIFS(INDEX('Калькуляция (МСА)'!$AE$25:$BC$109,,MATCH(AY$8,'Калькуляция (МСА)'!$AE$8:$BC$8,0)),'Калькуляция (МСА)'!$F$25:$F$109,$F149,'Калькуляция (МСА)'!$G$25:$G$109,$G149),_xlfn.SUMIFS(INDEX('Калькуляция (5.9)'!$AJ$25:$BC$192,,MATCH(AY$8,'Калькуляция (5.9)'!$AJ$8:$BC$8,0)),'Калькуляция (5.9)'!$F$25:$F$192,$F149,'Калькуляция (5.9)'!$G$25:$G$192,$G149))</f>
        <v>0</v>
      </c>
      <c r="AZ149" s="66">
        <f>IF(method_reg="Метод сравнения аналогов",_xlfn.SUMIFS(INDEX('Калькуляция (МСА)'!$AE$25:$BC$109,,MATCH(AZ$8,'Калькуляция (МСА)'!$AE$8:$BC$8,0)),'Калькуляция (МСА)'!$F$25:$F$109,$F149,'Калькуляция (МСА)'!$G$25:$G$109,$G149),_xlfn.SUMIFS(INDEX('Калькуляция (5.9)'!$AJ$25:$BC$192,,MATCH(AZ$8,'Калькуляция (5.9)'!$AJ$8:$BC$8,0)),'Калькуляция (5.9)'!$F$25:$F$192,$F149,'Калькуляция (5.9)'!$G$25:$G$192,$G149))</f>
        <v>0</v>
      </c>
      <c r="BA149" s="365">
        <f>IF(AY149=0,0,(AZ149-AY149)/AY149*100)</f>
        <v>0</v>
      </c>
      <c r="BB149" s="66">
        <f>IF(method_reg="Метод сравнения аналогов",_xlfn.SUMIFS(INDEX('Калькуляция (МСА)'!$AE$25:$BC$109,,MATCH(BB$8,'Калькуляция (МСА)'!$AE$8:$BC$8,0)),'Калькуляция (МСА)'!$F$25:$F$109,$F149,'Калькуляция (МСА)'!$G$25:$G$109,$G149),_xlfn.SUMIFS(INDEX('Калькуляция (5.9)'!$AJ$25:$BC$192,,MATCH(BB$8,'Калькуляция (5.9)'!$AJ$8:$BC$8,0)),'Калькуляция (5.9)'!$F$25:$F$192,$F149,'Калькуляция (5.9)'!$G$25:$G$192,$G149))</f>
        <v>0</v>
      </c>
      <c r="BC149" s="66">
        <f>IF(method_reg="Метод сравнения аналогов",_xlfn.SUMIFS(INDEX('Калькуляция (МСА)'!$AE$25:$BC$109,,MATCH(BC$8,'Калькуляция (МСА)'!$AE$8:$BC$8,0)),'Калькуляция (МСА)'!$F$25:$F$109,$F149,'Калькуляция (МСА)'!$G$25:$G$109,$G149),_xlfn.SUMIFS(INDEX('Калькуляция (5.9)'!$AJ$25:$BC$192,,MATCH(BC$8,'Калькуляция (5.9)'!$AJ$8:$BC$8,0)),'Калькуляция (5.9)'!$F$25:$F$192,$F149,'Калькуляция (5.9)'!$G$25:$G$192,$G149))</f>
        <v>0</v>
      </c>
      <c r="BD149" s="365">
        <f>IF(BB149=0,0,(BC149-BB149)/BB149*100)</f>
        <v>0</v>
      </c>
      <c r="BE149" s="66">
        <f>IF(method_reg="Метод сравнения аналогов",_xlfn.SUMIFS(INDEX('Калькуляция (МСА)'!$AE$25:$BC$109,,MATCH(BE$8,'Калькуляция (МСА)'!$AE$8:$BC$8,0)),'Калькуляция (МСА)'!$F$25:$F$109,$F149,'Калькуляция (МСА)'!$G$25:$G$109,$G149),_xlfn.SUMIFS(INDEX('Калькуляция (5.9)'!$AJ$25:$BC$192,,MATCH(BE$8,'Калькуляция (5.9)'!$AJ$8:$BC$8,0)),'Калькуляция (5.9)'!$F$25:$F$192,$F149,'Калькуляция (5.9)'!$G$25:$G$192,$G149))</f>
        <v>0</v>
      </c>
      <c r="BF149" s="66">
        <f>IF(method_reg="Метод сравнения аналогов",_xlfn.SUMIFS(INDEX('Калькуляция (МСА)'!$AE$25:$BC$109,,MATCH(BF$8,'Калькуляция (МСА)'!$AE$8:$BC$8,0)),'Калькуляция (МСА)'!$F$25:$F$109,$F149,'Калькуляция (МСА)'!$G$25:$G$109,$G149),_xlfn.SUMIFS(INDEX('Калькуляция (5.9)'!$AJ$25:$BC$192,,MATCH(BF$8,'Калькуляция (5.9)'!$AJ$8:$BC$8,0)),'Калькуляция (5.9)'!$F$25:$F$192,$F149,'Калькуляция (5.9)'!$G$25:$G$192,$G149))</f>
        <v>0</v>
      </c>
      <c r="BG149" s="365">
        <f>IF(BE149=0,0,(BF149-BE149)/BE149*100)</f>
        <v>0</v>
      </c>
      <c r="BH149" s="66"/>
      <c r="BI149" s="66"/>
      <c r="BJ149" s="365">
        <f>IF(BH149=0,0,(BI149-BH149)/BH149*100)</f>
        <v>0</v>
      </c>
      <c r="BK149" s="66"/>
      <c r="BL149" s="66"/>
      <c r="BM149" s="365">
        <f>IF(BK149=0,0,(BL149-BK149)/BK149*100)</f>
        <v>0</v>
      </c>
      <c r="BN149" s="66"/>
      <c r="BO149" s="66"/>
      <c r="BP149" s="365">
        <f>IF(BN149=0,0,(BO149-BN149)/BN149*100)</f>
        <v>0</v>
      </c>
      <c r="BQ149" s="66"/>
      <c r="BR149" s="66"/>
      <c r="BS149" s="365">
        <f>IF(BQ149=0,0,(BR149-BQ149)/BQ149*100)</f>
        <v>0</v>
      </c>
      <c r="BT149" s="66"/>
      <c r="BU149" s="66"/>
      <c r="BV149" s="365">
        <f>IF(BT149=0,0,(BU149-BT149)/BT149*100)</f>
        <v>0</v>
      </c>
      <c r="BW149" s="66"/>
      <c r="BX149" s="66"/>
      <c r="BY149" s="365">
        <f>IF(BW149=0,0,(BX149-BW149)/BW149*100)</f>
        <v>0</v>
      </c>
      <c r="BZ149" s="66"/>
      <c r="CA149" s="66"/>
      <c r="CB149" s="365">
        <f>IF(BZ149=0,0,(CA149-BZ149)/BZ149*100)</f>
        <v>0</v>
      </c>
      <c r="CC149" s="66"/>
      <c r="CD149" s="66"/>
      <c r="CE149" s="365">
        <f>IF(CC149=0,0,(CD149-CC149)/CC149*100)</f>
        <v>0</v>
      </c>
      <c r="CF149" s="66"/>
      <c r="CG149" s="66"/>
      <c r="CH149" s="365">
        <f>IF(CF149=0,0,(CG149-CF149)/CF149*100)</f>
        <v>0</v>
      </c>
      <c r="CI149" s="66"/>
      <c r="CJ149" s="66"/>
      <c r="CK149" s="365">
        <f>IF(CI149=0,0,(CJ149-CI149)/CI149*100)</f>
        <v>0</v>
      </c>
      <c r="CL149" s="66"/>
      <c r="CM149" s="66"/>
      <c r="CN149" s="365">
        <f>IF(CL149=0,0,(CM149-CL149)/CL149*100)</f>
        <v>0</v>
      </c>
      <c r="CO149" s="66"/>
      <c r="CP149" s="66"/>
      <c r="CQ149" s="365">
        <f>IF(CO149=0,0,(CP149-CO149)/CO149*100)</f>
        <v>0</v>
      </c>
      <c r="CR149" s="66"/>
      <c r="CS149" s="66"/>
      <c r="CT149" s="365">
        <f>IF(CR149=0,0,(CS149-CR149)/CR149*100)</f>
        <v>0</v>
      </c>
      <c r="CU149" s="66"/>
      <c r="CV149" s="66"/>
      <c r="CW149" s="365">
        <f>IF(CU149=0,0,(CV149-CU149)/CU149*100)</f>
        <v>0</v>
      </c>
      <c r="CX149" s="66"/>
      <c r="CY149" s="66"/>
      <c r="CZ149" s="365">
        <f>IF(CX149=0,0,(CY149-CX149)/CX149*100)</f>
        <v>0</v>
      </c>
      <c r="DA149" s="66"/>
      <c r="DB149" s="66"/>
      <c r="DC149" s="365">
        <f>IF(DA149=0,0,(DB149-DA149)/DA149*100)</f>
        <v>0</v>
      </c>
      <c r="DD149" s="66"/>
      <c r="DE149" s="66"/>
      <c r="DF149" s="365">
        <f>IF(DD149=0,0,(DE149-DD149)/DD149*100)</f>
        <v>0</v>
      </c>
      <c r="DG149" s="66"/>
      <c r="DH149" s="66"/>
      <c r="DI149" s="365">
        <f>IF(DG149=0,0,(DH149-DG149)/DG149*100)</f>
        <v>0</v>
      </c>
      <c r="DJ149" s="66"/>
      <c r="DK149" s="66"/>
      <c r="DL149" s="365">
        <f>IF(DJ149=0,0,(DK149-DJ149)/DJ149*100)</f>
        <v>0</v>
      </c>
      <c r="DM149" s="66"/>
      <c r="DN149" s="66"/>
      <c r="DO149" s="365">
        <f>IF(DM149=0,0,(DN149-DM149)/DM149*100)</f>
        <v>0</v>
      </c>
      <c r="DP149" s="66"/>
      <c r="DQ149" s="66"/>
      <c r="DR149" s="365">
        <f>IF(DP149=0,0,(DQ149-DP149)/DP149*100)</f>
        <v>0</v>
      </c>
      <c r="DS149" s="66"/>
      <c r="DT149" s="66"/>
      <c r="DU149" s="365">
        <f>IF(DS149=0,0,(DT149-DS149)/DS149*100)</f>
        <v>0</v>
      </c>
      <c r="DV149" s="66"/>
      <c r="DW149" s="66"/>
      <c r="DX149" s="365">
        <f>IF(DV149=0,0,(DW149-DV149)/DV149*100)</f>
        <v>0</v>
      </c>
      <c r="DY149" s="66"/>
      <c r="DZ149" s="66"/>
      <c r="EA149" s="365">
        <f>IF(DY149=0,0,(DZ149-DY149)/DY149*100)</f>
        <v>0</v>
      </c>
      <c r="EB149" s="66"/>
      <c r="EC149" s="66"/>
      <c r="ED149" s="365">
        <f>IF(EB149=0,0,(EC149-EB149)/EB149*100)</f>
        <v>0</v>
      </c>
      <c r="EE149" s="66"/>
      <c r="EF149" s="66"/>
      <c r="EG149" s="365">
        <f>IF(EE149=0,0,(EF149-EE149)/EE149*100)</f>
        <v>0</v>
      </c>
      <c r="EH149" s="66"/>
      <c r="EI149" s="66"/>
      <c r="EJ149" s="365">
        <f>IF(EH149=0,0,(EI149-EH149)/EH149*100)</f>
        <v>0</v>
      </c>
      <c r="EK149" s="66"/>
      <c r="EL149" s="66"/>
      <c r="EM149" s="365">
        <f>IF(EK149=0,0,(EL149-EK149)/EK149*100)</f>
        <v>0</v>
      </c>
      <c r="EN149" s="66"/>
      <c r="EO149" s="66"/>
      <c r="EP149" s="365">
        <f>IF(EN149=0,0,(EO149-EN149)/EN149*100)</f>
        <v>0</v>
      </c>
      <c r="EQ149" s="66"/>
      <c r="ER149" s="66"/>
      <c r="ES149" s="365">
        <f>IF(EQ149=0,0,(ER149-EQ149)/EQ149*100)</f>
        <v>0</v>
      </c>
      <c r="ET149" s="66"/>
      <c r="EU149" s="66"/>
      <c r="EV149" s="365">
        <f>IF(ET149=0,0,(EU149-ET149)/ET149*100)</f>
        <v>0</v>
      </c>
      <c r="EW149" s="66"/>
      <c r="EX149" s="66"/>
      <c r="EY149" s="365">
        <f>IF(EW149=0,0,(EX149-EW149)/EW149*100)</f>
        <v>0</v>
      </c>
      <c r="EZ149" s="66"/>
      <c r="FA149" s="66"/>
      <c r="FB149" s="365">
        <f>IF(EZ149=0,0,(FA149-EZ149)/EZ149*100)</f>
        <v>0</v>
      </c>
      <c r="FC149" s="66"/>
      <c r="FD149" s="66"/>
      <c r="FE149" s="365">
        <f>IF(FC149=0,0,(FD149-FC149)/FC149*100)</f>
        <v>0</v>
      </c>
      <c r="FF149" s="66"/>
      <c r="FG149" s="66"/>
      <c r="FH149" s="365">
        <f>IF(FF149=0,0,(FG149-FF149)/FF149*100)</f>
        <v>0</v>
      </c>
      <c r="FI149" s="66"/>
      <c r="FJ149" s="66"/>
      <c r="FK149" s="365">
        <f>IF(FI149=0,0,(FJ149-FI149)/FI149*100)</f>
        <v>0</v>
      </c>
      <c r="FL149" s="66"/>
      <c r="FM149" s="66"/>
      <c r="FN149" s="365">
        <f>IF(FL149=0,0,(FM149-FL149)/FL149*100)</f>
        <v>0</v>
      </c>
      <c r="FO149" s="66"/>
      <c r="FP149" s="66"/>
      <c r="FQ149" s="365">
        <f>IF(FO149=0,0,(FP149-FO149)/FO149*100)</f>
        <v>0</v>
      </c>
      <c r="FR149" s="66"/>
      <c r="FS149" s="66"/>
      <c r="FT149" s="365">
        <f>IF(FR149=0,0,(FS149-FR149)/FR149*100)</f>
        <v>0</v>
      </c>
      <c r="FU149" s="66"/>
      <c r="FV149" s="66"/>
      <c r="FW149" s="365">
        <f>IF(FU149=0,0,(FV149-FU149)/FU149*100)</f>
        <v>0</v>
      </c>
      <c r="FX149" s="497"/>
      <c r="FY149" s="497"/>
      <c r="FZ149" s="1181" t="s">
        <v>2159</v>
      </c>
      <c r="GA149" s="1181"/>
      <c r="GB149" s="1181"/>
      <c r="GC149" s="1181"/>
      <c r="GD149" s="1181"/>
    </row>
    <row s="1619" customFormat="1" customHeight="1" ht="15" hidden="1">
      <c r="A150" s="1461"/>
      <c r="B150" s="961" cm="1" t="str">
        <f t="array" ref="B150:B150">B149</f>
        <v>false</v>
      </c>
      <c r="C150" s="1322" t="s">
        <v>1721</v>
      </c>
      <c r="D150" s="1291" t="s">
        <v>1722</v>
      </c>
      <c r="E150" s="794">
        <v>15.8</v>
      </c>
      <c r="F150" s="919" cm="1" t="str">
        <f t="array" ref="F150:F150">OFFSET(G150,-1,-1)</f>
        <v>2</v>
      </c>
      <c r="G150" s="190" t="s">
        <v>1732</v>
      </c>
      <c r="H150" s="210" t="s">
        <v>2145</v>
      </c>
      <c r="I150" s="210" t="s">
        <v>2095</v>
      </c>
      <c r="J150" s="1312"/>
      <c r="K150" s="1312" cm="1" t="str">
        <f t="array" ref="K150:K150">OFFSET(J150,-1,1)</f>
        <v>ТЭ.42.26824396.0005</v>
      </c>
      <c r="L150" s="1312"/>
      <c r="M150" s="1312" t="s">
        <v>1733</v>
      </c>
      <c r="N150" s="1312" t="s">
        <v>2091</v>
      </c>
      <c r="O150" s="1313" t="s">
        <v>2092</v>
      </c>
      <c r="P150" s="1312" t="s">
        <v>2146</v>
      </c>
      <c r="Q150" s="1312"/>
      <c r="R150" s="925"/>
      <c r="S150" s="497"/>
      <c r="T150" s="805" cm="1" t="str">
        <f t="array" ref="T150:T150">T149</f>
        <v>false</v>
      </c>
      <c r="U150" s="1461"/>
      <c r="V150" s="1461"/>
      <c r="W150" s="1461"/>
      <c r="X150" s="1461"/>
      <c r="Y150" s="1461"/>
      <c r="Z150" s="1461"/>
      <c r="AA150" s="497"/>
      <c r="AB150" s="273" t="s">
        <v>2147</v>
      </c>
      <c r="AC150" s="169" t="s">
        <v>591</v>
      </c>
      <c r="AD150" s="145">
        <f>IF(method_reg="Метод экономически обоснованных расходов",_xlfn.SUMIFS('Калькуляция (4.6)'!AJ$25:AJ$229,'Калькуляция (4.6)'!$F$25:$F$229,$F150,'Калькуляция (4.6)'!$G$25:$G$229,$G150),IF(method_reg="Метод сравнения аналогов",_xlfn.SUMIFS(INDEX('Калькуляция (МСА)'!$AE$25:$BC$109,,MATCH(AD$8,'Калькуляция (МСА)'!$AE$8:$BC$8,0)),'Калькуляция (МСА)'!$F$25:$F$109,$F150,'Калькуляция (МСА)'!$G$25:$G$109,$G150),_xlfn.SUMIFS(INDEX('Калькуляция (5.9)'!$AJ$25:$BC$192,,MATCH(AD$8,'Калькуляция (5.9)'!$AJ$8:$BC$8,0)),'Калькуляция (5.9)'!$F$25:$F$192,$F150,'Калькуляция (5.9)'!$G$25:$G$192,$G150)))</f>
        <v>346</v>
      </c>
      <c r="AE150" s="145">
        <f>IF(method_reg="Метод экономически обоснованных расходов",_xlfn.SUMIFS('Калькуляция (4.6)'!AK$25:AK$229,'Калькуляция (4.6)'!$F$25:$F$229,$F150,'Калькуляция (4.6)'!$G$25:$G$229,$G150),IF(method_reg="Метод сравнения аналогов",_xlfn.SUMIFS(INDEX('Калькуляция (МСА)'!$AE$25:$BC$109,,MATCH(AE$8,'Калькуляция (МСА)'!$AE$8:$BC$8,0)),'Калькуляция (МСА)'!$F$25:$F$109,$F150,'Калькуляция (МСА)'!$G$25:$G$109,$G150),_xlfn.SUMIFS(INDEX('Калькуляция (5.9)'!$AJ$25:$BC$192,,MATCH(AE$8,'Калькуляция (5.9)'!$AJ$8:$BC$8,0)),'Калькуляция (5.9)'!$F$25:$F$192,$F150,'Калькуляция (5.9)'!$G$25:$G$192,$G150)))</f>
        <v>346</v>
      </c>
      <c r="AF150" s="397">
        <f>IF(AD150=0,0,(AE150-AD150)/AD150*100)</f>
        <v>0</v>
      </c>
      <c r="AG150" s="413">
        <f>IF(method_reg="Метод сравнения аналогов",_xlfn.SUMIFS(INDEX('Калькуляция (МСА)'!$AE$25:$BC$109,,MATCH(AG$8,'Калькуляция (МСА)'!$AE$8:$BC$8,0)),'Калькуляция (МСА)'!$F$25:$F$109,$F150,'Калькуляция (МСА)'!$G$25:$G$109,$G150),_xlfn.SUMIFS(INDEX('Калькуляция (5.9)'!$AJ$25:$BC$192,,MATCH(AG$8,'Калькуляция (5.9)'!$AJ$8:$BC$8,0)),'Калькуляция (5.9)'!$F$25:$F$192,$F150,'Калькуляция (5.9)'!$G$25:$G$192,$G150))</f>
        <v>346</v>
      </c>
      <c r="AH150" s="413">
        <f>IF(method_reg="Метод сравнения аналогов",_xlfn.SUMIFS(INDEX('Калькуляция (МСА)'!$AE$25:$BC$109,,MATCH(AH$8,'Калькуляция (МСА)'!$AE$8:$BC$8,0)),'Калькуляция (МСА)'!$F$25:$F$109,$F150,'Калькуляция (МСА)'!$G$25:$G$109,$G150),_xlfn.SUMIFS(INDEX('Калькуляция (5.9)'!$AJ$25:$BC$192,,MATCH(AH$8,'Калькуляция (5.9)'!$AJ$8:$BC$8,0)),'Калькуляция (5.9)'!$F$25:$F$192,$F150,'Калькуляция (5.9)'!$G$25:$G$192,$G150))</f>
        <v>346</v>
      </c>
      <c r="AI150" s="397">
        <f>IF(AG150=0,0,(AH150-AG150)/AG150*100)</f>
        <v>0</v>
      </c>
      <c r="AJ150" s="413">
        <f>IF(method_reg="Метод сравнения аналогов",_xlfn.SUMIFS(INDEX('Калькуляция (МСА)'!$AE$25:$BC$109,,MATCH(AJ$8,'Калькуляция (МСА)'!$AE$8:$BC$8,0)),'Калькуляция (МСА)'!$F$25:$F$109,$F150,'Калькуляция (МСА)'!$G$25:$G$109,$G150),_xlfn.SUMIFS(INDEX('Калькуляция (5.9)'!$AJ$25:$BC$192,,MATCH(AJ$8,'Калькуляция (5.9)'!$AJ$8:$BC$8,0)),'Калькуляция (5.9)'!$F$25:$F$192,$F150,'Калькуляция (5.9)'!$G$25:$G$192,$G150))</f>
        <v>346</v>
      </c>
      <c r="AK150" s="413">
        <f>IF(method_reg="Метод сравнения аналогов",_xlfn.SUMIFS(INDEX('Калькуляция (МСА)'!$AE$25:$BC$109,,MATCH(AK$8,'Калькуляция (МСА)'!$AE$8:$BC$8,0)),'Калькуляция (МСА)'!$F$25:$F$109,$F150,'Калькуляция (МСА)'!$G$25:$G$109,$G150),_xlfn.SUMIFS(INDEX('Калькуляция (5.9)'!$AJ$25:$BC$192,,MATCH(AK$8,'Калькуляция (5.9)'!$AJ$8:$BC$8,0)),'Калькуляция (5.9)'!$F$25:$F$192,$F150,'Калькуляция (5.9)'!$G$25:$G$192,$G150))</f>
        <v>346</v>
      </c>
      <c r="AL150" s="397">
        <f>IF(AJ150=0,0,(AK150-AJ150)/AJ150*100)</f>
        <v>0</v>
      </c>
      <c r="AM150" s="413">
        <f>IF(method_reg="Метод сравнения аналогов",_xlfn.SUMIFS(INDEX('Калькуляция (МСА)'!$AE$25:$BC$109,,MATCH(AM$8,'Калькуляция (МСА)'!$AE$8:$BC$8,0)),'Калькуляция (МСА)'!$F$25:$F$109,$F150,'Калькуляция (МСА)'!$G$25:$G$109,$G150),_xlfn.SUMIFS(INDEX('Калькуляция (5.9)'!$AJ$25:$BC$192,,MATCH(AM$8,'Калькуляция (5.9)'!$AJ$8:$BC$8,0)),'Калькуляция (5.9)'!$F$25:$F$192,$F150,'Калькуляция (5.9)'!$G$25:$G$192,$G150))</f>
        <v>346</v>
      </c>
      <c r="AN150" s="413">
        <f>IF(method_reg="Метод сравнения аналогов",_xlfn.SUMIFS(INDEX('Калькуляция (МСА)'!$AE$25:$BC$109,,MATCH(AN$8,'Калькуляция (МСА)'!$AE$8:$BC$8,0)),'Калькуляция (МСА)'!$F$25:$F$109,$F150,'Калькуляция (МСА)'!$G$25:$G$109,$G150),_xlfn.SUMIFS(INDEX('Калькуляция (5.9)'!$AJ$25:$BC$192,,MATCH(AN$8,'Калькуляция (5.9)'!$AJ$8:$BC$8,0)),'Калькуляция (5.9)'!$F$25:$F$192,$F150,'Калькуляция (5.9)'!$G$25:$G$192,$G150))</f>
        <v>346</v>
      </c>
      <c r="AO150" s="397">
        <f>IF(AM150=0,0,(AN150-AM150)/AM150*100)</f>
        <v>0</v>
      </c>
      <c r="AP150" s="413">
        <f>IF(method_reg="Метод сравнения аналогов",_xlfn.SUMIFS(INDEX('Калькуляция (МСА)'!$AE$25:$BC$109,,MATCH(AP$8,'Калькуляция (МСА)'!$AE$8:$BC$8,0)),'Калькуляция (МСА)'!$F$25:$F$109,$F150,'Калькуляция (МСА)'!$G$25:$G$109,$G150),_xlfn.SUMIFS(INDEX('Калькуляция (5.9)'!$AJ$25:$BC$192,,MATCH(AP$8,'Калькуляция (5.9)'!$AJ$8:$BC$8,0)),'Калькуляция (5.9)'!$F$25:$F$192,$F150,'Калькуляция (5.9)'!$G$25:$G$192,$G150))</f>
        <v>346</v>
      </c>
      <c r="AQ150" s="413">
        <f>IF(method_reg="Метод сравнения аналогов",_xlfn.SUMIFS(INDEX('Калькуляция (МСА)'!$AE$25:$BC$109,,MATCH(AQ$8,'Калькуляция (МСА)'!$AE$8:$BC$8,0)),'Калькуляция (МСА)'!$F$25:$F$109,$F150,'Калькуляция (МСА)'!$G$25:$G$109,$G150),_xlfn.SUMIFS(INDEX('Калькуляция (5.9)'!$AJ$25:$BC$192,,MATCH(AQ$8,'Калькуляция (5.9)'!$AJ$8:$BC$8,0)),'Калькуляция (5.9)'!$F$25:$F$192,$F150,'Калькуляция (5.9)'!$G$25:$G$192,$G150))</f>
        <v>346</v>
      </c>
      <c r="AR150" s="397">
        <f>IF(AP150=0,0,(AQ150-AP150)/AP150*100)</f>
        <v>0</v>
      </c>
      <c r="AS150" s="145">
        <f>IF(method_reg="Метод сравнения аналогов",_xlfn.SUMIFS(INDEX('Калькуляция (МСА)'!$AE$25:$BC$109,,MATCH(AS$8,'Калькуляция (МСА)'!$AE$8:$BC$8,0)),'Калькуляция (МСА)'!$F$25:$F$109,$F150,'Калькуляция (МСА)'!$G$25:$G$109,$G150),_xlfn.SUMIFS(INDEX('Калькуляция (5.9)'!$AJ$25:$BC$192,,MATCH(AS$8,'Калькуляция (5.9)'!$AJ$8:$BC$8,0)),'Калькуляция (5.9)'!$F$25:$F$192,$F150,'Калькуляция (5.9)'!$G$25:$G$192,$G150))</f>
        <v>346</v>
      </c>
      <c r="AT150" s="145">
        <f>IF(method_reg="Метод сравнения аналогов",_xlfn.SUMIFS(INDEX('Калькуляция (МСА)'!$AE$25:$BC$109,,MATCH(AT$8,'Калькуляция (МСА)'!$AE$8:$BC$8,0)),'Калькуляция (МСА)'!$F$25:$F$109,$F150,'Калькуляция (МСА)'!$G$25:$G$109,$G150),_xlfn.SUMIFS(INDEX('Калькуляция (5.9)'!$AJ$25:$BC$192,,MATCH(AT$8,'Калькуляция (5.9)'!$AJ$8:$BC$8,0)),'Калькуляция (5.9)'!$F$25:$F$192,$F150,'Калькуляция (5.9)'!$G$25:$G$192,$G150))</f>
        <v>0</v>
      </c>
      <c r="AU150" s="397">
        <f>IF(AS150=0,0,(AT150-AS150)/AS150*100)</f>
        <v>-100</v>
      </c>
      <c r="AV150" s="145">
        <f>IF(method_reg="Метод сравнения аналогов",_xlfn.SUMIFS(INDEX('Калькуляция (МСА)'!$AE$25:$BC$109,,MATCH(AV$8,'Калькуляция (МСА)'!$AE$8:$BC$8,0)),'Калькуляция (МСА)'!$F$25:$F$109,$F150,'Калькуляция (МСА)'!$G$25:$G$109,$G150),_xlfn.SUMIFS(INDEX('Калькуляция (5.9)'!$AJ$25:$BC$192,,MATCH(AV$8,'Калькуляция (5.9)'!$AJ$8:$BC$8,0)),'Калькуляция (5.9)'!$F$25:$F$192,$F150,'Калькуляция (5.9)'!$G$25:$G$192,$G150))</f>
        <v>346</v>
      </c>
      <c r="AW150" s="145">
        <f>IF(method_reg="Метод сравнения аналогов",_xlfn.SUMIFS(INDEX('Калькуляция (МСА)'!$AE$25:$BC$109,,MATCH(AW$8,'Калькуляция (МСА)'!$AE$8:$BC$8,0)),'Калькуляция (МСА)'!$F$25:$F$109,$F150,'Калькуляция (МСА)'!$G$25:$G$109,$G150),_xlfn.SUMIFS(INDEX('Калькуляция (5.9)'!$AJ$25:$BC$192,,MATCH(AW$8,'Калькуляция (5.9)'!$AJ$8:$BC$8,0)),'Калькуляция (5.9)'!$F$25:$F$192,$F150,'Калькуляция (5.9)'!$G$25:$G$192,$G150))</f>
        <v>0</v>
      </c>
      <c r="AX150" s="397">
        <f>IF(AV150=0,0,(AW150-AV150)/AV150*100)</f>
        <v>-100</v>
      </c>
      <c r="AY150" s="145">
        <f>IF(method_reg="Метод сравнения аналогов",_xlfn.SUMIFS(INDEX('Калькуляция (МСА)'!$AE$25:$BC$109,,MATCH(AY$8,'Калькуляция (МСА)'!$AE$8:$BC$8,0)),'Калькуляция (МСА)'!$F$25:$F$109,$F150,'Калькуляция (МСА)'!$G$25:$G$109,$G150),_xlfn.SUMIFS(INDEX('Калькуляция (5.9)'!$AJ$25:$BC$192,,MATCH(AY$8,'Калькуляция (5.9)'!$AJ$8:$BC$8,0)),'Калькуляция (5.9)'!$F$25:$F$192,$F150,'Калькуляция (5.9)'!$G$25:$G$192,$G150))</f>
        <v>346</v>
      </c>
      <c r="AZ150" s="145">
        <f>IF(method_reg="Метод сравнения аналогов",_xlfn.SUMIFS(INDEX('Калькуляция (МСА)'!$AE$25:$BC$109,,MATCH(AZ$8,'Калькуляция (МСА)'!$AE$8:$BC$8,0)),'Калькуляция (МСА)'!$F$25:$F$109,$F150,'Калькуляция (МСА)'!$G$25:$G$109,$G150),_xlfn.SUMIFS(INDEX('Калькуляция (5.9)'!$AJ$25:$BC$192,,MATCH(AZ$8,'Калькуляция (5.9)'!$AJ$8:$BC$8,0)),'Калькуляция (5.9)'!$F$25:$F$192,$F150,'Калькуляция (5.9)'!$G$25:$G$192,$G150))</f>
        <v>0</v>
      </c>
      <c r="BA150" s="397">
        <f>IF(AY150=0,0,(AZ150-AY150)/AY150*100)</f>
        <v>-100</v>
      </c>
      <c r="BB150" s="145">
        <f>IF(method_reg="Метод сравнения аналогов",_xlfn.SUMIFS(INDEX('Калькуляция (МСА)'!$AE$25:$BC$109,,MATCH(BB$8,'Калькуляция (МСА)'!$AE$8:$BC$8,0)),'Калькуляция (МСА)'!$F$25:$F$109,$F150,'Калькуляция (МСА)'!$G$25:$G$109,$G150),_xlfn.SUMIFS(INDEX('Калькуляция (5.9)'!$AJ$25:$BC$192,,MATCH(BB$8,'Калькуляция (5.9)'!$AJ$8:$BC$8,0)),'Калькуляция (5.9)'!$F$25:$F$192,$F150,'Калькуляция (5.9)'!$G$25:$G$192,$G150))</f>
        <v>346</v>
      </c>
      <c r="BC150" s="145">
        <f>IF(method_reg="Метод сравнения аналогов",_xlfn.SUMIFS(INDEX('Калькуляция (МСА)'!$AE$25:$BC$109,,MATCH(BC$8,'Калькуляция (МСА)'!$AE$8:$BC$8,0)),'Калькуляция (МСА)'!$F$25:$F$109,$F150,'Калькуляция (МСА)'!$G$25:$G$109,$G150),_xlfn.SUMIFS(INDEX('Калькуляция (5.9)'!$AJ$25:$BC$192,,MATCH(BC$8,'Калькуляция (5.9)'!$AJ$8:$BC$8,0)),'Калькуляция (5.9)'!$F$25:$F$192,$F150,'Калькуляция (5.9)'!$G$25:$G$192,$G150))</f>
        <v>0</v>
      </c>
      <c r="BD150" s="397">
        <f>IF(BB150=0,0,(BC150-BB150)/BB150*100)</f>
        <v>-100</v>
      </c>
      <c r="BE150" s="145">
        <f>IF(method_reg="Метод сравнения аналогов",_xlfn.SUMIFS(INDEX('Калькуляция (МСА)'!$AE$25:$BC$109,,MATCH(BE$8,'Калькуляция (МСА)'!$AE$8:$BC$8,0)),'Калькуляция (МСА)'!$F$25:$F$109,$F150,'Калькуляция (МСА)'!$G$25:$G$109,$G150),_xlfn.SUMIFS(INDEX('Калькуляция (5.9)'!$AJ$25:$BC$192,,MATCH(BE$8,'Калькуляция (5.9)'!$AJ$8:$BC$8,0)),'Калькуляция (5.9)'!$F$25:$F$192,$F150,'Калькуляция (5.9)'!$G$25:$G$192,$G150))</f>
        <v>346</v>
      </c>
      <c r="BF150" s="145">
        <f>IF(method_reg="Метод сравнения аналогов",_xlfn.SUMIFS(INDEX('Калькуляция (МСА)'!$AE$25:$BC$109,,MATCH(BF$8,'Калькуляция (МСА)'!$AE$8:$BC$8,0)),'Калькуляция (МСА)'!$F$25:$F$109,$F150,'Калькуляция (МСА)'!$G$25:$G$109,$G150),_xlfn.SUMIFS(INDEX('Калькуляция (5.9)'!$AJ$25:$BC$192,,MATCH(BF$8,'Калькуляция (5.9)'!$AJ$8:$BC$8,0)),'Калькуляция (5.9)'!$F$25:$F$192,$F150,'Калькуляция (5.9)'!$G$25:$G$192,$G150))</f>
        <v>0</v>
      </c>
      <c r="BG150" s="397">
        <f>IF(BE150=0,0,(BF150-BE150)/BE150*100)</f>
        <v>-100</v>
      </c>
      <c r="BH150" s="145"/>
      <c r="BI150" s="145"/>
      <c r="BJ150" s="397">
        <f>IF(BH150=0,0,(BI150-BH150)/BH150*100)</f>
        <v>0</v>
      </c>
      <c r="BK150" s="145"/>
      <c r="BL150" s="145"/>
      <c r="BM150" s="397">
        <f>IF(BK150=0,0,(BL150-BK150)/BK150*100)</f>
        <v>0</v>
      </c>
      <c r="BN150" s="145"/>
      <c r="BO150" s="145"/>
      <c r="BP150" s="397">
        <f>IF(BN150=0,0,(BO150-BN150)/BN150*100)</f>
        <v>0</v>
      </c>
      <c r="BQ150" s="145"/>
      <c r="BR150" s="145"/>
      <c r="BS150" s="397">
        <f>IF(BQ150=0,0,(BR150-BQ150)/BQ150*100)</f>
        <v>0</v>
      </c>
      <c r="BT150" s="145"/>
      <c r="BU150" s="145"/>
      <c r="BV150" s="397">
        <f>IF(BT150=0,0,(BU150-BT150)/BT150*100)</f>
        <v>0</v>
      </c>
      <c r="BW150" s="145"/>
      <c r="BX150" s="145"/>
      <c r="BY150" s="397">
        <f>IF(BW150=0,0,(BX150-BW150)/BW150*100)</f>
        <v>0</v>
      </c>
      <c r="BZ150" s="145"/>
      <c r="CA150" s="145"/>
      <c r="CB150" s="397">
        <f>IF(BZ150=0,0,(CA150-BZ150)/BZ150*100)</f>
        <v>0</v>
      </c>
      <c r="CC150" s="145"/>
      <c r="CD150" s="145"/>
      <c r="CE150" s="397">
        <f>IF(CC150=0,0,(CD150-CC150)/CC150*100)</f>
        <v>0</v>
      </c>
      <c r="CF150" s="145"/>
      <c r="CG150" s="145"/>
      <c r="CH150" s="397">
        <f>IF(CF150=0,0,(CG150-CF150)/CF150*100)</f>
        <v>0</v>
      </c>
      <c r="CI150" s="145"/>
      <c r="CJ150" s="145"/>
      <c r="CK150" s="397">
        <f>IF(CI150=0,0,(CJ150-CI150)/CI150*100)</f>
        <v>0</v>
      </c>
      <c r="CL150" s="145"/>
      <c r="CM150" s="145"/>
      <c r="CN150" s="397">
        <f>IF(CL150=0,0,(CM150-CL150)/CL150*100)</f>
        <v>0</v>
      </c>
      <c r="CO150" s="145"/>
      <c r="CP150" s="145"/>
      <c r="CQ150" s="397">
        <f>IF(CO150=0,0,(CP150-CO150)/CO150*100)</f>
        <v>0</v>
      </c>
      <c r="CR150" s="145"/>
      <c r="CS150" s="145"/>
      <c r="CT150" s="397">
        <f>IF(CR150=0,0,(CS150-CR150)/CR150*100)</f>
        <v>0</v>
      </c>
      <c r="CU150" s="145"/>
      <c r="CV150" s="145"/>
      <c r="CW150" s="397">
        <f>IF(CU150=0,0,(CV150-CU150)/CU150*100)</f>
        <v>0</v>
      </c>
      <c r="CX150" s="145"/>
      <c r="CY150" s="145"/>
      <c r="CZ150" s="397">
        <f>IF(CX150=0,0,(CY150-CX150)/CX150*100)</f>
        <v>0</v>
      </c>
      <c r="DA150" s="145"/>
      <c r="DB150" s="145"/>
      <c r="DC150" s="397">
        <f>IF(DA150=0,0,(DB150-DA150)/DA150*100)</f>
        <v>0</v>
      </c>
      <c r="DD150" s="145"/>
      <c r="DE150" s="145"/>
      <c r="DF150" s="397">
        <f>IF(DD150=0,0,(DE150-DD150)/DD150*100)</f>
        <v>0</v>
      </c>
      <c r="DG150" s="145"/>
      <c r="DH150" s="145"/>
      <c r="DI150" s="397">
        <f>IF(DG150=0,0,(DH150-DG150)/DG150*100)</f>
        <v>0</v>
      </c>
      <c r="DJ150" s="145"/>
      <c r="DK150" s="145"/>
      <c r="DL150" s="397">
        <f>IF(DJ150=0,0,(DK150-DJ150)/DJ150*100)</f>
        <v>0</v>
      </c>
      <c r="DM150" s="145"/>
      <c r="DN150" s="145"/>
      <c r="DO150" s="397">
        <f>IF(DM150=0,0,(DN150-DM150)/DM150*100)</f>
        <v>0</v>
      </c>
      <c r="DP150" s="145"/>
      <c r="DQ150" s="145"/>
      <c r="DR150" s="397">
        <f>IF(DP150=0,0,(DQ150-DP150)/DP150*100)</f>
        <v>0</v>
      </c>
      <c r="DS150" s="145"/>
      <c r="DT150" s="145"/>
      <c r="DU150" s="397">
        <f>IF(DS150=0,0,(DT150-DS150)/DS150*100)</f>
        <v>0</v>
      </c>
      <c r="DV150" s="145"/>
      <c r="DW150" s="145"/>
      <c r="DX150" s="397">
        <f>IF(DV150=0,0,(DW150-DV150)/DV150*100)</f>
        <v>0</v>
      </c>
      <c r="DY150" s="145"/>
      <c r="DZ150" s="145"/>
      <c r="EA150" s="397">
        <f>IF(DY150=0,0,(DZ150-DY150)/DY150*100)</f>
        <v>0</v>
      </c>
      <c r="EB150" s="145"/>
      <c r="EC150" s="145"/>
      <c r="ED150" s="397">
        <f>IF(EB150=0,0,(EC150-EB150)/EB150*100)</f>
        <v>0</v>
      </c>
      <c r="EE150" s="145"/>
      <c r="EF150" s="145"/>
      <c r="EG150" s="397">
        <f>IF(EE150=0,0,(EF150-EE150)/EE150*100)</f>
        <v>0</v>
      </c>
      <c r="EH150" s="145"/>
      <c r="EI150" s="145"/>
      <c r="EJ150" s="397">
        <f>IF(EH150=0,0,(EI150-EH150)/EH150*100)</f>
        <v>0</v>
      </c>
      <c r="EK150" s="145"/>
      <c r="EL150" s="145"/>
      <c r="EM150" s="397">
        <f>IF(EK150=0,0,(EL150-EK150)/EK150*100)</f>
        <v>0</v>
      </c>
      <c r="EN150" s="145"/>
      <c r="EO150" s="145"/>
      <c r="EP150" s="397">
        <f>IF(EN150=0,0,(EO150-EN150)/EN150*100)</f>
        <v>0</v>
      </c>
      <c r="EQ150" s="145"/>
      <c r="ER150" s="145"/>
      <c r="ES150" s="397">
        <f>IF(EQ150=0,0,(ER150-EQ150)/EQ150*100)</f>
        <v>0</v>
      </c>
      <c r="ET150" s="145"/>
      <c r="EU150" s="145"/>
      <c r="EV150" s="397">
        <f>IF(ET150=0,0,(EU150-ET150)/ET150*100)</f>
        <v>0</v>
      </c>
      <c r="EW150" s="145"/>
      <c r="EX150" s="145"/>
      <c r="EY150" s="397">
        <f>IF(EW150=0,0,(EX150-EW150)/EW150*100)</f>
        <v>0</v>
      </c>
      <c r="EZ150" s="145"/>
      <c r="FA150" s="145"/>
      <c r="FB150" s="397">
        <f>IF(EZ150=0,0,(FA150-EZ150)/EZ150*100)</f>
        <v>0</v>
      </c>
      <c r="FC150" s="145"/>
      <c r="FD150" s="145"/>
      <c r="FE150" s="397">
        <f>IF(FC150=0,0,(FD150-FC150)/FC150*100)</f>
        <v>0</v>
      </c>
      <c r="FF150" s="145"/>
      <c r="FG150" s="145"/>
      <c r="FH150" s="397">
        <f>IF(FF150=0,0,(FG150-FF150)/FF150*100)</f>
        <v>0</v>
      </c>
      <c r="FI150" s="145"/>
      <c r="FJ150" s="145"/>
      <c r="FK150" s="397">
        <f>IF(FI150=0,0,(FJ150-FI150)/FI150*100)</f>
        <v>0</v>
      </c>
      <c r="FL150" s="145"/>
      <c r="FM150" s="145"/>
      <c r="FN150" s="397">
        <f>IF(FL150=0,0,(FM150-FL150)/FL150*100)</f>
        <v>0</v>
      </c>
      <c r="FO150" s="145"/>
      <c r="FP150" s="145"/>
      <c r="FQ150" s="397">
        <f>IF(FO150=0,0,(FP150-FO150)/FO150*100)</f>
        <v>0</v>
      </c>
      <c r="FR150" s="145"/>
      <c r="FS150" s="145"/>
      <c r="FT150" s="397">
        <f>IF(FR150=0,0,(FS150-FR150)/FR150*100)</f>
        <v>0</v>
      </c>
      <c r="FU150" s="145"/>
      <c r="FV150" s="145"/>
      <c r="FW150" s="397">
        <f>IF(FU150=0,0,(FV150-FU150)/FU150*100)</f>
        <v>0</v>
      </c>
      <c r="FX150" s="497"/>
      <c r="FY150" s="497"/>
      <c r="FZ150" s="1181" t="s">
        <v>2160</v>
      </c>
      <c r="GA150" s="1181"/>
      <c r="GB150" s="1181"/>
      <c r="GC150" s="1181"/>
      <c r="GD150" s="1181"/>
    </row>
    <row s="1619" customFormat="1" customHeight="1" ht="30" hidden="1">
      <c r="A151" s="1461"/>
      <c r="B151" s="961" cm="1" t="str">
        <f t="array" ref="B151:B151">B150</f>
        <v>false</v>
      </c>
      <c r="C151" s="1322" t="s">
        <v>1775</v>
      </c>
      <c r="D151" s="1291" t="s">
        <v>1776</v>
      </c>
      <c r="E151" s="794">
        <v>31.5</v>
      </c>
      <c r="F151" s="919" cm="1" t="str">
        <f t="array" ref="F151:F151">OFFSET(G151,-1,-1)</f>
        <v>2</v>
      </c>
      <c r="G151" s="736" t="s">
        <v>1781</v>
      </c>
      <c r="H151" s="210" t="s">
        <v>2149</v>
      </c>
      <c r="I151" s="210" t="s">
        <v>2095</v>
      </c>
      <c r="J151" s="1312"/>
      <c r="K151" s="1312" cm="1" t="str">
        <f t="array" ref="K151:K151">OFFSET(J151,-1,1)</f>
        <v>ТЭ.42.26824396.0005</v>
      </c>
      <c r="L151" s="1312"/>
      <c r="M151" s="1312" t="s">
        <v>1733</v>
      </c>
      <c r="N151" s="1312" t="s">
        <v>2091</v>
      </c>
      <c r="O151" s="1313" t="s">
        <v>2092</v>
      </c>
      <c r="P151" s="1312" t="s">
        <v>2150</v>
      </c>
      <c r="Q151" s="1312"/>
      <c r="R151" s="925"/>
      <c r="S151" s="497"/>
      <c r="T151" s="805" cm="1" t="str">
        <f t="array" ref="T151:T151">T150</f>
        <v>false</v>
      </c>
      <c r="U151" s="1461"/>
      <c r="V151" s="1461"/>
      <c r="W151" s="1461"/>
      <c r="X151" s="1461"/>
      <c r="Y151" s="1461"/>
      <c r="Z151" s="1461"/>
      <c r="AA151" s="497"/>
      <c r="AB151" s="273" t="s">
        <v>2151</v>
      </c>
      <c r="AC151" s="517" t="s">
        <v>1779</v>
      </c>
      <c r="AD151" s="66">
        <f>IF(method_reg="Метод экономически обоснованных расходов",_xlfn.SUMIFS('Калькуляция (4.6)'!AJ$25:AJ$229,'Калькуляция (4.6)'!$F$25:$F$229,$F151,'Калькуляция (4.6)'!$G$25:$G$229,$G151),IF(method_reg="Метод сравнения аналогов",_xlfn.SUMIFS(INDEX('Калькуляция (МСА)'!$AE$25:$BC$109,,MATCH(AD$8,'Калькуляция (МСА)'!$AE$8:$BC$8,0)),'Калькуляция (МСА)'!$F$25:$F$109,$F151,'Калькуляция (МСА)'!$G$25:$G$109,$G151),_xlfn.SUMIFS(INDEX('Калькуляция (5.9)'!$AJ$25:$BC$192,,MATCH(AD$8,'Калькуляция (5.9)'!$AJ$8:$BC$8,0)),'Калькуляция (5.9)'!$F$25:$F$192,$F151,'Калькуляция (5.9)'!$G$25:$G$192,$G151)))</f>
        <v>0</v>
      </c>
      <c r="AE151" s="66">
        <f>IF(method_reg="Метод экономически обоснованных расходов",_xlfn.SUMIFS('Калькуляция (4.6)'!AK$25:AK$229,'Калькуляция (4.6)'!$F$25:$F$229,$F151,'Калькуляция (4.6)'!$G$25:$G$229,$G151),IF(method_reg="Метод сравнения аналогов",_xlfn.SUMIFS(INDEX('Калькуляция (МСА)'!$AE$25:$BC$109,,MATCH(AE$8,'Калькуляция (МСА)'!$AE$8:$BC$8,0)),'Калькуляция (МСА)'!$F$25:$F$109,$F151,'Калькуляция (МСА)'!$G$25:$G$109,$G151),_xlfn.SUMIFS(INDEX('Калькуляция (5.9)'!$AJ$25:$BC$192,,MATCH(AE$8,'Калькуляция (5.9)'!$AJ$8:$BC$8,0)),'Калькуляция (5.9)'!$F$25:$F$192,$F151,'Калькуляция (5.9)'!$G$25:$G$192,$G151)))</f>
        <v>0</v>
      </c>
      <c r="AF151" s="365">
        <f>IF(AD151=0,0,(AE151-AD151)/AD151*100)</f>
        <v>0</v>
      </c>
      <c r="AG151" s="366">
        <f>IF(method_reg="Метод сравнения аналогов",_xlfn.SUMIFS(INDEX('Калькуляция (МСА)'!$AE$25:$BC$109,,MATCH(AG$8,'Калькуляция (МСА)'!$AE$8:$BC$8,0)),'Калькуляция (МСА)'!$F$25:$F$109,$F151,'Калькуляция (МСА)'!$G$25:$G$109,$G151),_xlfn.SUMIFS(INDEX('Калькуляция (5.9)'!$AJ$25:$BC$192,,MATCH(AG$8,'Калькуляция (5.9)'!$AJ$8:$BC$8,0)),'Калькуляция (5.9)'!$F$25:$F$192,$F151,'Калькуляция (5.9)'!$G$25:$G$192,$G151))</f>
        <v>0</v>
      </c>
      <c r="AH151" s="366">
        <f>IF(method_reg="Метод сравнения аналогов",_xlfn.SUMIFS(INDEX('Калькуляция (МСА)'!$AE$25:$BC$109,,MATCH(AH$8,'Калькуляция (МСА)'!$AE$8:$BC$8,0)),'Калькуляция (МСА)'!$F$25:$F$109,$F151,'Калькуляция (МСА)'!$G$25:$G$109,$G151),_xlfn.SUMIFS(INDEX('Калькуляция (5.9)'!$AJ$25:$BC$192,,MATCH(AH$8,'Калькуляция (5.9)'!$AJ$8:$BC$8,0)),'Калькуляция (5.9)'!$F$25:$F$192,$F151,'Калькуляция (5.9)'!$G$25:$G$192,$G151))</f>
        <v>0</v>
      </c>
      <c r="AI151" s="365">
        <f>IF(AG151=0,0,(AH151-AG151)/AG151*100)</f>
        <v>0</v>
      </c>
      <c r="AJ151" s="366">
        <f>IF(method_reg="Метод сравнения аналогов",_xlfn.SUMIFS(INDEX('Калькуляция (МСА)'!$AE$25:$BC$109,,MATCH(AJ$8,'Калькуляция (МСА)'!$AE$8:$BC$8,0)),'Калькуляция (МСА)'!$F$25:$F$109,$F151,'Калькуляция (МСА)'!$G$25:$G$109,$G151),_xlfn.SUMIFS(INDEX('Калькуляция (5.9)'!$AJ$25:$BC$192,,MATCH(AJ$8,'Калькуляция (5.9)'!$AJ$8:$BC$8,0)),'Калькуляция (5.9)'!$F$25:$F$192,$F151,'Калькуляция (5.9)'!$G$25:$G$192,$G151))</f>
        <v>0</v>
      </c>
      <c r="AK151" s="366">
        <f>IF(method_reg="Метод сравнения аналогов",_xlfn.SUMIFS(INDEX('Калькуляция (МСА)'!$AE$25:$BC$109,,MATCH(AK$8,'Калькуляция (МСА)'!$AE$8:$BC$8,0)),'Калькуляция (МСА)'!$F$25:$F$109,$F151,'Калькуляция (МСА)'!$G$25:$G$109,$G151),_xlfn.SUMIFS(INDEX('Калькуляция (5.9)'!$AJ$25:$BC$192,,MATCH(AK$8,'Калькуляция (5.9)'!$AJ$8:$BC$8,0)),'Калькуляция (5.9)'!$F$25:$F$192,$F151,'Калькуляция (5.9)'!$G$25:$G$192,$G151))</f>
        <v>0</v>
      </c>
      <c r="AL151" s="365">
        <f>IF(AJ151=0,0,(AK151-AJ151)/AJ151*100)</f>
        <v>0</v>
      </c>
      <c r="AM151" s="366">
        <f>IF(method_reg="Метод сравнения аналогов",_xlfn.SUMIFS(INDEX('Калькуляция (МСА)'!$AE$25:$BC$109,,MATCH(AM$8,'Калькуляция (МСА)'!$AE$8:$BC$8,0)),'Калькуляция (МСА)'!$F$25:$F$109,$F151,'Калькуляция (МСА)'!$G$25:$G$109,$G151),_xlfn.SUMIFS(INDEX('Калькуляция (5.9)'!$AJ$25:$BC$192,,MATCH(AM$8,'Калькуляция (5.9)'!$AJ$8:$BC$8,0)),'Калькуляция (5.9)'!$F$25:$F$192,$F151,'Калькуляция (5.9)'!$G$25:$G$192,$G151))</f>
        <v>0</v>
      </c>
      <c r="AN151" s="366">
        <f>IF(method_reg="Метод сравнения аналогов",_xlfn.SUMIFS(INDEX('Калькуляция (МСА)'!$AE$25:$BC$109,,MATCH(AN$8,'Калькуляция (МСА)'!$AE$8:$BC$8,0)),'Калькуляция (МСА)'!$F$25:$F$109,$F151,'Калькуляция (МСА)'!$G$25:$G$109,$G151),_xlfn.SUMIFS(INDEX('Калькуляция (5.9)'!$AJ$25:$BC$192,,MATCH(AN$8,'Калькуляция (5.9)'!$AJ$8:$BC$8,0)),'Калькуляция (5.9)'!$F$25:$F$192,$F151,'Калькуляция (5.9)'!$G$25:$G$192,$G151))</f>
        <v>0</v>
      </c>
      <c r="AO151" s="365">
        <f>IF(AM151=0,0,(AN151-AM151)/AM151*100)</f>
        <v>0</v>
      </c>
      <c r="AP151" s="366">
        <f>IF(method_reg="Метод сравнения аналогов",_xlfn.SUMIFS(INDEX('Калькуляция (МСА)'!$AE$25:$BC$109,,MATCH(AP$8,'Калькуляция (МСА)'!$AE$8:$BC$8,0)),'Калькуляция (МСА)'!$F$25:$F$109,$F151,'Калькуляция (МСА)'!$G$25:$G$109,$G151),_xlfn.SUMIFS(INDEX('Калькуляция (5.9)'!$AJ$25:$BC$192,,MATCH(AP$8,'Калькуляция (5.9)'!$AJ$8:$BC$8,0)),'Калькуляция (5.9)'!$F$25:$F$192,$F151,'Калькуляция (5.9)'!$G$25:$G$192,$G151))</f>
        <v>0</v>
      </c>
      <c r="AQ151" s="366">
        <f>IF(method_reg="Метод сравнения аналогов",_xlfn.SUMIFS(INDEX('Калькуляция (МСА)'!$AE$25:$BC$109,,MATCH(AQ$8,'Калькуляция (МСА)'!$AE$8:$BC$8,0)),'Калькуляция (МСА)'!$F$25:$F$109,$F151,'Калькуляция (МСА)'!$G$25:$G$109,$G151),_xlfn.SUMIFS(INDEX('Калькуляция (5.9)'!$AJ$25:$BC$192,,MATCH(AQ$8,'Калькуляция (5.9)'!$AJ$8:$BC$8,0)),'Калькуляция (5.9)'!$F$25:$F$192,$F151,'Калькуляция (5.9)'!$G$25:$G$192,$G151))</f>
        <v>0</v>
      </c>
      <c r="AR151" s="365">
        <f>IF(AP151=0,0,(AQ151-AP151)/AP151*100)</f>
        <v>0</v>
      </c>
      <c r="AS151" s="66">
        <f>IF(method_reg="Метод сравнения аналогов",_xlfn.SUMIFS(INDEX('Калькуляция (МСА)'!$AE$25:$BC$109,,MATCH(AS$8,'Калькуляция (МСА)'!$AE$8:$BC$8,0)),'Калькуляция (МСА)'!$F$25:$F$109,$F151,'Калькуляция (МСА)'!$G$25:$G$109,$G151),_xlfn.SUMIFS(INDEX('Калькуляция (5.9)'!$AJ$25:$BC$192,,MATCH(AS$8,'Калькуляция (5.9)'!$AJ$8:$BC$8,0)),'Калькуляция (5.9)'!$F$25:$F$192,$F151,'Калькуляция (5.9)'!$G$25:$G$192,$G151))</f>
        <v>0</v>
      </c>
      <c r="AT151" s="66">
        <f>IF(method_reg="Метод сравнения аналогов",_xlfn.SUMIFS(INDEX('Калькуляция (МСА)'!$AE$25:$BC$109,,MATCH(AT$8,'Калькуляция (МСА)'!$AE$8:$BC$8,0)),'Калькуляция (МСА)'!$F$25:$F$109,$F151,'Калькуляция (МСА)'!$G$25:$G$109,$G151),_xlfn.SUMIFS(INDEX('Калькуляция (5.9)'!$AJ$25:$BC$192,,MATCH(AT$8,'Калькуляция (5.9)'!$AJ$8:$BC$8,0)),'Калькуляция (5.9)'!$F$25:$F$192,$F151,'Калькуляция (5.9)'!$G$25:$G$192,$G151))</f>
        <v>0</v>
      </c>
      <c r="AU151" s="365">
        <f>IF(AS151=0,0,(AT151-AS151)/AS151*100)</f>
        <v>0</v>
      </c>
      <c r="AV151" s="66">
        <f>IF(method_reg="Метод сравнения аналогов",_xlfn.SUMIFS(INDEX('Калькуляция (МСА)'!$AE$25:$BC$109,,MATCH(AV$8,'Калькуляция (МСА)'!$AE$8:$BC$8,0)),'Калькуляция (МСА)'!$F$25:$F$109,$F151,'Калькуляция (МСА)'!$G$25:$G$109,$G151),_xlfn.SUMIFS(INDEX('Калькуляция (5.9)'!$AJ$25:$BC$192,,MATCH(AV$8,'Калькуляция (5.9)'!$AJ$8:$BC$8,0)),'Калькуляция (5.9)'!$F$25:$F$192,$F151,'Калькуляция (5.9)'!$G$25:$G$192,$G151))</f>
        <v>0</v>
      </c>
      <c r="AW151" s="66">
        <f>IF(method_reg="Метод сравнения аналогов",_xlfn.SUMIFS(INDEX('Калькуляция (МСА)'!$AE$25:$BC$109,,MATCH(AW$8,'Калькуляция (МСА)'!$AE$8:$BC$8,0)),'Калькуляция (МСА)'!$F$25:$F$109,$F151,'Калькуляция (МСА)'!$G$25:$G$109,$G151),_xlfn.SUMIFS(INDEX('Калькуляция (5.9)'!$AJ$25:$BC$192,,MATCH(AW$8,'Калькуляция (5.9)'!$AJ$8:$BC$8,0)),'Калькуляция (5.9)'!$F$25:$F$192,$F151,'Калькуляция (5.9)'!$G$25:$G$192,$G151))</f>
        <v>0</v>
      </c>
      <c r="AX151" s="365">
        <f>IF(AV151=0,0,(AW151-AV151)/AV151*100)</f>
        <v>0</v>
      </c>
      <c r="AY151" s="66">
        <f>IF(method_reg="Метод сравнения аналогов",_xlfn.SUMIFS(INDEX('Калькуляция (МСА)'!$AE$25:$BC$109,,MATCH(AY$8,'Калькуляция (МСА)'!$AE$8:$BC$8,0)),'Калькуляция (МСА)'!$F$25:$F$109,$F151,'Калькуляция (МСА)'!$G$25:$G$109,$G151),_xlfn.SUMIFS(INDEX('Калькуляция (5.9)'!$AJ$25:$BC$192,,MATCH(AY$8,'Калькуляция (5.9)'!$AJ$8:$BC$8,0)),'Калькуляция (5.9)'!$F$25:$F$192,$F151,'Калькуляция (5.9)'!$G$25:$G$192,$G151))</f>
        <v>0</v>
      </c>
      <c r="AZ151" s="66">
        <f>IF(method_reg="Метод сравнения аналогов",_xlfn.SUMIFS(INDEX('Калькуляция (МСА)'!$AE$25:$BC$109,,MATCH(AZ$8,'Калькуляция (МСА)'!$AE$8:$BC$8,0)),'Калькуляция (МСА)'!$F$25:$F$109,$F151,'Калькуляция (МСА)'!$G$25:$G$109,$G151),_xlfn.SUMIFS(INDEX('Калькуляция (5.9)'!$AJ$25:$BC$192,,MATCH(AZ$8,'Калькуляция (5.9)'!$AJ$8:$BC$8,0)),'Калькуляция (5.9)'!$F$25:$F$192,$F151,'Калькуляция (5.9)'!$G$25:$G$192,$G151))</f>
        <v>0</v>
      </c>
      <c r="BA151" s="365">
        <f>IF(AY151=0,0,(AZ151-AY151)/AY151*100)</f>
        <v>0</v>
      </c>
      <c r="BB151" s="66">
        <f>IF(method_reg="Метод сравнения аналогов",_xlfn.SUMIFS(INDEX('Калькуляция (МСА)'!$AE$25:$BC$109,,MATCH(BB$8,'Калькуляция (МСА)'!$AE$8:$BC$8,0)),'Калькуляция (МСА)'!$F$25:$F$109,$F151,'Калькуляция (МСА)'!$G$25:$G$109,$G151),_xlfn.SUMIFS(INDEX('Калькуляция (5.9)'!$AJ$25:$BC$192,,MATCH(BB$8,'Калькуляция (5.9)'!$AJ$8:$BC$8,0)),'Калькуляция (5.9)'!$F$25:$F$192,$F151,'Калькуляция (5.9)'!$G$25:$G$192,$G151))</f>
        <v>0</v>
      </c>
      <c r="BC151" s="66">
        <f>IF(method_reg="Метод сравнения аналогов",_xlfn.SUMIFS(INDEX('Калькуляция (МСА)'!$AE$25:$BC$109,,MATCH(BC$8,'Калькуляция (МСА)'!$AE$8:$BC$8,0)),'Калькуляция (МСА)'!$F$25:$F$109,$F151,'Калькуляция (МСА)'!$G$25:$G$109,$G151),_xlfn.SUMIFS(INDEX('Калькуляция (5.9)'!$AJ$25:$BC$192,,MATCH(BC$8,'Калькуляция (5.9)'!$AJ$8:$BC$8,0)),'Калькуляция (5.9)'!$F$25:$F$192,$F151,'Калькуляция (5.9)'!$G$25:$G$192,$G151))</f>
        <v>0</v>
      </c>
      <c r="BD151" s="365">
        <f>IF(BB151=0,0,(BC151-BB151)/BB151*100)</f>
        <v>0</v>
      </c>
      <c r="BE151" s="66">
        <f>IF(method_reg="Метод сравнения аналогов",_xlfn.SUMIFS(INDEX('Калькуляция (МСА)'!$AE$25:$BC$109,,MATCH(BE$8,'Калькуляция (МСА)'!$AE$8:$BC$8,0)),'Калькуляция (МСА)'!$F$25:$F$109,$F151,'Калькуляция (МСА)'!$G$25:$G$109,$G151),_xlfn.SUMIFS(INDEX('Калькуляция (5.9)'!$AJ$25:$BC$192,,MATCH(BE$8,'Калькуляция (5.9)'!$AJ$8:$BC$8,0)),'Калькуляция (5.9)'!$F$25:$F$192,$F151,'Калькуляция (5.9)'!$G$25:$G$192,$G151))</f>
        <v>0</v>
      </c>
      <c r="BF151" s="66">
        <f>IF(method_reg="Метод сравнения аналогов",_xlfn.SUMIFS(INDEX('Калькуляция (МСА)'!$AE$25:$BC$109,,MATCH(BF$8,'Калькуляция (МСА)'!$AE$8:$BC$8,0)),'Калькуляция (МСА)'!$F$25:$F$109,$F151,'Калькуляция (МСА)'!$G$25:$G$109,$G151),_xlfn.SUMIFS(INDEX('Калькуляция (5.9)'!$AJ$25:$BC$192,,MATCH(BF$8,'Калькуляция (5.9)'!$AJ$8:$BC$8,0)),'Калькуляция (5.9)'!$F$25:$F$192,$F151,'Калькуляция (5.9)'!$G$25:$G$192,$G151))</f>
        <v>0</v>
      </c>
      <c r="BG151" s="365">
        <f>IF(BE151=0,0,(BF151-BE151)/BE151*100)</f>
        <v>0</v>
      </c>
      <c r="BH151" s="66"/>
      <c r="BI151" s="66"/>
      <c r="BJ151" s="365">
        <f>IF(BH151=0,0,(BI151-BH151)/BH151*100)</f>
        <v>0</v>
      </c>
      <c r="BK151" s="66"/>
      <c r="BL151" s="66"/>
      <c r="BM151" s="365">
        <f>IF(BK151=0,0,(BL151-BK151)/BK151*100)</f>
        <v>0</v>
      </c>
      <c r="BN151" s="66"/>
      <c r="BO151" s="66"/>
      <c r="BP151" s="365">
        <f>IF(BN151=0,0,(BO151-BN151)/BN151*100)</f>
        <v>0</v>
      </c>
      <c r="BQ151" s="66"/>
      <c r="BR151" s="66"/>
      <c r="BS151" s="365">
        <f>IF(BQ151=0,0,(BR151-BQ151)/BQ151*100)</f>
        <v>0</v>
      </c>
      <c r="BT151" s="66"/>
      <c r="BU151" s="66"/>
      <c r="BV151" s="365">
        <f>IF(BT151=0,0,(BU151-BT151)/BT151*100)</f>
        <v>0</v>
      </c>
      <c r="BW151" s="66"/>
      <c r="BX151" s="66"/>
      <c r="BY151" s="365">
        <f>IF(BW151=0,0,(BX151-BW151)/BW151*100)</f>
        <v>0</v>
      </c>
      <c r="BZ151" s="66"/>
      <c r="CA151" s="66"/>
      <c r="CB151" s="365">
        <f>IF(BZ151=0,0,(CA151-BZ151)/BZ151*100)</f>
        <v>0</v>
      </c>
      <c r="CC151" s="66"/>
      <c r="CD151" s="66"/>
      <c r="CE151" s="365">
        <f>IF(CC151=0,0,(CD151-CC151)/CC151*100)</f>
        <v>0</v>
      </c>
      <c r="CF151" s="66"/>
      <c r="CG151" s="66"/>
      <c r="CH151" s="365">
        <f>IF(CF151=0,0,(CG151-CF151)/CF151*100)</f>
        <v>0</v>
      </c>
      <c r="CI151" s="66"/>
      <c r="CJ151" s="66"/>
      <c r="CK151" s="365">
        <f>IF(CI151=0,0,(CJ151-CI151)/CI151*100)</f>
        <v>0</v>
      </c>
      <c r="CL151" s="66"/>
      <c r="CM151" s="66"/>
      <c r="CN151" s="365">
        <f>IF(CL151=0,0,(CM151-CL151)/CL151*100)</f>
        <v>0</v>
      </c>
      <c r="CO151" s="66"/>
      <c r="CP151" s="66"/>
      <c r="CQ151" s="365">
        <f>IF(CO151=0,0,(CP151-CO151)/CO151*100)</f>
        <v>0</v>
      </c>
      <c r="CR151" s="66"/>
      <c r="CS151" s="66"/>
      <c r="CT151" s="365">
        <f>IF(CR151=0,0,(CS151-CR151)/CR151*100)</f>
        <v>0</v>
      </c>
      <c r="CU151" s="66"/>
      <c r="CV151" s="66"/>
      <c r="CW151" s="365">
        <f>IF(CU151=0,0,(CV151-CU151)/CU151*100)</f>
        <v>0</v>
      </c>
      <c r="CX151" s="66"/>
      <c r="CY151" s="66"/>
      <c r="CZ151" s="365">
        <f>IF(CX151=0,0,(CY151-CX151)/CX151*100)</f>
        <v>0</v>
      </c>
      <c r="DA151" s="66"/>
      <c r="DB151" s="66"/>
      <c r="DC151" s="365">
        <f>IF(DA151=0,0,(DB151-DA151)/DA151*100)</f>
        <v>0</v>
      </c>
      <c r="DD151" s="66"/>
      <c r="DE151" s="66"/>
      <c r="DF151" s="365">
        <f>IF(DD151=0,0,(DE151-DD151)/DD151*100)</f>
        <v>0</v>
      </c>
      <c r="DG151" s="66"/>
      <c r="DH151" s="66"/>
      <c r="DI151" s="365">
        <f>IF(DG151=0,0,(DH151-DG151)/DG151*100)</f>
        <v>0</v>
      </c>
      <c r="DJ151" s="66"/>
      <c r="DK151" s="66"/>
      <c r="DL151" s="365">
        <f>IF(DJ151=0,0,(DK151-DJ151)/DJ151*100)</f>
        <v>0</v>
      </c>
      <c r="DM151" s="66"/>
      <c r="DN151" s="66"/>
      <c r="DO151" s="365">
        <f>IF(DM151=0,0,(DN151-DM151)/DM151*100)</f>
        <v>0</v>
      </c>
      <c r="DP151" s="66"/>
      <c r="DQ151" s="66"/>
      <c r="DR151" s="365">
        <f>IF(DP151=0,0,(DQ151-DP151)/DP151*100)</f>
        <v>0</v>
      </c>
      <c r="DS151" s="66"/>
      <c r="DT151" s="66"/>
      <c r="DU151" s="365">
        <f>IF(DS151=0,0,(DT151-DS151)/DS151*100)</f>
        <v>0</v>
      </c>
      <c r="DV151" s="66"/>
      <c r="DW151" s="66"/>
      <c r="DX151" s="365">
        <f>IF(DV151=0,0,(DW151-DV151)/DV151*100)</f>
        <v>0</v>
      </c>
      <c r="DY151" s="66"/>
      <c r="DZ151" s="66"/>
      <c r="EA151" s="365">
        <f>IF(DY151=0,0,(DZ151-DY151)/DY151*100)</f>
        <v>0</v>
      </c>
      <c r="EB151" s="66"/>
      <c r="EC151" s="66"/>
      <c r="ED151" s="365">
        <f>IF(EB151=0,0,(EC151-EB151)/EB151*100)</f>
        <v>0</v>
      </c>
      <c r="EE151" s="66"/>
      <c r="EF151" s="66"/>
      <c r="EG151" s="365">
        <f>IF(EE151=0,0,(EF151-EE151)/EE151*100)</f>
        <v>0</v>
      </c>
      <c r="EH151" s="66"/>
      <c r="EI151" s="66"/>
      <c r="EJ151" s="365">
        <f>IF(EH151=0,0,(EI151-EH151)/EH151*100)</f>
        <v>0</v>
      </c>
      <c r="EK151" s="66"/>
      <c r="EL151" s="66"/>
      <c r="EM151" s="365">
        <f>IF(EK151=0,0,(EL151-EK151)/EK151*100)</f>
        <v>0</v>
      </c>
      <c r="EN151" s="66"/>
      <c r="EO151" s="66"/>
      <c r="EP151" s="365">
        <f>IF(EN151=0,0,(EO151-EN151)/EN151*100)</f>
        <v>0</v>
      </c>
      <c r="EQ151" s="66"/>
      <c r="ER151" s="66"/>
      <c r="ES151" s="365">
        <f>IF(EQ151=0,0,(ER151-EQ151)/EQ151*100)</f>
        <v>0</v>
      </c>
      <c r="ET151" s="66"/>
      <c r="EU151" s="66"/>
      <c r="EV151" s="365">
        <f>IF(ET151=0,0,(EU151-ET151)/ET151*100)</f>
        <v>0</v>
      </c>
      <c r="EW151" s="66"/>
      <c r="EX151" s="66"/>
      <c r="EY151" s="365">
        <f>IF(EW151=0,0,(EX151-EW151)/EW151*100)</f>
        <v>0</v>
      </c>
      <c r="EZ151" s="66"/>
      <c r="FA151" s="66"/>
      <c r="FB151" s="365">
        <f>IF(EZ151=0,0,(FA151-EZ151)/EZ151*100)</f>
        <v>0</v>
      </c>
      <c r="FC151" s="66"/>
      <c r="FD151" s="66"/>
      <c r="FE151" s="365">
        <f>IF(FC151=0,0,(FD151-FC151)/FC151*100)</f>
        <v>0</v>
      </c>
      <c r="FF151" s="66"/>
      <c r="FG151" s="66"/>
      <c r="FH151" s="365">
        <f>IF(FF151=0,0,(FG151-FF151)/FF151*100)</f>
        <v>0</v>
      </c>
      <c r="FI151" s="66"/>
      <c r="FJ151" s="66"/>
      <c r="FK151" s="365">
        <f>IF(FI151=0,0,(FJ151-FI151)/FI151*100)</f>
        <v>0</v>
      </c>
      <c r="FL151" s="66"/>
      <c r="FM151" s="66"/>
      <c r="FN151" s="365">
        <f>IF(FL151=0,0,(FM151-FL151)/FL151*100)</f>
        <v>0</v>
      </c>
      <c r="FO151" s="66"/>
      <c r="FP151" s="66"/>
      <c r="FQ151" s="365">
        <f>IF(FO151=0,0,(FP151-FO151)/FO151*100)</f>
        <v>0</v>
      </c>
      <c r="FR151" s="66"/>
      <c r="FS151" s="66"/>
      <c r="FT151" s="365">
        <f>IF(FR151=0,0,(FS151-FR151)/FR151*100)</f>
        <v>0</v>
      </c>
      <c r="FU151" s="66"/>
      <c r="FV151" s="66"/>
      <c r="FW151" s="365">
        <f>IF(FU151=0,0,(FV151-FU151)/FU151*100)</f>
        <v>0</v>
      </c>
      <c r="FX151" s="497"/>
      <c r="FY151" s="497"/>
      <c r="FZ151" s="1181" t="s">
        <v>2161</v>
      </c>
      <c r="GA151" s="1181"/>
      <c r="GB151" s="1181"/>
      <c r="GC151" s="1181"/>
      <c r="GD151" s="1181"/>
    </row>
    <row s="1619" customFormat="1" customHeight="1" ht="15" hidden="1">
      <c r="A152" s="1461"/>
      <c r="B152" s="961" cm="1" t="str">
        <f t="array" ref="B152:B152">B151</f>
        <v>false</v>
      </c>
      <c r="C152" s="1322" t="s">
        <v>1747</v>
      </c>
      <c r="D152" s="1291" t="s">
        <v>1748</v>
      </c>
      <c r="E152" s="794">
        <v>15.8</v>
      </c>
      <c r="F152" s="919" cm="1" t="str">
        <f t="array" ref="F152:F152">OFFSET(G152,-1,-1)</f>
        <v>2</v>
      </c>
      <c r="G152" s="736" t="s">
        <v>1754</v>
      </c>
      <c r="H152" s="210" t="s">
        <v>2153</v>
      </c>
      <c r="I152" s="210" t="s">
        <v>2095</v>
      </c>
      <c r="J152" s="1312"/>
      <c r="K152" s="1312" cm="1" t="str">
        <f t="array" ref="K152:K152">OFFSET(J152,-1,1)</f>
        <v>ТЭ.42.26824396.0005</v>
      </c>
      <c r="L152" s="1312"/>
      <c r="M152" s="1312" t="s">
        <v>1733</v>
      </c>
      <c r="N152" s="1312" t="s">
        <v>2091</v>
      </c>
      <c r="O152" s="1313" t="s">
        <v>2092</v>
      </c>
      <c r="P152" s="1312" t="s">
        <v>2154</v>
      </c>
      <c r="Q152" s="1312"/>
      <c r="R152" s="925"/>
      <c r="S152" s="497"/>
      <c r="T152" s="805" cm="1" t="str">
        <f t="array" ref="T152:T152">T151</f>
        <v>false</v>
      </c>
      <c r="U152" s="1461"/>
      <c r="V152" s="1461"/>
      <c r="W152" s="1461"/>
      <c r="X152" s="1461"/>
      <c r="Y152" s="1461"/>
      <c r="Z152" s="1461"/>
      <c r="AA152" s="497"/>
      <c r="AB152" s="273" t="s">
        <v>2155</v>
      </c>
      <c r="AC152" s="664" t="s">
        <v>690</v>
      </c>
      <c r="AD152" s="66">
        <f>IF(method_reg="Метод экономически обоснованных расходов",_xlfn.SUMIFS('Калькуляция (4.6)'!AJ$25:AJ$229,'Калькуляция (4.6)'!$F$25:$F$229,$F152,'Калькуляция (4.6)'!$G$25:$G$229,$G152),IF(method_reg="Метод сравнения аналогов",_xlfn.SUMIFS(INDEX('Калькуляция (МСА)'!$AE$25:$BC$109,,MATCH(AD$8,'Калькуляция (МСА)'!$AE$8:$BC$8,0)),'Калькуляция (МСА)'!$F$25:$F$109,$F152,'Калькуляция (МСА)'!$G$25:$G$109,$G152),_xlfn.SUMIFS(INDEX('Калькуляция (5.9)'!$AJ$25:$BC$192,,MATCH(AD$8,'Калькуляция (5.9)'!$AJ$8:$BC$8,0)),'Калькуляция (5.9)'!$F$25:$F$192,$F152,'Калькуляция (5.9)'!$G$25:$G$192,$G152)))</f>
        <v>0</v>
      </c>
      <c r="AE152" s="66">
        <f>IF(method_reg="Метод экономически обоснованных расходов",_xlfn.SUMIFS('Калькуляция (4.6)'!AK$25:AK$229,'Калькуляция (4.6)'!$F$25:$F$229,$F152,'Калькуляция (4.6)'!$G$25:$G$229,$G152),IF(method_reg="Метод сравнения аналогов",_xlfn.SUMIFS(INDEX('Калькуляция (МСА)'!$AE$25:$BC$109,,MATCH(AE$8,'Калькуляция (МСА)'!$AE$8:$BC$8,0)),'Калькуляция (МСА)'!$F$25:$F$109,$F152,'Калькуляция (МСА)'!$G$25:$G$109,$G152),_xlfn.SUMIFS(INDEX('Калькуляция (5.9)'!$AJ$25:$BC$192,,MATCH(AE$8,'Калькуляция (5.9)'!$AJ$8:$BC$8,0)),'Калькуляция (5.9)'!$F$25:$F$192,$F152,'Калькуляция (5.9)'!$G$25:$G$192,$G152)))</f>
        <v>0</v>
      </c>
      <c r="AF152" s="365">
        <f>IF(AD152=0,0,(AE152-AD152)/AD152*100)</f>
        <v>0</v>
      </c>
      <c r="AG152" s="366">
        <f>IF(method_reg="Метод сравнения аналогов",_xlfn.SUMIFS(INDEX('Калькуляция (МСА)'!$AE$25:$BC$109,,MATCH(AG$8,'Калькуляция (МСА)'!$AE$8:$BC$8,0)),'Калькуляция (МСА)'!$F$25:$F$109,$F152,'Калькуляция (МСА)'!$G$25:$G$109,$G152),_xlfn.SUMIFS(INDEX('Калькуляция (5.9)'!$AJ$25:$BC$192,,MATCH(AG$8,'Калькуляция (5.9)'!$AJ$8:$BC$8,0)),'Калькуляция (5.9)'!$F$25:$F$192,$F152,'Калькуляция (5.9)'!$G$25:$G$192,$G152))</f>
        <v>0</v>
      </c>
      <c r="AH152" s="366">
        <f>IF(method_reg="Метод сравнения аналогов",_xlfn.SUMIFS(INDEX('Калькуляция (МСА)'!$AE$25:$BC$109,,MATCH(AH$8,'Калькуляция (МСА)'!$AE$8:$BC$8,0)),'Калькуляция (МСА)'!$F$25:$F$109,$F152,'Калькуляция (МСА)'!$G$25:$G$109,$G152),_xlfn.SUMIFS(INDEX('Калькуляция (5.9)'!$AJ$25:$BC$192,,MATCH(AH$8,'Калькуляция (5.9)'!$AJ$8:$BC$8,0)),'Калькуляция (5.9)'!$F$25:$F$192,$F152,'Калькуляция (5.9)'!$G$25:$G$192,$G152))</f>
        <v>0</v>
      </c>
      <c r="AI152" s="365">
        <f>IF(AG152=0,0,(AH152-AG152)/AG152*100)</f>
        <v>0</v>
      </c>
      <c r="AJ152" s="366">
        <f>IF(method_reg="Метод сравнения аналогов",_xlfn.SUMIFS(INDEX('Калькуляция (МСА)'!$AE$25:$BC$109,,MATCH(AJ$8,'Калькуляция (МСА)'!$AE$8:$BC$8,0)),'Калькуляция (МСА)'!$F$25:$F$109,$F152,'Калькуляция (МСА)'!$G$25:$G$109,$G152),_xlfn.SUMIFS(INDEX('Калькуляция (5.9)'!$AJ$25:$BC$192,,MATCH(AJ$8,'Калькуляция (5.9)'!$AJ$8:$BC$8,0)),'Калькуляция (5.9)'!$F$25:$F$192,$F152,'Калькуляция (5.9)'!$G$25:$G$192,$G152))</f>
        <v>0</v>
      </c>
      <c r="AK152" s="366">
        <f>IF(method_reg="Метод сравнения аналогов",_xlfn.SUMIFS(INDEX('Калькуляция (МСА)'!$AE$25:$BC$109,,MATCH(AK$8,'Калькуляция (МСА)'!$AE$8:$BC$8,0)),'Калькуляция (МСА)'!$F$25:$F$109,$F152,'Калькуляция (МСА)'!$G$25:$G$109,$G152),_xlfn.SUMIFS(INDEX('Калькуляция (5.9)'!$AJ$25:$BC$192,,MATCH(AK$8,'Калькуляция (5.9)'!$AJ$8:$BC$8,0)),'Калькуляция (5.9)'!$F$25:$F$192,$F152,'Калькуляция (5.9)'!$G$25:$G$192,$G152))</f>
        <v>0</v>
      </c>
      <c r="AL152" s="365">
        <f>IF(AJ152=0,0,(AK152-AJ152)/AJ152*100)</f>
        <v>0</v>
      </c>
      <c r="AM152" s="366">
        <f>IF(method_reg="Метод сравнения аналогов",_xlfn.SUMIFS(INDEX('Калькуляция (МСА)'!$AE$25:$BC$109,,MATCH(AM$8,'Калькуляция (МСА)'!$AE$8:$BC$8,0)),'Калькуляция (МСА)'!$F$25:$F$109,$F152,'Калькуляция (МСА)'!$G$25:$G$109,$G152),_xlfn.SUMIFS(INDEX('Калькуляция (5.9)'!$AJ$25:$BC$192,,MATCH(AM$8,'Калькуляция (5.9)'!$AJ$8:$BC$8,0)),'Калькуляция (5.9)'!$F$25:$F$192,$F152,'Калькуляция (5.9)'!$G$25:$G$192,$G152))</f>
        <v>0</v>
      </c>
      <c r="AN152" s="366">
        <f>IF(method_reg="Метод сравнения аналогов",_xlfn.SUMIFS(INDEX('Калькуляция (МСА)'!$AE$25:$BC$109,,MATCH(AN$8,'Калькуляция (МСА)'!$AE$8:$BC$8,0)),'Калькуляция (МСА)'!$F$25:$F$109,$F152,'Калькуляция (МСА)'!$G$25:$G$109,$G152),_xlfn.SUMIFS(INDEX('Калькуляция (5.9)'!$AJ$25:$BC$192,,MATCH(AN$8,'Калькуляция (5.9)'!$AJ$8:$BC$8,0)),'Калькуляция (5.9)'!$F$25:$F$192,$F152,'Калькуляция (5.9)'!$G$25:$G$192,$G152))</f>
        <v>0</v>
      </c>
      <c r="AO152" s="365">
        <f>IF(AM152=0,0,(AN152-AM152)/AM152*100)</f>
        <v>0</v>
      </c>
      <c r="AP152" s="366">
        <f>IF(method_reg="Метод сравнения аналогов",_xlfn.SUMIFS(INDEX('Калькуляция (МСА)'!$AE$25:$BC$109,,MATCH(AP$8,'Калькуляция (МСА)'!$AE$8:$BC$8,0)),'Калькуляция (МСА)'!$F$25:$F$109,$F152,'Калькуляция (МСА)'!$G$25:$G$109,$G152),_xlfn.SUMIFS(INDEX('Калькуляция (5.9)'!$AJ$25:$BC$192,,MATCH(AP$8,'Калькуляция (5.9)'!$AJ$8:$BC$8,0)),'Калькуляция (5.9)'!$F$25:$F$192,$F152,'Калькуляция (5.9)'!$G$25:$G$192,$G152))</f>
        <v>0</v>
      </c>
      <c r="AQ152" s="366">
        <f>IF(method_reg="Метод сравнения аналогов",_xlfn.SUMIFS(INDEX('Калькуляция (МСА)'!$AE$25:$BC$109,,MATCH(AQ$8,'Калькуляция (МСА)'!$AE$8:$BC$8,0)),'Калькуляция (МСА)'!$F$25:$F$109,$F152,'Калькуляция (МСА)'!$G$25:$G$109,$G152),_xlfn.SUMIFS(INDEX('Калькуляция (5.9)'!$AJ$25:$BC$192,,MATCH(AQ$8,'Калькуляция (5.9)'!$AJ$8:$BC$8,0)),'Калькуляция (5.9)'!$F$25:$F$192,$F152,'Калькуляция (5.9)'!$G$25:$G$192,$G152))</f>
        <v>0</v>
      </c>
      <c r="AR152" s="365">
        <f>IF(AP152=0,0,(AQ152-AP152)/AP152*100)</f>
        <v>0</v>
      </c>
      <c r="AS152" s="66">
        <f>IF(method_reg="Метод сравнения аналогов",_xlfn.SUMIFS(INDEX('Калькуляция (МСА)'!$AE$25:$BC$109,,MATCH(AS$8,'Калькуляция (МСА)'!$AE$8:$BC$8,0)),'Калькуляция (МСА)'!$F$25:$F$109,$F152,'Калькуляция (МСА)'!$G$25:$G$109,$G152),_xlfn.SUMIFS(INDEX('Калькуляция (5.9)'!$AJ$25:$BC$192,,MATCH(AS$8,'Калькуляция (5.9)'!$AJ$8:$BC$8,0)),'Калькуляция (5.9)'!$F$25:$F$192,$F152,'Калькуляция (5.9)'!$G$25:$G$192,$G152))</f>
        <v>0</v>
      </c>
      <c r="AT152" s="66">
        <f>IF(method_reg="Метод сравнения аналогов",_xlfn.SUMIFS(INDEX('Калькуляция (МСА)'!$AE$25:$BC$109,,MATCH(AT$8,'Калькуляция (МСА)'!$AE$8:$BC$8,0)),'Калькуляция (МСА)'!$F$25:$F$109,$F152,'Калькуляция (МСА)'!$G$25:$G$109,$G152),_xlfn.SUMIFS(INDEX('Калькуляция (5.9)'!$AJ$25:$BC$192,,MATCH(AT$8,'Калькуляция (5.9)'!$AJ$8:$BC$8,0)),'Калькуляция (5.9)'!$F$25:$F$192,$F152,'Калькуляция (5.9)'!$G$25:$G$192,$G152))</f>
        <v>0</v>
      </c>
      <c r="AU152" s="365">
        <f>IF(AS152=0,0,(AT152-AS152)/AS152*100)</f>
        <v>0</v>
      </c>
      <c r="AV152" s="66">
        <f>IF(method_reg="Метод сравнения аналогов",_xlfn.SUMIFS(INDEX('Калькуляция (МСА)'!$AE$25:$BC$109,,MATCH(AV$8,'Калькуляция (МСА)'!$AE$8:$BC$8,0)),'Калькуляция (МСА)'!$F$25:$F$109,$F152,'Калькуляция (МСА)'!$G$25:$G$109,$G152),_xlfn.SUMIFS(INDEX('Калькуляция (5.9)'!$AJ$25:$BC$192,,MATCH(AV$8,'Калькуляция (5.9)'!$AJ$8:$BC$8,0)),'Калькуляция (5.9)'!$F$25:$F$192,$F152,'Калькуляция (5.9)'!$G$25:$G$192,$G152))</f>
        <v>0</v>
      </c>
      <c r="AW152" s="66">
        <f>IF(method_reg="Метод сравнения аналогов",_xlfn.SUMIFS(INDEX('Калькуляция (МСА)'!$AE$25:$BC$109,,MATCH(AW$8,'Калькуляция (МСА)'!$AE$8:$BC$8,0)),'Калькуляция (МСА)'!$F$25:$F$109,$F152,'Калькуляция (МСА)'!$G$25:$G$109,$G152),_xlfn.SUMIFS(INDEX('Калькуляция (5.9)'!$AJ$25:$BC$192,,MATCH(AW$8,'Калькуляция (5.9)'!$AJ$8:$BC$8,0)),'Калькуляция (5.9)'!$F$25:$F$192,$F152,'Калькуляция (5.9)'!$G$25:$G$192,$G152))</f>
        <v>0</v>
      </c>
      <c r="AX152" s="365">
        <f>IF(AV152=0,0,(AW152-AV152)/AV152*100)</f>
        <v>0</v>
      </c>
      <c r="AY152" s="66">
        <f>IF(method_reg="Метод сравнения аналогов",_xlfn.SUMIFS(INDEX('Калькуляция (МСА)'!$AE$25:$BC$109,,MATCH(AY$8,'Калькуляция (МСА)'!$AE$8:$BC$8,0)),'Калькуляция (МСА)'!$F$25:$F$109,$F152,'Калькуляция (МСА)'!$G$25:$G$109,$G152),_xlfn.SUMIFS(INDEX('Калькуляция (5.9)'!$AJ$25:$BC$192,,MATCH(AY$8,'Калькуляция (5.9)'!$AJ$8:$BC$8,0)),'Калькуляция (5.9)'!$F$25:$F$192,$F152,'Калькуляция (5.9)'!$G$25:$G$192,$G152))</f>
        <v>0</v>
      </c>
      <c r="AZ152" s="66">
        <f>IF(method_reg="Метод сравнения аналогов",_xlfn.SUMIFS(INDEX('Калькуляция (МСА)'!$AE$25:$BC$109,,MATCH(AZ$8,'Калькуляция (МСА)'!$AE$8:$BC$8,0)),'Калькуляция (МСА)'!$F$25:$F$109,$F152,'Калькуляция (МСА)'!$G$25:$G$109,$G152),_xlfn.SUMIFS(INDEX('Калькуляция (5.9)'!$AJ$25:$BC$192,,MATCH(AZ$8,'Калькуляция (5.9)'!$AJ$8:$BC$8,0)),'Калькуляция (5.9)'!$F$25:$F$192,$F152,'Калькуляция (5.9)'!$G$25:$G$192,$G152))</f>
        <v>0</v>
      </c>
      <c r="BA152" s="365">
        <f>IF(AY152=0,0,(AZ152-AY152)/AY152*100)</f>
        <v>0</v>
      </c>
      <c r="BB152" s="66">
        <f>IF(method_reg="Метод сравнения аналогов",_xlfn.SUMIFS(INDEX('Калькуляция (МСА)'!$AE$25:$BC$109,,MATCH(BB$8,'Калькуляция (МСА)'!$AE$8:$BC$8,0)),'Калькуляция (МСА)'!$F$25:$F$109,$F152,'Калькуляция (МСА)'!$G$25:$G$109,$G152),_xlfn.SUMIFS(INDEX('Калькуляция (5.9)'!$AJ$25:$BC$192,,MATCH(BB$8,'Калькуляция (5.9)'!$AJ$8:$BC$8,0)),'Калькуляция (5.9)'!$F$25:$F$192,$F152,'Калькуляция (5.9)'!$G$25:$G$192,$G152))</f>
        <v>0</v>
      </c>
      <c r="BC152" s="66">
        <f>IF(method_reg="Метод сравнения аналогов",_xlfn.SUMIFS(INDEX('Калькуляция (МСА)'!$AE$25:$BC$109,,MATCH(BC$8,'Калькуляция (МСА)'!$AE$8:$BC$8,0)),'Калькуляция (МСА)'!$F$25:$F$109,$F152,'Калькуляция (МСА)'!$G$25:$G$109,$G152),_xlfn.SUMIFS(INDEX('Калькуляция (5.9)'!$AJ$25:$BC$192,,MATCH(BC$8,'Калькуляция (5.9)'!$AJ$8:$BC$8,0)),'Калькуляция (5.9)'!$F$25:$F$192,$F152,'Калькуляция (5.9)'!$G$25:$G$192,$G152))</f>
        <v>0</v>
      </c>
      <c r="BD152" s="365">
        <f>IF(BB152=0,0,(BC152-BB152)/BB152*100)</f>
        <v>0</v>
      </c>
      <c r="BE152" s="66">
        <f>IF(method_reg="Метод сравнения аналогов",_xlfn.SUMIFS(INDEX('Калькуляция (МСА)'!$AE$25:$BC$109,,MATCH(BE$8,'Калькуляция (МСА)'!$AE$8:$BC$8,0)),'Калькуляция (МСА)'!$F$25:$F$109,$F152,'Калькуляция (МСА)'!$G$25:$G$109,$G152),_xlfn.SUMIFS(INDEX('Калькуляция (5.9)'!$AJ$25:$BC$192,,MATCH(BE$8,'Калькуляция (5.9)'!$AJ$8:$BC$8,0)),'Калькуляция (5.9)'!$F$25:$F$192,$F152,'Калькуляция (5.9)'!$G$25:$G$192,$G152))</f>
        <v>0</v>
      </c>
      <c r="BF152" s="66">
        <f>IF(method_reg="Метод сравнения аналогов",_xlfn.SUMIFS(INDEX('Калькуляция (МСА)'!$AE$25:$BC$109,,MATCH(BF$8,'Калькуляция (МСА)'!$AE$8:$BC$8,0)),'Калькуляция (МСА)'!$F$25:$F$109,$F152,'Калькуляция (МСА)'!$G$25:$G$109,$G152),_xlfn.SUMIFS(INDEX('Калькуляция (5.9)'!$AJ$25:$BC$192,,MATCH(BF$8,'Калькуляция (5.9)'!$AJ$8:$BC$8,0)),'Калькуляция (5.9)'!$F$25:$F$192,$F152,'Калькуляция (5.9)'!$G$25:$G$192,$G152))</f>
        <v>0</v>
      </c>
      <c r="BG152" s="365">
        <f>IF(BE152=0,0,(BF152-BE152)/BE152*100)</f>
        <v>0</v>
      </c>
      <c r="BH152" s="66"/>
      <c r="BI152" s="66"/>
      <c r="BJ152" s="365">
        <f>IF(BH152=0,0,(BI152-BH152)/BH152*100)</f>
        <v>0</v>
      </c>
      <c r="BK152" s="66"/>
      <c r="BL152" s="66"/>
      <c r="BM152" s="365">
        <f>IF(BK152=0,0,(BL152-BK152)/BK152*100)</f>
        <v>0</v>
      </c>
      <c r="BN152" s="66"/>
      <c r="BO152" s="66"/>
      <c r="BP152" s="365">
        <f>IF(BN152=0,0,(BO152-BN152)/BN152*100)</f>
        <v>0</v>
      </c>
      <c r="BQ152" s="66"/>
      <c r="BR152" s="66"/>
      <c r="BS152" s="365">
        <f>IF(BQ152=0,0,(BR152-BQ152)/BQ152*100)</f>
        <v>0</v>
      </c>
      <c r="BT152" s="66"/>
      <c r="BU152" s="66"/>
      <c r="BV152" s="365">
        <f>IF(BT152=0,0,(BU152-BT152)/BT152*100)</f>
        <v>0</v>
      </c>
      <c r="BW152" s="66"/>
      <c r="BX152" s="66"/>
      <c r="BY152" s="365">
        <f>IF(BW152=0,0,(BX152-BW152)/BW152*100)</f>
        <v>0</v>
      </c>
      <c r="BZ152" s="66"/>
      <c r="CA152" s="66"/>
      <c r="CB152" s="365">
        <f>IF(BZ152=0,0,(CA152-BZ152)/BZ152*100)</f>
        <v>0</v>
      </c>
      <c r="CC152" s="66"/>
      <c r="CD152" s="66"/>
      <c r="CE152" s="365">
        <f>IF(CC152=0,0,(CD152-CC152)/CC152*100)</f>
        <v>0</v>
      </c>
      <c r="CF152" s="66"/>
      <c r="CG152" s="66"/>
      <c r="CH152" s="365">
        <f>IF(CF152=0,0,(CG152-CF152)/CF152*100)</f>
        <v>0</v>
      </c>
      <c r="CI152" s="66"/>
      <c r="CJ152" s="66"/>
      <c r="CK152" s="365">
        <f>IF(CI152=0,0,(CJ152-CI152)/CI152*100)</f>
        <v>0</v>
      </c>
      <c r="CL152" s="66"/>
      <c r="CM152" s="66"/>
      <c r="CN152" s="365">
        <f>IF(CL152=0,0,(CM152-CL152)/CL152*100)</f>
        <v>0</v>
      </c>
      <c r="CO152" s="66"/>
      <c r="CP152" s="66"/>
      <c r="CQ152" s="365">
        <f>IF(CO152=0,0,(CP152-CO152)/CO152*100)</f>
        <v>0</v>
      </c>
      <c r="CR152" s="66"/>
      <c r="CS152" s="66"/>
      <c r="CT152" s="365">
        <f>IF(CR152=0,0,(CS152-CR152)/CR152*100)</f>
        <v>0</v>
      </c>
      <c r="CU152" s="66"/>
      <c r="CV152" s="66"/>
      <c r="CW152" s="365">
        <f>IF(CU152=0,0,(CV152-CU152)/CU152*100)</f>
        <v>0</v>
      </c>
      <c r="CX152" s="66"/>
      <c r="CY152" s="66"/>
      <c r="CZ152" s="365">
        <f>IF(CX152=0,0,(CY152-CX152)/CX152*100)</f>
        <v>0</v>
      </c>
      <c r="DA152" s="66"/>
      <c r="DB152" s="66"/>
      <c r="DC152" s="365">
        <f>IF(DA152=0,0,(DB152-DA152)/DA152*100)</f>
        <v>0</v>
      </c>
      <c r="DD152" s="66"/>
      <c r="DE152" s="66"/>
      <c r="DF152" s="365">
        <f>IF(DD152=0,0,(DE152-DD152)/DD152*100)</f>
        <v>0</v>
      </c>
      <c r="DG152" s="66"/>
      <c r="DH152" s="66"/>
      <c r="DI152" s="365">
        <f>IF(DG152=0,0,(DH152-DG152)/DG152*100)</f>
        <v>0</v>
      </c>
      <c r="DJ152" s="66"/>
      <c r="DK152" s="66"/>
      <c r="DL152" s="365">
        <f>IF(DJ152=0,0,(DK152-DJ152)/DJ152*100)</f>
        <v>0</v>
      </c>
      <c r="DM152" s="66"/>
      <c r="DN152" s="66"/>
      <c r="DO152" s="365">
        <f>IF(DM152=0,0,(DN152-DM152)/DM152*100)</f>
        <v>0</v>
      </c>
      <c r="DP152" s="66"/>
      <c r="DQ152" s="66"/>
      <c r="DR152" s="365">
        <f>IF(DP152=0,0,(DQ152-DP152)/DP152*100)</f>
        <v>0</v>
      </c>
      <c r="DS152" s="66"/>
      <c r="DT152" s="66"/>
      <c r="DU152" s="365">
        <f>IF(DS152=0,0,(DT152-DS152)/DS152*100)</f>
        <v>0</v>
      </c>
      <c r="DV152" s="66"/>
      <c r="DW152" s="66"/>
      <c r="DX152" s="365">
        <f>IF(DV152=0,0,(DW152-DV152)/DV152*100)</f>
        <v>0</v>
      </c>
      <c r="DY152" s="66"/>
      <c r="DZ152" s="66"/>
      <c r="EA152" s="365">
        <f>IF(DY152=0,0,(DZ152-DY152)/DY152*100)</f>
        <v>0</v>
      </c>
      <c r="EB152" s="66"/>
      <c r="EC152" s="66"/>
      <c r="ED152" s="365">
        <f>IF(EB152=0,0,(EC152-EB152)/EB152*100)</f>
        <v>0</v>
      </c>
      <c r="EE152" s="66"/>
      <c r="EF152" s="66"/>
      <c r="EG152" s="365">
        <f>IF(EE152=0,0,(EF152-EE152)/EE152*100)</f>
        <v>0</v>
      </c>
      <c r="EH152" s="66"/>
      <c r="EI152" s="66"/>
      <c r="EJ152" s="365">
        <f>IF(EH152=0,0,(EI152-EH152)/EH152*100)</f>
        <v>0</v>
      </c>
      <c r="EK152" s="66"/>
      <c r="EL152" s="66"/>
      <c r="EM152" s="365">
        <f>IF(EK152=0,0,(EL152-EK152)/EK152*100)</f>
        <v>0</v>
      </c>
      <c r="EN152" s="66"/>
      <c r="EO152" s="66"/>
      <c r="EP152" s="365">
        <f>IF(EN152=0,0,(EO152-EN152)/EN152*100)</f>
        <v>0</v>
      </c>
      <c r="EQ152" s="66"/>
      <c r="ER152" s="66"/>
      <c r="ES152" s="365">
        <f>IF(EQ152=0,0,(ER152-EQ152)/EQ152*100)</f>
        <v>0</v>
      </c>
      <c r="ET152" s="66"/>
      <c r="EU152" s="66"/>
      <c r="EV152" s="365">
        <f>IF(ET152=0,0,(EU152-ET152)/ET152*100)</f>
        <v>0</v>
      </c>
      <c r="EW152" s="66"/>
      <c r="EX152" s="66"/>
      <c r="EY152" s="365">
        <f>IF(EW152=0,0,(EX152-EW152)/EW152*100)</f>
        <v>0</v>
      </c>
      <c r="EZ152" s="66"/>
      <c r="FA152" s="66"/>
      <c r="FB152" s="365">
        <f>IF(EZ152=0,0,(FA152-EZ152)/EZ152*100)</f>
        <v>0</v>
      </c>
      <c r="FC152" s="66"/>
      <c r="FD152" s="66"/>
      <c r="FE152" s="365">
        <f>IF(FC152=0,0,(FD152-FC152)/FC152*100)</f>
        <v>0</v>
      </c>
      <c r="FF152" s="66"/>
      <c r="FG152" s="66"/>
      <c r="FH152" s="365">
        <f>IF(FF152=0,0,(FG152-FF152)/FF152*100)</f>
        <v>0</v>
      </c>
      <c r="FI152" s="66"/>
      <c r="FJ152" s="66"/>
      <c r="FK152" s="365">
        <f>IF(FI152=0,0,(FJ152-FI152)/FI152*100)</f>
        <v>0</v>
      </c>
      <c r="FL152" s="66"/>
      <c r="FM152" s="66"/>
      <c r="FN152" s="365">
        <f>IF(FL152=0,0,(FM152-FL152)/FL152*100)</f>
        <v>0</v>
      </c>
      <c r="FO152" s="66"/>
      <c r="FP152" s="66"/>
      <c r="FQ152" s="365">
        <f>IF(FO152=0,0,(FP152-FO152)/FO152*100)</f>
        <v>0</v>
      </c>
      <c r="FR152" s="66"/>
      <c r="FS152" s="66"/>
      <c r="FT152" s="365">
        <f>IF(FR152=0,0,(FS152-FR152)/FR152*100)</f>
        <v>0</v>
      </c>
      <c r="FU152" s="66"/>
      <c r="FV152" s="66"/>
      <c r="FW152" s="365">
        <f>IF(FU152=0,0,(FV152-FU152)/FU152*100)</f>
        <v>0</v>
      </c>
      <c r="FX152" s="497"/>
      <c r="FY152" s="497"/>
      <c r="FZ152" s="1181" t="s">
        <v>2162</v>
      </c>
      <c r="GA152" s="1181"/>
      <c r="GB152" s="1181"/>
      <c r="GC152" s="1181"/>
      <c r="GD152" s="1181"/>
    </row>
    <row s="1619" customFormat="1" customHeight="1" ht="15" hidden="1">
      <c r="A153" s="1461"/>
      <c r="B153" s="961" cm="1" t="str">
        <f t="array" ref="B153:B153">B152</f>
        <v>false</v>
      </c>
      <c r="C153" s="1322"/>
      <c r="D153" s="1291"/>
      <c r="E153" s="794">
        <v>15.8</v>
      </c>
      <c r="F153" s="919" cm="1" t="str">
        <f t="array" ref="F153:F153">OFFSET(G153,-1,-1)</f>
        <v>2</v>
      </c>
      <c r="G153" s="497"/>
      <c r="H153" s="497"/>
      <c r="I153" s="497"/>
      <c r="J153" s="1314"/>
      <c r="K153" s="1312" cm="1" t="str">
        <f t="array" ref="K153:K153">OFFSET(J153,-1,1)</f>
        <v>ТЭ.42.26824396.0005</v>
      </c>
      <c r="L153" s="1314"/>
      <c r="M153" s="1314"/>
      <c r="N153" s="1314"/>
      <c r="O153" s="1314"/>
      <c r="P153" s="1312"/>
      <c r="Q153" s="1312"/>
      <c r="R153" s="925"/>
      <c r="S153" s="497"/>
      <c r="T153" s="805" cm="1" t="str">
        <f t="array" ref="T153:T153">T152</f>
        <v>false</v>
      </c>
      <c r="U153" s="1461"/>
      <c r="V153" s="1461"/>
      <c r="W153" s="1461"/>
      <c r="X153" s="1461"/>
      <c r="Y153" s="1461"/>
      <c r="Z153" s="1461"/>
      <c r="AA153" s="497"/>
      <c r="AB153" s="1351" t="s">
        <v>2113</v>
      </c>
      <c r="AC153" s="367"/>
      <c r="AD153" s="368"/>
      <c r="AE153" s="368"/>
      <c r="AF153" s="368"/>
      <c r="AG153" s="368"/>
      <c r="AH153" s="368"/>
      <c r="AI153" s="368"/>
      <c r="AJ153" s="368"/>
      <c r="AK153" s="368"/>
      <c r="AL153" s="368"/>
      <c r="AM153" s="368"/>
      <c r="AN153" s="368"/>
      <c r="AO153" s="368"/>
      <c r="AP153" s="368"/>
      <c r="AQ153" s="368"/>
      <c r="AR153" s="368"/>
      <c r="AS153" s="368"/>
      <c r="AT153" s="368"/>
      <c r="AU153" s="368"/>
      <c r="AV153" s="368"/>
      <c r="AW153" s="368"/>
      <c r="AX153" s="368"/>
      <c r="AY153" s="368"/>
      <c r="AZ153" s="368"/>
      <c r="BA153" s="368"/>
      <c r="BB153" s="368"/>
      <c r="BC153" s="368"/>
      <c r="BD153" s="368"/>
      <c r="BE153" s="368"/>
      <c r="BF153" s="368"/>
      <c r="BG153" s="368"/>
      <c r="BH153" s="368"/>
      <c r="BI153" s="368"/>
      <c r="BJ153" s="368"/>
      <c r="BK153" s="368"/>
      <c r="BL153" s="368"/>
      <c r="BM153" s="368"/>
      <c r="BN153" s="368"/>
      <c r="BO153" s="368"/>
      <c r="BP153" s="368"/>
      <c r="BQ153" s="368"/>
      <c r="BR153" s="368"/>
      <c r="BS153" s="368"/>
      <c r="BT153" s="368"/>
      <c r="BU153" s="368"/>
      <c r="BV153" s="368"/>
      <c r="BW153" s="368"/>
      <c r="BX153" s="368"/>
      <c r="BY153" s="368"/>
      <c r="BZ153" s="368"/>
      <c r="CA153" s="368"/>
      <c r="CB153" s="368"/>
      <c r="CC153" s="368"/>
      <c r="CD153" s="368"/>
      <c r="CE153" s="368"/>
      <c r="CF153" s="368"/>
      <c r="CG153" s="368"/>
      <c r="CH153" s="368"/>
      <c r="CI153" s="368"/>
      <c r="CJ153" s="368"/>
      <c r="CK153" s="368"/>
      <c r="CL153" s="368"/>
      <c r="CM153" s="368"/>
      <c r="CN153" s="368"/>
      <c r="CO153" s="368"/>
      <c r="CP153" s="368"/>
      <c r="CQ153" s="368"/>
      <c r="CR153" s="368"/>
      <c r="CS153" s="368"/>
      <c r="CT153" s="368"/>
      <c r="CU153" s="368"/>
      <c r="CV153" s="368"/>
      <c r="CW153" s="368"/>
      <c r="CX153" s="368"/>
      <c r="CY153" s="368"/>
      <c r="CZ153" s="368"/>
      <c r="DA153" s="368"/>
      <c r="DB153" s="368"/>
      <c r="DC153" s="368"/>
      <c r="DD153" s="368"/>
      <c r="DE153" s="368"/>
      <c r="DF153" s="368"/>
      <c r="DG153" s="368"/>
      <c r="DH153" s="368"/>
      <c r="DI153" s="368"/>
      <c r="DJ153" s="368"/>
      <c r="DK153" s="368"/>
      <c r="DL153" s="368"/>
      <c r="DM153" s="368"/>
      <c r="DN153" s="368"/>
      <c r="DO153" s="368"/>
      <c r="DP153" s="368"/>
      <c r="DQ153" s="368"/>
      <c r="DR153" s="368"/>
      <c r="DS153" s="368"/>
      <c r="DT153" s="368"/>
      <c r="DU153" s="368"/>
      <c r="DV153" s="368"/>
      <c r="DW153" s="368"/>
      <c r="DX153" s="368"/>
      <c r="DY153" s="368"/>
      <c r="DZ153" s="368"/>
      <c r="EA153" s="368"/>
      <c r="EB153" s="368"/>
      <c r="EC153" s="368"/>
      <c r="ED153" s="368"/>
      <c r="EE153" s="368"/>
      <c r="EF153" s="368"/>
      <c r="EG153" s="368"/>
      <c r="EH153" s="368"/>
      <c r="EI153" s="368"/>
      <c r="EJ153" s="368"/>
      <c r="EK153" s="368"/>
      <c r="EL153" s="368"/>
      <c r="EM153" s="368"/>
      <c r="EN153" s="368"/>
      <c r="EO153" s="368"/>
      <c r="EP153" s="368"/>
      <c r="EQ153" s="368"/>
      <c r="ER153" s="368"/>
      <c r="ES153" s="368"/>
      <c r="ET153" s="368"/>
      <c r="EU153" s="368"/>
      <c r="EV153" s="368"/>
      <c r="EW153" s="368"/>
      <c r="EX153" s="368"/>
      <c r="EY153" s="368"/>
      <c r="EZ153" s="368"/>
      <c r="FA153" s="368"/>
      <c r="FB153" s="368"/>
      <c r="FC153" s="368"/>
      <c r="FD153" s="368"/>
      <c r="FE153" s="368"/>
      <c r="FF153" s="368"/>
      <c r="FG153" s="368"/>
      <c r="FH153" s="368"/>
      <c r="FI153" s="368"/>
      <c r="FJ153" s="368"/>
      <c r="FK153" s="368"/>
      <c r="FL153" s="368"/>
      <c r="FM153" s="368"/>
      <c r="FN153" s="368"/>
      <c r="FO153" s="368"/>
      <c r="FP153" s="368"/>
      <c r="FQ153" s="368"/>
      <c r="FR153" s="368"/>
      <c r="FS153" s="368"/>
      <c r="FT153" s="368"/>
      <c r="FU153" s="368"/>
      <c r="FV153" s="368"/>
      <c r="FW153" s="369"/>
      <c r="FX153" s="497"/>
      <c r="FY153" s="497"/>
      <c r="FZ153" s="1216"/>
      <c r="GA153" s="1181"/>
      <c r="GB153" s="1181"/>
      <c r="GC153" s="1181"/>
      <c r="GD153" s="1181"/>
    </row>
    <row s="1619" customFormat="1" customHeight="1" ht="15" hidden="1">
      <c r="A154" s="1461"/>
      <c r="B154" s="961" cm="1" t="str">
        <f t="array" ref="B154:B154">B153</f>
        <v>false</v>
      </c>
      <c r="C154" s="1322" t="s">
        <v>2163</v>
      </c>
      <c r="D154" s="1291" t="s">
        <v>2164</v>
      </c>
      <c r="E154" s="794">
        <v>15.8</v>
      </c>
      <c r="F154" s="919" cm="1" t="str">
        <f t="array" ref="F154:F154">OFFSET(G154,-1,-1)</f>
        <v>2</v>
      </c>
      <c r="G154" s="497"/>
      <c r="H154" s="210" t="s">
        <v>2135</v>
      </c>
      <c r="I154" s="210" t="s">
        <v>2110</v>
      </c>
      <c r="J154" s="1312"/>
      <c r="K154" s="1312" cm="1" t="str">
        <f t="array" ref="K154:K154">OFFSET(J154,-1,1)</f>
        <v>ТЭ.42.26824396.0005</v>
      </c>
      <c r="L154" s="1312"/>
      <c r="M154" s="1312" t="s">
        <v>1724</v>
      </c>
      <c r="N154" s="1312" t="s">
        <v>2111</v>
      </c>
      <c r="O154" s="1313" t="s">
        <v>2112</v>
      </c>
      <c r="P154" s="1312" t="s">
        <v>2136</v>
      </c>
      <c r="Q154" s="1312"/>
      <c r="R154" s="925"/>
      <c r="S154" s="497"/>
      <c r="T154" s="805" cm="1" t="str">
        <f t="array" ref="T154:T154">T153</f>
        <v>false</v>
      </c>
      <c r="U154" s="1461"/>
      <c r="V154" s="1461"/>
      <c r="W154" s="1461"/>
      <c r="X154" s="1461"/>
      <c r="Y154" s="1461"/>
      <c r="Z154" s="1461"/>
      <c r="AA154" s="497"/>
      <c r="AB154" s="273" t="s">
        <v>2137</v>
      </c>
      <c r="AC154" s="169" t="s">
        <v>895</v>
      </c>
      <c r="AD154" s="66">
        <f>IF(AD156=0,0,(AD155*AD156+AD157*AD158*IF(god=2026,9,6))/AD156)</f>
        <v>0</v>
      </c>
      <c r="AE154" s="66">
        <f>IF(AE156=0,0,(AE155*AE156+AE157*AE158*IF(god=2026,9,6))/AE156)</f>
        <v>0</v>
      </c>
      <c r="AF154" s="365">
        <f>IF(AD154=0,0,(AE154-AD154)/AD154*100)</f>
        <v>0</v>
      </c>
      <c r="AG154" s="366">
        <f>IF(AG156=0,0,(AG155*AG156+AG157*AG158*IF(god=2025,9,6))/AG156)</f>
        <v>0</v>
      </c>
      <c r="AH154" s="366">
        <f>IF(AH156=0,0,(AH155*AH156+AH157*AH158*IF(god=2025,9,6))/AH156)</f>
        <v>0</v>
      </c>
      <c r="AI154" s="365">
        <f>IF(AG154=0,0,(AH154-AG154)/AG154*100)</f>
        <v>0</v>
      </c>
      <c r="AJ154" s="366">
        <f>IF(AJ156=0,0,(AJ155*AJ156+AJ157*AJ158*6)/AJ156)</f>
        <v>0</v>
      </c>
      <c r="AK154" s="366">
        <f>IF(AK156=0,0,(AK155*AK156+AK157*AK158*6)/AK156)</f>
        <v>0</v>
      </c>
      <c r="AL154" s="365">
        <f>IF(AJ154=0,0,(AK154-AJ154)/AJ154*100)</f>
        <v>0</v>
      </c>
      <c r="AM154" s="366">
        <f>IF(AM156=0,0,(AM155*AM156+AM157*AM158*6)/AM156)</f>
        <v>0</v>
      </c>
      <c r="AN154" s="366">
        <f>IF(AN156=0,0,(AN155*AN156+AN157*AN158*6)/AN156)</f>
        <v>0</v>
      </c>
      <c r="AO154" s="365">
        <f>IF(AM154=0,0,(AN154-AM154)/AM154*100)</f>
        <v>0</v>
      </c>
      <c r="AP154" s="366">
        <f>IF(AP156=0,0,(AP155*AP156+AP157*AP158*6)/AP156)</f>
        <v>0</v>
      </c>
      <c r="AQ154" s="366">
        <f>IF(AQ156=0,0,(AQ155*AQ156+AQ157*AQ158*6)/AQ156)</f>
        <v>0</v>
      </c>
      <c r="AR154" s="365">
        <f>IF(AP154=0,0,(AQ154-AP154)/AP154*100)</f>
        <v>0</v>
      </c>
      <c r="AS154" s="66">
        <f>IF(AS156=0,0,(AS155*AS156+AS157*AS158*6)/AS156)</f>
        <v>0</v>
      </c>
      <c r="AT154" s="66">
        <f>IF(AT156=0,0,(AT155*AT156+AT157*AT158*6)/AT156)</f>
        <v>0</v>
      </c>
      <c r="AU154" s="365">
        <f>IF(AS154=0,0,(AT154-AS154)/AS154*100)</f>
        <v>0</v>
      </c>
      <c r="AV154" s="66">
        <f>IF(AV156=0,0,(AV155*AV156+AV157*AV158*6)/AV156)</f>
        <v>0</v>
      </c>
      <c r="AW154" s="66">
        <f>IF(AW156=0,0,(AW155*AW156+AW157*AW158*6)/AW156)</f>
        <v>0</v>
      </c>
      <c r="AX154" s="365">
        <f>IF(AV154=0,0,(AW154-AV154)/AV154*100)</f>
        <v>0</v>
      </c>
      <c r="AY154" s="66">
        <f>IF(AY156=0,0,(AY155*AY156+AY157*AY158*6)/AY156)</f>
        <v>0</v>
      </c>
      <c r="AZ154" s="66">
        <f>IF(AZ156=0,0,(AZ155*AZ156+AZ157*AZ158*6)/AZ156)</f>
        <v>0</v>
      </c>
      <c r="BA154" s="365">
        <f>IF(AY154=0,0,(AZ154-AY154)/AY154*100)</f>
        <v>0</v>
      </c>
      <c r="BB154" s="66">
        <f>IF(BB156=0,0,(BB155*BB156+BB157*BB158*6)/BB156)</f>
        <v>0</v>
      </c>
      <c r="BC154" s="66">
        <f>IF(BC156=0,0,(BC155*BC156+BC157*BC158*6)/BC156)</f>
        <v>0</v>
      </c>
      <c r="BD154" s="365">
        <f>IF(BB154=0,0,(BC154-BB154)/BB154*100)</f>
        <v>0</v>
      </c>
      <c r="BE154" s="66">
        <f>IF(BE156=0,0,(BE155*BE156+BE157*BE158*6)/BE156)</f>
        <v>0</v>
      </c>
      <c r="BF154" s="66">
        <f>IF(BF156=0,0,(BF155*BF156+BF157*BF158*6)/BF156)</f>
        <v>0</v>
      </c>
      <c r="BG154" s="365">
        <f>IF(BE154=0,0,(BF154-BE154)/BE154*100)</f>
        <v>0</v>
      </c>
      <c r="BH154" s="66">
        <f>IF(BH156=0,0,(BH155*BH156+BH157*BH158*6)/BH156)</f>
        <v>0</v>
      </c>
      <c r="BI154" s="66">
        <f>IF(BI156=0,0,(BI155*BI156+BI157*BI158*6)/BI156)</f>
        <v>0</v>
      </c>
      <c r="BJ154" s="365">
        <f>IF(BH154=0,0,(BI154-BH154)/BH154*100)</f>
        <v>0</v>
      </c>
      <c r="BK154" s="66">
        <f>IF(BK156=0,0,(BK155*BK156+BK157*BK158*6)/BK156)</f>
        <v>0</v>
      </c>
      <c r="BL154" s="66">
        <f>IF(BL156=0,0,(BL155*BL156+BL157*BL158*6)/BL156)</f>
        <v>0</v>
      </c>
      <c r="BM154" s="365">
        <f>IF(BK154=0,0,(BL154-BK154)/BK154*100)</f>
        <v>0</v>
      </c>
      <c r="BN154" s="66">
        <f>IF(BN156=0,0,(BN155*BN156+BN157*BN158*6)/BN156)</f>
        <v>0</v>
      </c>
      <c r="BO154" s="66">
        <f>IF(BO156=0,0,(BO155*BO156+BO157*BO158*6)/BO156)</f>
        <v>0</v>
      </c>
      <c r="BP154" s="365">
        <f>IF(BN154=0,0,(BO154-BN154)/BN154*100)</f>
        <v>0</v>
      </c>
      <c r="BQ154" s="66">
        <f>IF(BQ156=0,0,(BQ155*BQ156+BQ157*BQ158*6)/BQ156)</f>
        <v>0</v>
      </c>
      <c r="BR154" s="66">
        <f>IF(BR156=0,0,(BR155*BR156+BR157*BR158*6)/BR156)</f>
        <v>0</v>
      </c>
      <c r="BS154" s="365">
        <f>IF(BQ154=0,0,(BR154-BQ154)/BQ154*100)</f>
        <v>0</v>
      </c>
      <c r="BT154" s="66">
        <f>IF(BT156=0,0,(BT155*BT156+BT157*BT158*6)/BT156)</f>
        <v>0</v>
      </c>
      <c r="BU154" s="66">
        <f>IF(BU156=0,0,(BU155*BU156+BU157*BU158*6)/BU156)</f>
        <v>0</v>
      </c>
      <c r="BV154" s="365">
        <f>IF(BT154=0,0,(BU154-BT154)/BT154*100)</f>
        <v>0</v>
      </c>
      <c r="BW154" s="66">
        <f>IF(BW156=0,0,(BW155*BW156+BW157*BW158*6)/BW156)</f>
        <v>0</v>
      </c>
      <c r="BX154" s="66">
        <f>IF(BX156=0,0,(BX155*BX156+BX157*BX158*6)/BX156)</f>
        <v>0</v>
      </c>
      <c r="BY154" s="365">
        <f>IF(BW154=0,0,(BX154-BW154)/BW154*100)</f>
        <v>0</v>
      </c>
      <c r="BZ154" s="66">
        <f>IF(BZ156=0,0,(BZ155*BZ156+BZ157*BZ158*6)/BZ156)</f>
        <v>0</v>
      </c>
      <c r="CA154" s="66">
        <f>IF(CA156=0,0,(CA155*CA156+CA157*CA158*6)/CA156)</f>
        <v>0</v>
      </c>
      <c r="CB154" s="365">
        <f>IF(BZ154=0,0,(CA154-BZ154)/BZ154*100)</f>
        <v>0</v>
      </c>
      <c r="CC154" s="66">
        <f>IF(CC156=0,0,(CC155*CC156+CC157*CC158*6)/CC156)</f>
        <v>0</v>
      </c>
      <c r="CD154" s="66">
        <f>IF(CD156=0,0,(CD155*CD156+CD157*CD158*6)/CD156)</f>
        <v>0</v>
      </c>
      <c r="CE154" s="365">
        <f>IF(CC154=0,0,(CD154-CC154)/CC154*100)</f>
        <v>0</v>
      </c>
      <c r="CF154" s="66">
        <f>IF(CF156=0,0,(CF155*CF156+CF157*CF158*6)/CF156)</f>
        <v>0</v>
      </c>
      <c r="CG154" s="66">
        <f>IF(CG156=0,0,(CG155*CG156+CG157*CG158*6)/CG156)</f>
        <v>0</v>
      </c>
      <c r="CH154" s="365">
        <f>IF(CF154=0,0,(CG154-CF154)/CF154*100)</f>
        <v>0</v>
      </c>
      <c r="CI154" s="66">
        <f>IF(CI156=0,0,(CI155*CI156+CI157*CI158*6)/CI156)</f>
        <v>0</v>
      </c>
      <c r="CJ154" s="66">
        <f>IF(CJ156=0,0,(CJ155*CJ156+CJ157*CJ158*6)/CJ156)</f>
        <v>0</v>
      </c>
      <c r="CK154" s="365">
        <f>IF(CI154=0,0,(CJ154-CI154)/CI154*100)</f>
        <v>0</v>
      </c>
      <c r="CL154" s="66">
        <f>IF(CL156=0,0,(CL155*CL156+CL157*CL158*6)/CL156)</f>
        <v>0</v>
      </c>
      <c r="CM154" s="66">
        <f>IF(CM156=0,0,(CM155*CM156+CM157*CM158*6)/CM156)</f>
        <v>0</v>
      </c>
      <c r="CN154" s="365">
        <f>IF(CL154=0,0,(CM154-CL154)/CL154*100)</f>
        <v>0</v>
      </c>
      <c r="CO154" s="66">
        <f>IF(CO156=0,0,(CO155*CO156+CO157*CO158*6)/CO156)</f>
        <v>0</v>
      </c>
      <c r="CP154" s="66">
        <f>IF(CP156=0,0,(CP155*CP156+CP157*CP158*6)/CP156)</f>
        <v>0</v>
      </c>
      <c r="CQ154" s="365">
        <f>IF(CO154=0,0,(CP154-CO154)/CO154*100)</f>
        <v>0</v>
      </c>
      <c r="CR154" s="66">
        <f>IF(CR156=0,0,(CR155*CR156+CR157*CR158*6)/CR156)</f>
        <v>0</v>
      </c>
      <c r="CS154" s="66">
        <f>IF(CS156=0,0,(CS155*CS156+CS157*CS158*6)/CS156)</f>
        <v>0</v>
      </c>
      <c r="CT154" s="365">
        <f>IF(CR154=0,0,(CS154-CR154)/CR154*100)</f>
        <v>0</v>
      </c>
      <c r="CU154" s="66">
        <f>IF(CU156=0,0,(CU155*CU156+CU157*CU158*6)/CU156)</f>
        <v>0</v>
      </c>
      <c r="CV154" s="66">
        <f>IF(CV156=0,0,(CV155*CV156+CV157*CV158*6)/CV156)</f>
        <v>0</v>
      </c>
      <c r="CW154" s="365">
        <f>IF(CU154=0,0,(CV154-CU154)/CU154*100)</f>
        <v>0</v>
      </c>
      <c r="CX154" s="66">
        <f>IF(CX156=0,0,(CX155*CX156+CX157*CX158*6)/CX156)</f>
        <v>0</v>
      </c>
      <c r="CY154" s="66">
        <f>IF(CY156=0,0,(CY155*CY156+CY157*CY158*6)/CY156)</f>
        <v>0</v>
      </c>
      <c r="CZ154" s="365">
        <f>IF(CX154=0,0,(CY154-CX154)/CX154*100)</f>
        <v>0</v>
      </c>
      <c r="DA154" s="66">
        <f>IF(DA156=0,0,(DA155*DA156+DA157*DA158*6)/DA156)</f>
        <v>0</v>
      </c>
      <c r="DB154" s="66">
        <f>IF(DB156=0,0,(DB155*DB156+DB157*DB158*6)/DB156)</f>
        <v>0</v>
      </c>
      <c r="DC154" s="365">
        <f>IF(DA154=0,0,(DB154-DA154)/DA154*100)</f>
        <v>0</v>
      </c>
      <c r="DD154" s="66">
        <f>IF(DD156=0,0,(DD155*DD156+DD157*DD158*6)/DD156)</f>
        <v>0</v>
      </c>
      <c r="DE154" s="66">
        <f>IF(DE156=0,0,(DE155*DE156+DE157*DE158*6)/DE156)</f>
        <v>0</v>
      </c>
      <c r="DF154" s="365">
        <f>IF(DD154=0,0,(DE154-DD154)/DD154*100)</f>
        <v>0</v>
      </c>
      <c r="DG154" s="66">
        <f>IF(DG156=0,0,(DG155*DG156+DG157*DG158*6)/DG156)</f>
        <v>0</v>
      </c>
      <c r="DH154" s="66">
        <f>IF(DH156=0,0,(DH155*DH156+DH157*DH158*6)/DH156)</f>
        <v>0</v>
      </c>
      <c r="DI154" s="365">
        <f>IF(DG154=0,0,(DH154-DG154)/DG154*100)</f>
        <v>0</v>
      </c>
      <c r="DJ154" s="66">
        <f>IF(DJ156=0,0,(DJ155*DJ156+DJ157*DJ158*6)/DJ156)</f>
        <v>0</v>
      </c>
      <c r="DK154" s="66">
        <f>IF(DK156=0,0,(DK155*DK156+DK157*DK158*6)/DK156)</f>
        <v>0</v>
      </c>
      <c r="DL154" s="365">
        <f>IF(DJ154=0,0,(DK154-DJ154)/DJ154*100)</f>
        <v>0</v>
      </c>
      <c r="DM154" s="66">
        <f>IF(DM156=0,0,(DM155*DM156+DM157*DM158*6)/DM156)</f>
        <v>0</v>
      </c>
      <c r="DN154" s="66">
        <f>IF(DN156=0,0,(DN155*DN156+DN157*DN158*6)/DN156)</f>
        <v>0</v>
      </c>
      <c r="DO154" s="365">
        <f>IF(DM154=0,0,(DN154-DM154)/DM154*100)</f>
        <v>0</v>
      </c>
      <c r="DP154" s="66">
        <f>IF(DP156=0,0,(DP155*DP156+DP157*DP158*6)/DP156)</f>
        <v>0</v>
      </c>
      <c r="DQ154" s="66">
        <f>IF(DQ156=0,0,(DQ155*DQ156+DQ157*DQ158*6)/DQ156)</f>
        <v>0</v>
      </c>
      <c r="DR154" s="365">
        <f>IF(DP154=0,0,(DQ154-DP154)/DP154*100)</f>
        <v>0</v>
      </c>
      <c r="DS154" s="66">
        <f>IF(DS156=0,0,(DS155*DS156+DS157*DS158*6)/DS156)</f>
        <v>0</v>
      </c>
      <c r="DT154" s="66">
        <f>IF(DT156=0,0,(DT155*DT156+DT157*DT158*6)/DT156)</f>
        <v>0</v>
      </c>
      <c r="DU154" s="365">
        <f>IF(DS154=0,0,(DT154-DS154)/DS154*100)</f>
        <v>0</v>
      </c>
      <c r="DV154" s="66">
        <f>IF(DV156=0,0,(DV155*DV156+DV157*DV158*6)/DV156)</f>
        <v>0</v>
      </c>
      <c r="DW154" s="66">
        <f>IF(DW156=0,0,(DW155*DW156+DW157*DW158*6)/DW156)</f>
        <v>0</v>
      </c>
      <c r="DX154" s="365">
        <f>IF(DV154=0,0,(DW154-DV154)/DV154*100)</f>
        <v>0</v>
      </c>
      <c r="DY154" s="66">
        <f>IF(DY156=0,0,(DY155*DY156+DY157*DY158*6)/DY156)</f>
        <v>0</v>
      </c>
      <c r="DZ154" s="66">
        <f>IF(DZ156=0,0,(DZ155*DZ156+DZ157*DZ158*6)/DZ156)</f>
        <v>0</v>
      </c>
      <c r="EA154" s="365">
        <f>IF(DY154=0,0,(DZ154-DY154)/DY154*100)</f>
        <v>0</v>
      </c>
      <c r="EB154" s="66">
        <f>IF(EB156=0,0,(EB155*EB156+EB157*EB158*6)/EB156)</f>
        <v>0</v>
      </c>
      <c r="EC154" s="66">
        <f>IF(EC156=0,0,(EC155*EC156+EC157*EC158*6)/EC156)</f>
        <v>0</v>
      </c>
      <c r="ED154" s="365">
        <f>IF(EB154=0,0,(EC154-EB154)/EB154*100)</f>
        <v>0</v>
      </c>
      <c r="EE154" s="66">
        <f>IF(EE156=0,0,(EE155*EE156+EE157*EE158*6)/EE156)</f>
        <v>0</v>
      </c>
      <c r="EF154" s="66">
        <f>IF(EF156=0,0,(EF155*EF156+EF157*EF158*6)/EF156)</f>
        <v>0</v>
      </c>
      <c r="EG154" s="365">
        <f>IF(EE154=0,0,(EF154-EE154)/EE154*100)</f>
        <v>0</v>
      </c>
      <c r="EH154" s="66">
        <f>IF(EH156=0,0,(EH155*EH156+EH157*EH158*6)/EH156)</f>
        <v>0</v>
      </c>
      <c r="EI154" s="66">
        <f>IF(EI156=0,0,(EI155*EI156+EI157*EI158*6)/EI156)</f>
        <v>0</v>
      </c>
      <c r="EJ154" s="365">
        <f>IF(EH154=0,0,(EI154-EH154)/EH154*100)</f>
        <v>0</v>
      </c>
      <c r="EK154" s="66">
        <f>IF(EK156=0,0,(EK155*EK156+EK157*EK158*6)/EK156)</f>
        <v>0</v>
      </c>
      <c r="EL154" s="66">
        <f>IF(EL156=0,0,(EL155*EL156+EL157*EL158*6)/EL156)</f>
        <v>0</v>
      </c>
      <c r="EM154" s="365">
        <f>IF(EK154=0,0,(EL154-EK154)/EK154*100)</f>
        <v>0</v>
      </c>
      <c r="EN154" s="66">
        <f>IF(EN156=0,0,(EN155*EN156+EN157*EN158*6)/EN156)</f>
        <v>0</v>
      </c>
      <c r="EO154" s="66">
        <f>IF(EO156=0,0,(EO155*EO156+EO157*EO158*6)/EO156)</f>
        <v>0</v>
      </c>
      <c r="EP154" s="365">
        <f>IF(EN154=0,0,(EO154-EN154)/EN154*100)</f>
        <v>0</v>
      </c>
      <c r="EQ154" s="66">
        <f>IF(EQ156=0,0,(EQ155*EQ156+EQ157*EQ158*6)/EQ156)</f>
        <v>0</v>
      </c>
      <c r="ER154" s="66">
        <f>IF(ER156=0,0,(ER155*ER156+ER157*ER158*6)/ER156)</f>
        <v>0</v>
      </c>
      <c r="ES154" s="365">
        <f>IF(EQ154=0,0,(ER154-EQ154)/EQ154*100)</f>
        <v>0</v>
      </c>
      <c r="ET154" s="66">
        <f>IF(ET156=0,0,(ET155*ET156+ET157*ET158*6)/ET156)</f>
        <v>0</v>
      </c>
      <c r="EU154" s="66">
        <f>IF(EU156=0,0,(EU155*EU156+EU157*EU158*6)/EU156)</f>
        <v>0</v>
      </c>
      <c r="EV154" s="365">
        <f>IF(ET154=0,0,(EU154-ET154)/ET154*100)</f>
        <v>0</v>
      </c>
      <c r="EW154" s="66">
        <f>IF(EW156=0,0,(EW155*EW156+EW157*EW158*6)/EW156)</f>
        <v>0</v>
      </c>
      <c r="EX154" s="66">
        <f>IF(EX156=0,0,(EX155*EX156+EX157*EX158*6)/EX156)</f>
        <v>0</v>
      </c>
      <c r="EY154" s="365">
        <f>IF(EW154=0,0,(EX154-EW154)/EW154*100)</f>
        <v>0</v>
      </c>
      <c r="EZ154" s="66">
        <f>IF(EZ156=0,0,(EZ155*EZ156+EZ157*EZ158*6)/EZ156)</f>
        <v>0</v>
      </c>
      <c r="FA154" s="66">
        <f>IF(FA156=0,0,(FA155*FA156+FA157*FA158*6)/FA156)</f>
        <v>0</v>
      </c>
      <c r="FB154" s="365">
        <f>IF(EZ154=0,0,(FA154-EZ154)/EZ154*100)</f>
        <v>0</v>
      </c>
      <c r="FC154" s="66">
        <f>IF(FC156=0,0,(FC155*FC156+FC157*FC158*6)/FC156)</f>
        <v>0</v>
      </c>
      <c r="FD154" s="66">
        <f>IF(FD156=0,0,(FD155*FD156+FD157*FD158*6)/FD156)</f>
        <v>0</v>
      </c>
      <c r="FE154" s="365">
        <f>IF(FC154=0,0,(FD154-FC154)/FC154*100)</f>
        <v>0</v>
      </c>
      <c r="FF154" s="66">
        <f>IF(FF156=0,0,(FF155*FF156+FF157*FF158*6)/FF156)</f>
        <v>0</v>
      </c>
      <c r="FG154" s="66">
        <f>IF(FG156=0,0,(FG155*FG156+FG157*FG158*6)/FG156)</f>
        <v>0</v>
      </c>
      <c r="FH154" s="365">
        <f>IF(FF154=0,0,(FG154-FF154)/FF154*100)</f>
        <v>0</v>
      </c>
      <c r="FI154" s="66">
        <f>IF(FI156=0,0,(FI155*FI156+FI157*FI158*6)/FI156)</f>
        <v>0</v>
      </c>
      <c r="FJ154" s="66">
        <f>IF(FJ156=0,0,(FJ155*FJ156+FJ157*FJ158*6)/FJ156)</f>
        <v>0</v>
      </c>
      <c r="FK154" s="365">
        <f>IF(FI154=0,0,(FJ154-FI154)/FI154*100)</f>
        <v>0</v>
      </c>
      <c r="FL154" s="66">
        <f>IF(FL156=0,0,(FL155*FL156+FL157*FL158*6)/FL156)</f>
        <v>0</v>
      </c>
      <c r="FM154" s="66">
        <f>IF(FM156=0,0,(FM155*FM156+FM157*FM158*6)/FM156)</f>
        <v>0</v>
      </c>
      <c r="FN154" s="365">
        <f>IF(FL154=0,0,(FM154-FL154)/FL154*100)</f>
        <v>0</v>
      </c>
      <c r="FO154" s="66">
        <f>IF(FO156=0,0,(FO155*FO156+FO157*FO158*6)/FO156)</f>
        <v>0</v>
      </c>
      <c r="FP154" s="66">
        <f>IF(FP156=0,0,(FP155*FP156+FP157*FP158*6)/FP156)</f>
        <v>0</v>
      </c>
      <c r="FQ154" s="365">
        <f>IF(FO154=0,0,(FP154-FO154)/FO154*100)</f>
        <v>0</v>
      </c>
      <c r="FR154" s="66">
        <f>IF(FR156=0,0,(FR155*FR156+FR157*FR158*6)/FR156)</f>
        <v>0</v>
      </c>
      <c r="FS154" s="66">
        <f>IF(FS156=0,0,(FS155*FS156+FS157*FS158*6)/FS156)</f>
        <v>0</v>
      </c>
      <c r="FT154" s="365">
        <f>IF(FR154=0,0,(FS154-FR154)/FR154*100)</f>
        <v>0</v>
      </c>
      <c r="FU154" s="66">
        <f>IF(FU156=0,0,(FU155*FU156+FU157*FU158*6)/FU156)</f>
        <v>0</v>
      </c>
      <c r="FV154" s="66">
        <f>IF(FV156=0,0,(FV155*FV156+FV157*FV158*6)/FV156)</f>
        <v>0</v>
      </c>
      <c r="FW154" s="365">
        <f>IF(FU154=0,0,(FV154-FU154)/FU154*100)</f>
        <v>0</v>
      </c>
      <c r="FX154" s="497"/>
      <c r="FY154" s="497"/>
      <c r="FZ154" s="1181" t="s">
        <v>2165</v>
      </c>
      <c r="GA154" s="1181"/>
      <c r="GB154" s="1181"/>
      <c r="GC154" s="1181"/>
      <c r="GD154" s="1181"/>
    </row>
    <row s="1619" customFormat="1" customHeight="1" ht="15" hidden="1">
      <c r="A155" s="1461"/>
      <c r="B155" s="961" cm="1" t="str">
        <f t="array" ref="B155:B155">B154</f>
        <v>false</v>
      </c>
      <c r="C155" s="1322" t="s">
        <v>2166</v>
      </c>
      <c r="D155" s="1291" t="s">
        <v>2167</v>
      </c>
      <c r="E155" s="794">
        <v>15.8</v>
      </c>
      <c r="F155" s="919" cm="1" t="str">
        <f t="array" ref="F155:F155">OFFSET(G155,-1,-1)</f>
        <v>2</v>
      </c>
      <c r="G155" s="497"/>
      <c r="H155" s="210" t="s">
        <v>2141</v>
      </c>
      <c r="I155" s="210" t="s">
        <v>2110</v>
      </c>
      <c r="J155" s="1312"/>
      <c r="K155" s="1312" cm="1" t="str">
        <f t="array" ref="K155:K155">OFFSET(J155,-1,1)</f>
        <v>ТЭ.42.26824396.0005</v>
      </c>
      <c r="L155" s="1312"/>
      <c r="M155" s="1312" t="s">
        <v>1724</v>
      </c>
      <c r="N155" s="1312" t="s">
        <v>2111</v>
      </c>
      <c r="O155" s="1313" t="s">
        <v>2112</v>
      </c>
      <c r="P155" s="1312" t="s">
        <v>2142</v>
      </c>
      <c r="Q155" s="1312"/>
      <c r="R155" s="925"/>
      <c r="S155" s="497"/>
      <c r="T155" s="805" cm="1" t="str">
        <f t="array" ref="T155:T155">T154</f>
        <v>false</v>
      </c>
      <c r="U155" s="1461"/>
      <c r="V155" s="1461"/>
      <c r="W155" s="1461"/>
      <c r="X155" s="1461"/>
      <c r="Y155" s="1461"/>
      <c r="Z155" s="1461"/>
      <c r="AA155" s="497"/>
      <c r="AB155" s="273" t="s">
        <v>2143</v>
      </c>
      <c r="AC155" s="169" t="s">
        <v>895</v>
      </c>
      <c r="AD155" s="66"/>
      <c r="AE155" s="66"/>
      <c r="AF155" s="365">
        <f>IF(AD155=0,0,(AE155-AD155)/AD155*100)</f>
        <v>0</v>
      </c>
      <c r="AG155" s="366"/>
      <c r="AH155" s="366"/>
      <c r="AI155" s="365">
        <f>IF(AG155=0,0,(AH155-AG155)/AG155*100)</f>
        <v>0</v>
      </c>
      <c r="AJ155" s="366"/>
      <c r="AK155" s="366"/>
      <c r="AL155" s="365">
        <f>IF(AJ155=0,0,(AK155-AJ155)/AJ155*100)</f>
        <v>0</v>
      </c>
      <c r="AM155" s="366"/>
      <c r="AN155" s="366"/>
      <c r="AO155" s="365">
        <f>IF(AM155=0,0,(AN155-AM155)/AM155*100)</f>
        <v>0</v>
      </c>
      <c r="AP155" s="366"/>
      <c r="AQ155" s="366"/>
      <c r="AR155" s="365">
        <f>IF(AP155=0,0,(AQ155-AP155)/AP155*100)</f>
        <v>0</v>
      </c>
      <c r="AS155" s="66"/>
      <c r="AT155" s="66"/>
      <c r="AU155" s="365">
        <f>IF(AS155=0,0,(AT155-AS155)/AS155*100)</f>
        <v>0</v>
      </c>
      <c r="AV155" s="66"/>
      <c r="AW155" s="66"/>
      <c r="AX155" s="365">
        <f>IF(AV155=0,0,(AW155-AV155)/AV155*100)</f>
        <v>0</v>
      </c>
      <c r="AY155" s="66"/>
      <c r="AZ155" s="66"/>
      <c r="BA155" s="365">
        <f>IF(AY155=0,0,(AZ155-AY155)/AY155*100)</f>
        <v>0</v>
      </c>
      <c r="BB155" s="66"/>
      <c r="BC155" s="66"/>
      <c r="BD155" s="365">
        <f>IF(BB155=0,0,(BC155-BB155)/BB155*100)</f>
        <v>0</v>
      </c>
      <c r="BE155" s="66"/>
      <c r="BF155" s="66"/>
      <c r="BG155" s="365">
        <f>IF(BE155=0,0,(BF155-BE155)/BE155*100)</f>
        <v>0</v>
      </c>
      <c r="BH155" s="66"/>
      <c r="BI155" s="66"/>
      <c r="BJ155" s="365">
        <f>IF(BH155=0,0,(BI155-BH155)/BH155*100)</f>
        <v>0</v>
      </c>
      <c r="BK155" s="66"/>
      <c r="BL155" s="66"/>
      <c r="BM155" s="365">
        <f>IF(BK155=0,0,(BL155-BK155)/BK155*100)</f>
        <v>0</v>
      </c>
      <c r="BN155" s="66"/>
      <c r="BO155" s="66"/>
      <c r="BP155" s="365">
        <f>IF(BN155=0,0,(BO155-BN155)/BN155*100)</f>
        <v>0</v>
      </c>
      <c r="BQ155" s="66"/>
      <c r="BR155" s="66"/>
      <c r="BS155" s="365">
        <f>IF(BQ155=0,0,(BR155-BQ155)/BQ155*100)</f>
        <v>0</v>
      </c>
      <c r="BT155" s="66"/>
      <c r="BU155" s="66"/>
      <c r="BV155" s="365">
        <f>IF(BT155=0,0,(BU155-BT155)/BT155*100)</f>
        <v>0</v>
      </c>
      <c r="BW155" s="66"/>
      <c r="BX155" s="66"/>
      <c r="BY155" s="365">
        <f>IF(BW155=0,0,(BX155-BW155)/BW155*100)</f>
        <v>0</v>
      </c>
      <c r="BZ155" s="66"/>
      <c r="CA155" s="66"/>
      <c r="CB155" s="365">
        <f>IF(BZ155=0,0,(CA155-BZ155)/BZ155*100)</f>
        <v>0</v>
      </c>
      <c r="CC155" s="66"/>
      <c r="CD155" s="66"/>
      <c r="CE155" s="365">
        <f>IF(CC155=0,0,(CD155-CC155)/CC155*100)</f>
        <v>0</v>
      </c>
      <c r="CF155" s="66"/>
      <c r="CG155" s="66"/>
      <c r="CH155" s="365">
        <f>IF(CF155=0,0,(CG155-CF155)/CF155*100)</f>
        <v>0</v>
      </c>
      <c r="CI155" s="66"/>
      <c r="CJ155" s="66"/>
      <c r="CK155" s="365">
        <f>IF(CI155=0,0,(CJ155-CI155)/CI155*100)</f>
        <v>0</v>
      </c>
      <c r="CL155" s="66"/>
      <c r="CM155" s="66"/>
      <c r="CN155" s="365">
        <f>IF(CL155=0,0,(CM155-CL155)/CL155*100)</f>
        <v>0</v>
      </c>
      <c r="CO155" s="66"/>
      <c r="CP155" s="66"/>
      <c r="CQ155" s="365">
        <f>IF(CO155=0,0,(CP155-CO155)/CO155*100)</f>
        <v>0</v>
      </c>
      <c r="CR155" s="66"/>
      <c r="CS155" s="66"/>
      <c r="CT155" s="365">
        <f>IF(CR155=0,0,(CS155-CR155)/CR155*100)</f>
        <v>0</v>
      </c>
      <c r="CU155" s="66"/>
      <c r="CV155" s="66"/>
      <c r="CW155" s="365">
        <f>IF(CU155=0,0,(CV155-CU155)/CU155*100)</f>
        <v>0</v>
      </c>
      <c r="CX155" s="66"/>
      <c r="CY155" s="66"/>
      <c r="CZ155" s="365">
        <f>IF(CX155=0,0,(CY155-CX155)/CX155*100)</f>
        <v>0</v>
      </c>
      <c r="DA155" s="66"/>
      <c r="DB155" s="66"/>
      <c r="DC155" s="365">
        <f>IF(DA155=0,0,(DB155-DA155)/DA155*100)</f>
        <v>0</v>
      </c>
      <c r="DD155" s="66"/>
      <c r="DE155" s="66"/>
      <c r="DF155" s="365">
        <f>IF(DD155=0,0,(DE155-DD155)/DD155*100)</f>
        <v>0</v>
      </c>
      <c r="DG155" s="66"/>
      <c r="DH155" s="66"/>
      <c r="DI155" s="365">
        <f>IF(DG155=0,0,(DH155-DG155)/DG155*100)</f>
        <v>0</v>
      </c>
      <c r="DJ155" s="66"/>
      <c r="DK155" s="66"/>
      <c r="DL155" s="365">
        <f>IF(DJ155=0,0,(DK155-DJ155)/DJ155*100)</f>
        <v>0</v>
      </c>
      <c r="DM155" s="66"/>
      <c r="DN155" s="66"/>
      <c r="DO155" s="365">
        <f>IF(DM155=0,0,(DN155-DM155)/DM155*100)</f>
        <v>0</v>
      </c>
      <c r="DP155" s="66"/>
      <c r="DQ155" s="66"/>
      <c r="DR155" s="365">
        <f>IF(DP155=0,0,(DQ155-DP155)/DP155*100)</f>
        <v>0</v>
      </c>
      <c r="DS155" s="66"/>
      <c r="DT155" s="66"/>
      <c r="DU155" s="365">
        <f>IF(DS155=0,0,(DT155-DS155)/DS155*100)</f>
        <v>0</v>
      </c>
      <c r="DV155" s="66"/>
      <c r="DW155" s="66"/>
      <c r="DX155" s="365">
        <f>IF(DV155=0,0,(DW155-DV155)/DV155*100)</f>
        <v>0</v>
      </c>
      <c r="DY155" s="66"/>
      <c r="DZ155" s="66"/>
      <c r="EA155" s="365">
        <f>IF(DY155=0,0,(DZ155-DY155)/DY155*100)</f>
        <v>0</v>
      </c>
      <c r="EB155" s="66"/>
      <c r="EC155" s="66"/>
      <c r="ED155" s="365">
        <f>IF(EB155=0,0,(EC155-EB155)/EB155*100)</f>
        <v>0</v>
      </c>
      <c r="EE155" s="66"/>
      <c r="EF155" s="66"/>
      <c r="EG155" s="365">
        <f>IF(EE155=0,0,(EF155-EE155)/EE155*100)</f>
        <v>0</v>
      </c>
      <c r="EH155" s="66"/>
      <c r="EI155" s="66"/>
      <c r="EJ155" s="365">
        <f>IF(EH155=0,0,(EI155-EH155)/EH155*100)</f>
        <v>0</v>
      </c>
      <c r="EK155" s="66"/>
      <c r="EL155" s="66"/>
      <c r="EM155" s="365">
        <f>IF(EK155=0,0,(EL155-EK155)/EK155*100)</f>
        <v>0</v>
      </c>
      <c r="EN155" s="66"/>
      <c r="EO155" s="66"/>
      <c r="EP155" s="365">
        <f>IF(EN155=0,0,(EO155-EN155)/EN155*100)</f>
        <v>0</v>
      </c>
      <c r="EQ155" s="66"/>
      <c r="ER155" s="66"/>
      <c r="ES155" s="365">
        <f>IF(EQ155=0,0,(ER155-EQ155)/EQ155*100)</f>
        <v>0</v>
      </c>
      <c r="ET155" s="66"/>
      <c r="EU155" s="66"/>
      <c r="EV155" s="365">
        <f>IF(ET155=0,0,(EU155-ET155)/ET155*100)</f>
        <v>0</v>
      </c>
      <c r="EW155" s="66"/>
      <c r="EX155" s="66"/>
      <c r="EY155" s="365">
        <f>IF(EW155=0,0,(EX155-EW155)/EW155*100)</f>
        <v>0</v>
      </c>
      <c r="EZ155" s="66"/>
      <c r="FA155" s="66"/>
      <c r="FB155" s="365">
        <f>IF(EZ155=0,0,(FA155-EZ155)/EZ155*100)</f>
        <v>0</v>
      </c>
      <c r="FC155" s="66"/>
      <c r="FD155" s="66"/>
      <c r="FE155" s="365">
        <f>IF(FC155=0,0,(FD155-FC155)/FC155*100)</f>
        <v>0</v>
      </c>
      <c r="FF155" s="66"/>
      <c r="FG155" s="66"/>
      <c r="FH155" s="365">
        <f>IF(FF155=0,0,(FG155-FF155)/FF155*100)</f>
        <v>0</v>
      </c>
      <c r="FI155" s="66"/>
      <c r="FJ155" s="66"/>
      <c r="FK155" s="365">
        <f>IF(FI155=0,0,(FJ155-FI155)/FI155*100)</f>
        <v>0</v>
      </c>
      <c r="FL155" s="66"/>
      <c r="FM155" s="66"/>
      <c r="FN155" s="365">
        <f>IF(FL155=0,0,(FM155-FL155)/FL155*100)</f>
        <v>0</v>
      </c>
      <c r="FO155" s="66"/>
      <c r="FP155" s="66"/>
      <c r="FQ155" s="365">
        <f>IF(FO155=0,0,(FP155-FO155)/FO155*100)</f>
        <v>0</v>
      </c>
      <c r="FR155" s="66"/>
      <c r="FS155" s="66"/>
      <c r="FT155" s="365">
        <f>IF(FR155=0,0,(FS155-FR155)/FR155*100)</f>
        <v>0</v>
      </c>
      <c r="FU155" s="66"/>
      <c r="FV155" s="66"/>
      <c r="FW155" s="365">
        <f>IF(FU155=0,0,(FV155-FU155)/FU155*100)</f>
        <v>0</v>
      </c>
      <c r="FX155" s="497"/>
      <c r="FY155" s="497"/>
      <c r="FZ155" s="1181" t="s">
        <v>2168</v>
      </c>
      <c r="GA155" s="1181"/>
      <c r="GB155" s="1181"/>
      <c r="GC155" s="1181"/>
      <c r="GD155" s="1181"/>
    </row>
    <row s="1619" customFormat="1" customHeight="1" ht="15" hidden="1">
      <c r="A156" s="1461"/>
      <c r="B156" s="961" cm="1" t="str">
        <f t="array" ref="B156:B156">B155</f>
        <v>false</v>
      </c>
      <c r="C156" s="1322" t="s">
        <v>1721</v>
      </c>
      <c r="D156" s="1291" t="s">
        <v>1722</v>
      </c>
      <c r="E156" s="794">
        <v>15.8</v>
      </c>
      <c r="F156" s="919" cm="1" t="str">
        <f t="array" ref="F156:F156">OFFSET(G156,-1,-1)</f>
        <v>2</v>
      </c>
      <c r="G156" s="497"/>
      <c r="H156" s="210" t="s">
        <v>2145</v>
      </c>
      <c r="I156" s="210" t="s">
        <v>2110</v>
      </c>
      <c r="J156" s="1312"/>
      <c r="K156" s="1312" cm="1" t="str">
        <f t="array" ref="K156:K156">OFFSET(J156,-1,1)</f>
        <v>ТЭ.42.26824396.0005</v>
      </c>
      <c r="L156" s="1312"/>
      <c r="M156" s="1312" t="s">
        <v>1724</v>
      </c>
      <c r="N156" s="1312" t="s">
        <v>2111</v>
      </c>
      <c r="O156" s="1313" t="s">
        <v>2112</v>
      </c>
      <c r="P156" s="1312" t="s">
        <v>2146</v>
      </c>
      <c r="Q156" s="1312"/>
      <c r="R156" s="925"/>
      <c r="S156" s="497"/>
      <c r="T156" s="805" cm="1" t="str">
        <f t="array" ref="T156:T156">T155</f>
        <v>false</v>
      </c>
      <c r="U156" s="1461"/>
      <c r="V156" s="1461"/>
      <c r="W156" s="1461"/>
      <c r="X156" s="1461"/>
      <c r="Y156" s="1461"/>
      <c r="Z156" s="1461"/>
      <c r="AA156" s="497"/>
      <c r="AB156" s="273" t="s">
        <v>2147</v>
      </c>
      <c r="AC156" s="169" t="s">
        <v>591</v>
      </c>
      <c r="AD156" s="145"/>
      <c r="AE156" s="145"/>
      <c r="AF156" s="397">
        <f>IF(AD156=0,0,(AE156-AD156)/AD156*100)</f>
        <v>0</v>
      </c>
      <c r="AG156" s="413"/>
      <c r="AH156" s="413"/>
      <c r="AI156" s="397">
        <f>IF(AG156=0,0,(AH156-AG156)/AG156*100)</f>
        <v>0</v>
      </c>
      <c r="AJ156" s="413"/>
      <c r="AK156" s="413"/>
      <c r="AL156" s="397">
        <f>IF(AJ156=0,0,(AK156-AJ156)/AJ156*100)</f>
        <v>0</v>
      </c>
      <c r="AM156" s="413"/>
      <c r="AN156" s="413"/>
      <c r="AO156" s="397">
        <f>IF(AM156=0,0,(AN156-AM156)/AM156*100)</f>
        <v>0</v>
      </c>
      <c r="AP156" s="413"/>
      <c r="AQ156" s="413"/>
      <c r="AR156" s="397">
        <f>IF(AP156=0,0,(AQ156-AP156)/AP156*100)</f>
        <v>0</v>
      </c>
      <c r="AS156" s="145"/>
      <c r="AT156" s="145"/>
      <c r="AU156" s="397">
        <f>IF(AS156=0,0,(AT156-AS156)/AS156*100)</f>
        <v>0</v>
      </c>
      <c r="AV156" s="145"/>
      <c r="AW156" s="145"/>
      <c r="AX156" s="397">
        <f>IF(AV156=0,0,(AW156-AV156)/AV156*100)</f>
        <v>0</v>
      </c>
      <c r="AY156" s="145"/>
      <c r="AZ156" s="145"/>
      <c r="BA156" s="397">
        <f>IF(AY156=0,0,(AZ156-AY156)/AY156*100)</f>
        <v>0</v>
      </c>
      <c r="BB156" s="145"/>
      <c r="BC156" s="145"/>
      <c r="BD156" s="397">
        <f>IF(BB156=0,0,(BC156-BB156)/BB156*100)</f>
        <v>0</v>
      </c>
      <c r="BE156" s="145"/>
      <c r="BF156" s="145"/>
      <c r="BG156" s="397">
        <f>IF(BE156=0,0,(BF156-BE156)/BE156*100)</f>
        <v>0</v>
      </c>
      <c r="BH156" s="145"/>
      <c r="BI156" s="145"/>
      <c r="BJ156" s="397">
        <f>IF(BH156=0,0,(BI156-BH156)/BH156*100)</f>
        <v>0</v>
      </c>
      <c r="BK156" s="145"/>
      <c r="BL156" s="145"/>
      <c r="BM156" s="397">
        <f>IF(BK156=0,0,(BL156-BK156)/BK156*100)</f>
        <v>0</v>
      </c>
      <c r="BN156" s="145"/>
      <c r="BO156" s="145"/>
      <c r="BP156" s="397">
        <f>IF(BN156=0,0,(BO156-BN156)/BN156*100)</f>
        <v>0</v>
      </c>
      <c r="BQ156" s="145"/>
      <c r="BR156" s="145"/>
      <c r="BS156" s="397">
        <f>IF(BQ156=0,0,(BR156-BQ156)/BQ156*100)</f>
        <v>0</v>
      </c>
      <c r="BT156" s="145"/>
      <c r="BU156" s="145"/>
      <c r="BV156" s="397">
        <f>IF(BT156=0,0,(BU156-BT156)/BT156*100)</f>
        <v>0</v>
      </c>
      <c r="BW156" s="145"/>
      <c r="BX156" s="145"/>
      <c r="BY156" s="397">
        <f>IF(BW156=0,0,(BX156-BW156)/BW156*100)</f>
        <v>0</v>
      </c>
      <c r="BZ156" s="145"/>
      <c r="CA156" s="145"/>
      <c r="CB156" s="397">
        <f>IF(BZ156=0,0,(CA156-BZ156)/BZ156*100)</f>
        <v>0</v>
      </c>
      <c r="CC156" s="145"/>
      <c r="CD156" s="145"/>
      <c r="CE156" s="397">
        <f>IF(CC156=0,0,(CD156-CC156)/CC156*100)</f>
        <v>0</v>
      </c>
      <c r="CF156" s="145"/>
      <c r="CG156" s="145"/>
      <c r="CH156" s="397">
        <f>IF(CF156=0,0,(CG156-CF156)/CF156*100)</f>
        <v>0</v>
      </c>
      <c r="CI156" s="145"/>
      <c r="CJ156" s="145"/>
      <c r="CK156" s="397">
        <f>IF(CI156=0,0,(CJ156-CI156)/CI156*100)</f>
        <v>0</v>
      </c>
      <c r="CL156" s="145"/>
      <c r="CM156" s="145"/>
      <c r="CN156" s="397">
        <f>IF(CL156=0,0,(CM156-CL156)/CL156*100)</f>
        <v>0</v>
      </c>
      <c r="CO156" s="145"/>
      <c r="CP156" s="145"/>
      <c r="CQ156" s="397">
        <f>IF(CO156=0,0,(CP156-CO156)/CO156*100)</f>
        <v>0</v>
      </c>
      <c r="CR156" s="145"/>
      <c r="CS156" s="145"/>
      <c r="CT156" s="397">
        <f>IF(CR156=0,0,(CS156-CR156)/CR156*100)</f>
        <v>0</v>
      </c>
      <c r="CU156" s="145"/>
      <c r="CV156" s="145"/>
      <c r="CW156" s="397">
        <f>IF(CU156=0,0,(CV156-CU156)/CU156*100)</f>
        <v>0</v>
      </c>
      <c r="CX156" s="145"/>
      <c r="CY156" s="145"/>
      <c r="CZ156" s="397">
        <f>IF(CX156=0,0,(CY156-CX156)/CX156*100)</f>
        <v>0</v>
      </c>
      <c r="DA156" s="145"/>
      <c r="DB156" s="145"/>
      <c r="DC156" s="397">
        <f>IF(DA156=0,0,(DB156-DA156)/DA156*100)</f>
        <v>0</v>
      </c>
      <c r="DD156" s="145"/>
      <c r="DE156" s="145"/>
      <c r="DF156" s="397">
        <f>IF(DD156=0,0,(DE156-DD156)/DD156*100)</f>
        <v>0</v>
      </c>
      <c r="DG156" s="145"/>
      <c r="DH156" s="145"/>
      <c r="DI156" s="397">
        <f>IF(DG156=0,0,(DH156-DG156)/DG156*100)</f>
        <v>0</v>
      </c>
      <c r="DJ156" s="145"/>
      <c r="DK156" s="145"/>
      <c r="DL156" s="397">
        <f>IF(DJ156=0,0,(DK156-DJ156)/DJ156*100)</f>
        <v>0</v>
      </c>
      <c r="DM156" s="145"/>
      <c r="DN156" s="145"/>
      <c r="DO156" s="397">
        <f>IF(DM156=0,0,(DN156-DM156)/DM156*100)</f>
        <v>0</v>
      </c>
      <c r="DP156" s="145"/>
      <c r="DQ156" s="145"/>
      <c r="DR156" s="397">
        <f>IF(DP156=0,0,(DQ156-DP156)/DP156*100)</f>
        <v>0</v>
      </c>
      <c r="DS156" s="145"/>
      <c r="DT156" s="145"/>
      <c r="DU156" s="397">
        <f>IF(DS156=0,0,(DT156-DS156)/DS156*100)</f>
        <v>0</v>
      </c>
      <c r="DV156" s="145"/>
      <c r="DW156" s="145"/>
      <c r="DX156" s="397">
        <f>IF(DV156=0,0,(DW156-DV156)/DV156*100)</f>
        <v>0</v>
      </c>
      <c r="DY156" s="145"/>
      <c r="DZ156" s="145"/>
      <c r="EA156" s="397">
        <f>IF(DY156=0,0,(DZ156-DY156)/DY156*100)</f>
        <v>0</v>
      </c>
      <c r="EB156" s="145"/>
      <c r="EC156" s="145"/>
      <c r="ED156" s="397">
        <f>IF(EB156=0,0,(EC156-EB156)/EB156*100)</f>
        <v>0</v>
      </c>
      <c r="EE156" s="145"/>
      <c r="EF156" s="145"/>
      <c r="EG156" s="397">
        <f>IF(EE156=0,0,(EF156-EE156)/EE156*100)</f>
        <v>0</v>
      </c>
      <c r="EH156" s="145"/>
      <c r="EI156" s="145"/>
      <c r="EJ156" s="397">
        <f>IF(EH156=0,0,(EI156-EH156)/EH156*100)</f>
        <v>0</v>
      </c>
      <c r="EK156" s="145"/>
      <c r="EL156" s="145"/>
      <c r="EM156" s="397">
        <f>IF(EK156=0,0,(EL156-EK156)/EK156*100)</f>
        <v>0</v>
      </c>
      <c r="EN156" s="145"/>
      <c r="EO156" s="145"/>
      <c r="EP156" s="397">
        <f>IF(EN156=0,0,(EO156-EN156)/EN156*100)</f>
        <v>0</v>
      </c>
      <c r="EQ156" s="145"/>
      <c r="ER156" s="145"/>
      <c r="ES156" s="397">
        <f>IF(EQ156=0,0,(ER156-EQ156)/EQ156*100)</f>
        <v>0</v>
      </c>
      <c r="ET156" s="145"/>
      <c r="EU156" s="145"/>
      <c r="EV156" s="397">
        <f>IF(ET156=0,0,(EU156-ET156)/ET156*100)</f>
        <v>0</v>
      </c>
      <c r="EW156" s="145"/>
      <c r="EX156" s="145"/>
      <c r="EY156" s="397">
        <f>IF(EW156=0,0,(EX156-EW156)/EW156*100)</f>
        <v>0</v>
      </c>
      <c r="EZ156" s="145"/>
      <c r="FA156" s="145"/>
      <c r="FB156" s="397">
        <f>IF(EZ156=0,0,(FA156-EZ156)/EZ156*100)</f>
        <v>0</v>
      </c>
      <c r="FC156" s="145"/>
      <c r="FD156" s="145"/>
      <c r="FE156" s="397">
        <f>IF(FC156=0,0,(FD156-FC156)/FC156*100)</f>
        <v>0</v>
      </c>
      <c r="FF156" s="145"/>
      <c r="FG156" s="145"/>
      <c r="FH156" s="397">
        <f>IF(FF156=0,0,(FG156-FF156)/FF156*100)</f>
        <v>0</v>
      </c>
      <c r="FI156" s="145"/>
      <c r="FJ156" s="145"/>
      <c r="FK156" s="397">
        <f>IF(FI156=0,0,(FJ156-FI156)/FI156*100)</f>
        <v>0</v>
      </c>
      <c r="FL156" s="145"/>
      <c r="FM156" s="145"/>
      <c r="FN156" s="397">
        <f>IF(FL156=0,0,(FM156-FL156)/FL156*100)</f>
        <v>0</v>
      </c>
      <c r="FO156" s="145"/>
      <c r="FP156" s="145"/>
      <c r="FQ156" s="397">
        <f>IF(FO156=0,0,(FP156-FO156)/FO156*100)</f>
        <v>0</v>
      </c>
      <c r="FR156" s="145"/>
      <c r="FS156" s="145"/>
      <c r="FT156" s="397">
        <f>IF(FR156=0,0,(FS156-FR156)/FR156*100)</f>
        <v>0</v>
      </c>
      <c r="FU156" s="145"/>
      <c r="FV156" s="145"/>
      <c r="FW156" s="397">
        <f>IF(FU156=0,0,(FV156-FU156)/FU156*100)</f>
        <v>0</v>
      </c>
      <c r="FX156" s="497"/>
      <c r="FY156" s="497"/>
      <c r="FZ156" s="1181" t="s">
        <v>2169</v>
      </c>
      <c r="GA156" s="1181"/>
      <c r="GB156" s="1181"/>
      <c r="GC156" s="1181"/>
      <c r="GD156" s="1181"/>
    </row>
    <row s="1619" customFormat="1" customHeight="1" ht="30" hidden="1">
      <c r="A157" s="1461"/>
      <c r="B157" s="961" cm="1" t="str">
        <f t="array" ref="B157:B157">B156</f>
        <v>false</v>
      </c>
      <c r="C157" s="1322" t="s">
        <v>1775</v>
      </c>
      <c r="D157" s="1291" t="s">
        <v>1776</v>
      </c>
      <c r="E157" s="794">
        <v>31.5</v>
      </c>
      <c r="F157" s="919" cm="1" t="str">
        <f t="array" ref="F157:F157">OFFSET(G157,-1,-1)</f>
        <v>2</v>
      </c>
      <c r="G157" s="497"/>
      <c r="H157" s="210" t="s">
        <v>2149</v>
      </c>
      <c r="I157" s="210" t="s">
        <v>2110</v>
      </c>
      <c r="J157" s="1312"/>
      <c r="K157" s="1312" cm="1" t="str">
        <f t="array" ref="K157:K157">OFFSET(J157,-1,1)</f>
        <v>ТЭ.42.26824396.0005</v>
      </c>
      <c r="L157" s="1312"/>
      <c r="M157" s="1312" t="s">
        <v>1724</v>
      </c>
      <c r="N157" s="1312" t="s">
        <v>2111</v>
      </c>
      <c r="O157" s="1313" t="s">
        <v>2112</v>
      </c>
      <c r="P157" s="1312" t="s">
        <v>2150</v>
      </c>
      <c r="Q157" s="1312"/>
      <c r="R157" s="925"/>
      <c r="S157" s="497"/>
      <c r="T157" s="805" cm="1" t="str">
        <f t="array" ref="T157:T157">T156</f>
        <v>false</v>
      </c>
      <c r="U157" s="1461"/>
      <c r="V157" s="1461"/>
      <c r="W157" s="1461"/>
      <c r="X157" s="1461"/>
      <c r="Y157" s="1461"/>
      <c r="Z157" s="1461"/>
      <c r="AA157" s="497"/>
      <c r="AB157" s="273" t="s">
        <v>2151</v>
      </c>
      <c r="AC157" s="517" t="s">
        <v>1779</v>
      </c>
      <c r="AD157" s="66"/>
      <c r="AE157" s="66"/>
      <c r="AF157" s="365">
        <f>IF(AD157=0,0,(AE157-AD157)/AD157*100)</f>
        <v>0</v>
      </c>
      <c r="AG157" s="366"/>
      <c r="AH157" s="366"/>
      <c r="AI157" s="365">
        <f>IF(AG157=0,0,(AH157-AG157)/AG157*100)</f>
        <v>0</v>
      </c>
      <c r="AJ157" s="366"/>
      <c r="AK157" s="366"/>
      <c r="AL157" s="365">
        <f>IF(AJ157=0,0,(AK157-AJ157)/AJ157*100)</f>
        <v>0</v>
      </c>
      <c r="AM157" s="366"/>
      <c r="AN157" s="366"/>
      <c r="AO157" s="365">
        <f>IF(AM157=0,0,(AN157-AM157)/AM157*100)</f>
        <v>0</v>
      </c>
      <c r="AP157" s="366"/>
      <c r="AQ157" s="366"/>
      <c r="AR157" s="365">
        <f>IF(AP157=0,0,(AQ157-AP157)/AP157*100)</f>
        <v>0</v>
      </c>
      <c r="AS157" s="66"/>
      <c r="AT157" s="66"/>
      <c r="AU157" s="365">
        <f>IF(AS157=0,0,(AT157-AS157)/AS157*100)</f>
        <v>0</v>
      </c>
      <c r="AV157" s="66"/>
      <c r="AW157" s="66"/>
      <c r="AX157" s="365">
        <f>IF(AV157=0,0,(AW157-AV157)/AV157*100)</f>
        <v>0</v>
      </c>
      <c r="AY157" s="66"/>
      <c r="AZ157" s="66"/>
      <c r="BA157" s="365">
        <f>IF(AY157=0,0,(AZ157-AY157)/AY157*100)</f>
        <v>0</v>
      </c>
      <c r="BB157" s="66"/>
      <c r="BC157" s="66"/>
      <c r="BD157" s="365">
        <f>IF(BB157=0,0,(BC157-BB157)/BB157*100)</f>
        <v>0</v>
      </c>
      <c r="BE157" s="66"/>
      <c r="BF157" s="66"/>
      <c r="BG157" s="365">
        <f>IF(BE157=0,0,(BF157-BE157)/BE157*100)</f>
        <v>0</v>
      </c>
      <c r="BH157" s="66"/>
      <c r="BI157" s="66"/>
      <c r="BJ157" s="365">
        <f>IF(BH157=0,0,(BI157-BH157)/BH157*100)</f>
        <v>0</v>
      </c>
      <c r="BK157" s="66"/>
      <c r="BL157" s="66"/>
      <c r="BM157" s="365">
        <f>IF(BK157=0,0,(BL157-BK157)/BK157*100)</f>
        <v>0</v>
      </c>
      <c r="BN157" s="66"/>
      <c r="BO157" s="66"/>
      <c r="BP157" s="365">
        <f>IF(BN157=0,0,(BO157-BN157)/BN157*100)</f>
        <v>0</v>
      </c>
      <c r="BQ157" s="66"/>
      <c r="BR157" s="66"/>
      <c r="BS157" s="365">
        <f>IF(BQ157=0,0,(BR157-BQ157)/BQ157*100)</f>
        <v>0</v>
      </c>
      <c r="BT157" s="66"/>
      <c r="BU157" s="66"/>
      <c r="BV157" s="365">
        <f>IF(BT157=0,0,(BU157-BT157)/BT157*100)</f>
        <v>0</v>
      </c>
      <c r="BW157" s="66"/>
      <c r="BX157" s="66"/>
      <c r="BY157" s="365">
        <f>IF(BW157=0,0,(BX157-BW157)/BW157*100)</f>
        <v>0</v>
      </c>
      <c r="BZ157" s="66"/>
      <c r="CA157" s="66"/>
      <c r="CB157" s="365">
        <f>IF(BZ157=0,0,(CA157-BZ157)/BZ157*100)</f>
        <v>0</v>
      </c>
      <c r="CC157" s="66"/>
      <c r="CD157" s="66"/>
      <c r="CE157" s="365">
        <f>IF(CC157=0,0,(CD157-CC157)/CC157*100)</f>
        <v>0</v>
      </c>
      <c r="CF157" s="66"/>
      <c r="CG157" s="66"/>
      <c r="CH157" s="365">
        <f>IF(CF157=0,0,(CG157-CF157)/CF157*100)</f>
        <v>0</v>
      </c>
      <c r="CI157" s="66"/>
      <c r="CJ157" s="66"/>
      <c r="CK157" s="365">
        <f>IF(CI157=0,0,(CJ157-CI157)/CI157*100)</f>
        <v>0</v>
      </c>
      <c r="CL157" s="66"/>
      <c r="CM157" s="66"/>
      <c r="CN157" s="365">
        <f>IF(CL157=0,0,(CM157-CL157)/CL157*100)</f>
        <v>0</v>
      </c>
      <c r="CO157" s="66"/>
      <c r="CP157" s="66"/>
      <c r="CQ157" s="365">
        <f>IF(CO157=0,0,(CP157-CO157)/CO157*100)</f>
        <v>0</v>
      </c>
      <c r="CR157" s="66"/>
      <c r="CS157" s="66"/>
      <c r="CT157" s="365">
        <f>IF(CR157=0,0,(CS157-CR157)/CR157*100)</f>
        <v>0</v>
      </c>
      <c r="CU157" s="66"/>
      <c r="CV157" s="66"/>
      <c r="CW157" s="365">
        <f>IF(CU157=0,0,(CV157-CU157)/CU157*100)</f>
        <v>0</v>
      </c>
      <c r="CX157" s="66"/>
      <c r="CY157" s="66"/>
      <c r="CZ157" s="365">
        <f>IF(CX157=0,0,(CY157-CX157)/CX157*100)</f>
        <v>0</v>
      </c>
      <c r="DA157" s="66"/>
      <c r="DB157" s="66"/>
      <c r="DC157" s="365">
        <f>IF(DA157=0,0,(DB157-DA157)/DA157*100)</f>
        <v>0</v>
      </c>
      <c r="DD157" s="66"/>
      <c r="DE157" s="66"/>
      <c r="DF157" s="365">
        <f>IF(DD157=0,0,(DE157-DD157)/DD157*100)</f>
        <v>0</v>
      </c>
      <c r="DG157" s="66"/>
      <c r="DH157" s="66"/>
      <c r="DI157" s="365">
        <f>IF(DG157=0,0,(DH157-DG157)/DG157*100)</f>
        <v>0</v>
      </c>
      <c r="DJ157" s="66"/>
      <c r="DK157" s="66"/>
      <c r="DL157" s="365">
        <f>IF(DJ157=0,0,(DK157-DJ157)/DJ157*100)</f>
        <v>0</v>
      </c>
      <c r="DM157" s="66"/>
      <c r="DN157" s="66"/>
      <c r="DO157" s="365">
        <f>IF(DM157=0,0,(DN157-DM157)/DM157*100)</f>
        <v>0</v>
      </c>
      <c r="DP157" s="66"/>
      <c r="DQ157" s="66"/>
      <c r="DR157" s="365">
        <f>IF(DP157=0,0,(DQ157-DP157)/DP157*100)</f>
        <v>0</v>
      </c>
      <c r="DS157" s="66"/>
      <c r="DT157" s="66"/>
      <c r="DU157" s="365">
        <f>IF(DS157=0,0,(DT157-DS157)/DS157*100)</f>
        <v>0</v>
      </c>
      <c r="DV157" s="66"/>
      <c r="DW157" s="66"/>
      <c r="DX157" s="365">
        <f>IF(DV157=0,0,(DW157-DV157)/DV157*100)</f>
        <v>0</v>
      </c>
      <c r="DY157" s="66"/>
      <c r="DZ157" s="66"/>
      <c r="EA157" s="365">
        <f>IF(DY157=0,0,(DZ157-DY157)/DY157*100)</f>
        <v>0</v>
      </c>
      <c r="EB157" s="66"/>
      <c r="EC157" s="66"/>
      <c r="ED157" s="365">
        <f>IF(EB157=0,0,(EC157-EB157)/EB157*100)</f>
        <v>0</v>
      </c>
      <c r="EE157" s="66"/>
      <c r="EF157" s="66"/>
      <c r="EG157" s="365">
        <f>IF(EE157=0,0,(EF157-EE157)/EE157*100)</f>
        <v>0</v>
      </c>
      <c r="EH157" s="66"/>
      <c r="EI157" s="66"/>
      <c r="EJ157" s="365">
        <f>IF(EH157=0,0,(EI157-EH157)/EH157*100)</f>
        <v>0</v>
      </c>
      <c r="EK157" s="66"/>
      <c r="EL157" s="66"/>
      <c r="EM157" s="365">
        <f>IF(EK157=0,0,(EL157-EK157)/EK157*100)</f>
        <v>0</v>
      </c>
      <c r="EN157" s="66"/>
      <c r="EO157" s="66"/>
      <c r="EP157" s="365">
        <f>IF(EN157=0,0,(EO157-EN157)/EN157*100)</f>
        <v>0</v>
      </c>
      <c r="EQ157" s="66"/>
      <c r="ER157" s="66"/>
      <c r="ES157" s="365">
        <f>IF(EQ157=0,0,(ER157-EQ157)/EQ157*100)</f>
        <v>0</v>
      </c>
      <c r="ET157" s="66"/>
      <c r="EU157" s="66"/>
      <c r="EV157" s="365">
        <f>IF(ET157=0,0,(EU157-ET157)/ET157*100)</f>
        <v>0</v>
      </c>
      <c r="EW157" s="66"/>
      <c r="EX157" s="66"/>
      <c r="EY157" s="365">
        <f>IF(EW157=0,0,(EX157-EW157)/EW157*100)</f>
        <v>0</v>
      </c>
      <c r="EZ157" s="66"/>
      <c r="FA157" s="66"/>
      <c r="FB157" s="365">
        <f>IF(EZ157=0,0,(FA157-EZ157)/EZ157*100)</f>
        <v>0</v>
      </c>
      <c r="FC157" s="66"/>
      <c r="FD157" s="66"/>
      <c r="FE157" s="365">
        <f>IF(FC157=0,0,(FD157-FC157)/FC157*100)</f>
        <v>0</v>
      </c>
      <c r="FF157" s="66"/>
      <c r="FG157" s="66"/>
      <c r="FH157" s="365">
        <f>IF(FF157=0,0,(FG157-FF157)/FF157*100)</f>
        <v>0</v>
      </c>
      <c r="FI157" s="66"/>
      <c r="FJ157" s="66"/>
      <c r="FK157" s="365">
        <f>IF(FI157=0,0,(FJ157-FI157)/FI157*100)</f>
        <v>0</v>
      </c>
      <c r="FL157" s="66"/>
      <c r="FM157" s="66"/>
      <c r="FN157" s="365">
        <f>IF(FL157=0,0,(FM157-FL157)/FL157*100)</f>
        <v>0</v>
      </c>
      <c r="FO157" s="66"/>
      <c r="FP157" s="66"/>
      <c r="FQ157" s="365">
        <f>IF(FO157=0,0,(FP157-FO157)/FO157*100)</f>
        <v>0</v>
      </c>
      <c r="FR157" s="66"/>
      <c r="FS157" s="66"/>
      <c r="FT157" s="365">
        <f>IF(FR157=0,0,(FS157-FR157)/FR157*100)</f>
        <v>0</v>
      </c>
      <c r="FU157" s="66"/>
      <c r="FV157" s="66"/>
      <c r="FW157" s="365">
        <f>IF(FU157=0,0,(FV157-FU157)/FU157*100)</f>
        <v>0</v>
      </c>
      <c r="FX157" s="497"/>
      <c r="FY157" s="497"/>
      <c r="FZ157" s="1181" t="s">
        <v>2170</v>
      </c>
      <c r="GA157" s="1181"/>
      <c r="GB157" s="1181"/>
      <c r="GC157" s="1181"/>
      <c r="GD157" s="1181"/>
    </row>
    <row s="1619" customFormat="1" customHeight="1" ht="15" hidden="1">
      <c r="A158" s="1461"/>
      <c r="B158" s="961" cm="1" t="str">
        <f t="array" ref="B158:B158">B157</f>
        <v>false</v>
      </c>
      <c r="C158" s="1322" t="s">
        <v>1747</v>
      </c>
      <c r="D158" s="1291" t="s">
        <v>1748</v>
      </c>
      <c r="E158" s="794">
        <v>15.8</v>
      </c>
      <c r="F158" s="919" cm="1" t="str">
        <f t="array" ref="F158:F158">OFFSET(G158,-1,-1)</f>
        <v>2</v>
      </c>
      <c r="G158" s="497"/>
      <c r="H158" s="210" t="s">
        <v>2153</v>
      </c>
      <c r="I158" s="210" t="s">
        <v>2110</v>
      </c>
      <c r="J158" s="1312"/>
      <c r="K158" s="1312" cm="1" t="str">
        <f t="array" ref="K158:K158">OFFSET(J158,-1,1)</f>
        <v>ТЭ.42.26824396.0005</v>
      </c>
      <c r="L158" s="1312"/>
      <c r="M158" s="1312" t="s">
        <v>1724</v>
      </c>
      <c r="N158" s="1312" t="s">
        <v>2111</v>
      </c>
      <c r="O158" s="1313" t="s">
        <v>2112</v>
      </c>
      <c r="P158" s="1312" t="s">
        <v>2154</v>
      </c>
      <c r="Q158" s="1312"/>
      <c r="R158" s="925"/>
      <c r="S158" s="497"/>
      <c r="T158" s="805" cm="1" t="str">
        <f t="array" ref="T158:T158">T157</f>
        <v>false</v>
      </c>
      <c r="U158" s="1461"/>
      <c r="V158" s="1461"/>
      <c r="W158" s="1461"/>
      <c r="X158" s="1461"/>
      <c r="Y158" s="1461"/>
      <c r="Z158" s="1461"/>
      <c r="AA158" s="497"/>
      <c r="AB158" s="273" t="s">
        <v>2155</v>
      </c>
      <c r="AC158" s="664" t="s">
        <v>690</v>
      </c>
      <c r="AD158" s="66"/>
      <c r="AE158" s="66"/>
      <c r="AF158" s="365">
        <f>IF(AD158=0,0,(AE158-AD158)/AD158*100)</f>
        <v>0</v>
      </c>
      <c r="AG158" s="366"/>
      <c r="AH158" s="366"/>
      <c r="AI158" s="365">
        <f>IF(AG158=0,0,(AH158-AG158)/AG158*100)</f>
        <v>0</v>
      </c>
      <c r="AJ158" s="366"/>
      <c r="AK158" s="366"/>
      <c r="AL158" s="365">
        <f>IF(AJ158=0,0,(AK158-AJ158)/AJ158*100)</f>
        <v>0</v>
      </c>
      <c r="AM158" s="366"/>
      <c r="AN158" s="366"/>
      <c r="AO158" s="365">
        <f>IF(AM158=0,0,(AN158-AM158)/AM158*100)</f>
        <v>0</v>
      </c>
      <c r="AP158" s="366"/>
      <c r="AQ158" s="366"/>
      <c r="AR158" s="365">
        <f>IF(AP158=0,0,(AQ158-AP158)/AP158*100)</f>
        <v>0</v>
      </c>
      <c r="AS158" s="66"/>
      <c r="AT158" s="66"/>
      <c r="AU158" s="365">
        <f>IF(AS158=0,0,(AT158-AS158)/AS158*100)</f>
        <v>0</v>
      </c>
      <c r="AV158" s="66"/>
      <c r="AW158" s="66"/>
      <c r="AX158" s="365">
        <f>IF(AV158=0,0,(AW158-AV158)/AV158*100)</f>
        <v>0</v>
      </c>
      <c r="AY158" s="66"/>
      <c r="AZ158" s="66"/>
      <c r="BA158" s="365">
        <f>IF(AY158=0,0,(AZ158-AY158)/AY158*100)</f>
        <v>0</v>
      </c>
      <c r="BB158" s="66"/>
      <c r="BC158" s="66"/>
      <c r="BD158" s="365">
        <f>IF(BB158=0,0,(BC158-BB158)/BB158*100)</f>
        <v>0</v>
      </c>
      <c r="BE158" s="66"/>
      <c r="BF158" s="66"/>
      <c r="BG158" s="365">
        <f>IF(BE158=0,0,(BF158-BE158)/BE158*100)</f>
        <v>0</v>
      </c>
      <c r="BH158" s="66"/>
      <c r="BI158" s="66"/>
      <c r="BJ158" s="365">
        <f>IF(BH158=0,0,(BI158-BH158)/BH158*100)</f>
        <v>0</v>
      </c>
      <c r="BK158" s="66"/>
      <c r="BL158" s="66"/>
      <c r="BM158" s="365">
        <f>IF(BK158=0,0,(BL158-BK158)/BK158*100)</f>
        <v>0</v>
      </c>
      <c r="BN158" s="66"/>
      <c r="BO158" s="66"/>
      <c r="BP158" s="365">
        <f>IF(BN158=0,0,(BO158-BN158)/BN158*100)</f>
        <v>0</v>
      </c>
      <c r="BQ158" s="66"/>
      <c r="BR158" s="66"/>
      <c r="BS158" s="365">
        <f>IF(BQ158=0,0,(BR158-BQ158)/BQ158*100)</f>
        <v>0</v>
      </c>
      <c r="BT158" s="66"/>
      <c r="BU158" s="66"/>
      <c r="BV158" s="365">
        <f>IF(BT158=0,0,(BU158-BT158)/BT158*100)</f>
        <v>0</v>
      </c>
      <c r="BW158" s="66"/>
      <c r="BX158" s="66"/>
      <c r="BY158" s="365">
        <f>IF(BW158=0,0,(BX158-BW158)/BW158*100)</f>
        <v>0</v>
      </c>
      <c r="BZ158" s="66"/>
      <c r="CA158" s="66"/>
      <c r="CB158" s="365">
        <f>IF(BZ158=0,0,(CA158-BZ158)/BZ158*100)</f>
        <v>0</v>
      </c>
      <c r="CC158" s="66"/>
      <c r="CD158" s="66"/>
      <c r="CE158" s="365">
        <f>IF(CC158=0,0,(CD158-CC158)/CC158*100)</f>
        <v>0</v>
      </c>
      <c r="CF158" s="66"/>
      <c r="CG158" s="66"/>
      <c r="CH158" s="365">
        <f>IF(CF158=0,0,(CG158-CF158)/CF158*100)</f>
        <v>0</v>
      </c>
      <c r="CI158" s="66"/>
      <c r="CJ158" s="66"/>
      <c r="CK158" s="365">
        <f>IF(CI158=0,0,(CJ158-CI158)/CI158*100)</f>
        <v>0</v>
      </c>
      <c r="CL158" s="66"/>
      <c r="CM158" s="66"/>
      <c r="CN158" s="365">
        <f>IF(CL158=0,0,(CM158-CL158)/CL158*100)</f>
        <v>0</v>
      </c>
      <c r="CO158" s="66"/>
      <c r="CP158" s="66"/>
      <c r="CQ158" s="365">
        <f>IF(CO158=0,0,(CP158-CO158)/CO158*100)</f>
        <v>0</v>
      </c>
      <c r="CR158" s="66"/>
      <c r="CS158" s="66"/>
      <c r="CT158" s="365">
        <f>IF(CR158=0,0,(CS158-CR158)/CR158*100)</f>
        <v>0</v>
      </c>
      <c r="CU158" s="66"/>
      <c r="CV158" s="66"/>
      <c r="CW158" s="365">
        <f>IF(CU158=0,0,(CV158-CU158)/CU158*100)</f>
        <v>0</v>
      </c>
      <c r="CX158" s="66"/>
      <c r="CY158" s="66"/>
      <c r="CZ158" s="365">
        <f>IF(CX158=0,0,(CY158-CX158)/CX158*100)</f>
        <v>0</v>
      </c>
      <c r="DA158" s="66"/>
      <c r="DB158" s="66"/>
      <c r="DC158" s="365">
        <f>IF(DA158=0,0,(DB158-DA158)/DA158*100)</f>
        <v>0</v>
      </c>
      <c r="DD158" s="66"/>
      <c r="DE158" s="66"/>
      <c r="DF158" s="365">
        <f>IF(DD158=0,0,(DE158-DD158)/DD158*100)</f>
        <v>0</v>
      </c>
      <c r="DG158" s="66"/>
      <c r="DH158" s="66"/>
      <c r="DI158" s="365">
        <f>IF(DG158=0,0,(DH158-DG158)/DG158*100)</f>
        <v>0</v>
      </c>
      <c r="DJ158" s="66"/>
      <c r="DK158" s="66"/>
      <c r="DL158" s="365">
        <f>IF(DJ158=0,0,(DK158-DJ158)/DJ158*100)</f>
        <v>0</v>
      </c>
      <c r="DM158" s="66"/>
      <c r="DN158" s="66"/>
      <c r="DO158" s="365">
        <f>IF(DM158=0,0,(DN158-DM158)/DM158*100)</f>
        <v>0</v>
      </c>
      <c r="DP158" s="66"/>
      <c r="DQ158" s="66"/>
      <c r="DR158" s="365">
        <f>IF(DP158=0,0,(DQ158-DP158)/DP158*100)</f>
        <v>0</v>
      </c>
      <c r="DS158" s="66"/>
      <c r="DT158" s="66"/>
      <c r="DU158" s="365">
        <f>IF(DS158=0,0,(DT158-DS158)/DS158*100)</f>
        <v>0</v>
      </c>
      <c r="DV158" s="66"/>
      <c r="DW158" s="66"/>
      <c r="DX158" s="365">
        <f>IF(DV158=0,0,(DW158-DV158)/DV158*100)</f>
        <v>0</v>
      </c>
      <c r="DY158" s="66"/>
      <c r="DZ158" s="66"/>
      <c r="EA158" s="365">
        <f>IF(DY158=0,0,(DZ158-DY158)/DY158*100)</f>
        <v>0</v>
      </c>
      <c r="EB158" s="66"/>
      <c r="EC158" s="66"/>
      <c r="ED158" s="365">
        <f>IF(EB158=0,0,(EC158-EB158)/EB158*100)</f>
        <v>0</v>
      </c>
      <c r="EE158" s="66"/>
      <c r="EF158" s="66"/>
      <c r="EG158" s="365">
        <f>IF(EE158=0,0,(EF158-EE158)/EE158*100)</f>
        <v>0</v>
      </c>
      <c r="EH158" s="66"/>
      <c r="EI158" s="66"/>
      <c r="EJ158" s="365">
        <f>IF(EH158=0,0,(EI158-EH158)/EH158*100)</f>
        <v>0</v>
      </c>
      <c r="EK158" s="66"/>
      <c r="EL158" s="66"/>
      <c r="EM158" s="365">
        <f>IF(EK158=0,0,(EL158-EK158)/EK158*100)</f>
        <v>0</v>
      </c>
      <c r="EN158" s="66"/>
      <c r="EO158" s="66"/>
      <c r="EP158" s="365">
        <f>IF(EN158=0,0,(EO158-EN158)/EN158*100)</f>
        <v>0</v>
      </c>
      <c r="EQ158" s="66"/>
      <c r="ER158" s="66"/>
      <c r="ES158" s="365">
        <f>IF(EQ158=0,0,(ER158-EQ158)/EQ158*100)</f>
        <v>0</v>
      </c>
      <c r="ET158" s="66"/>
      <c r="EU158" s="66"/>
      <c r="EV158" s="365">
        <f>IF(ET158=0,0,(EU158-ET158)/ET158*100)</f>
        <v>0</v>
      </c>
      <c r="EW158" s="66"/>
      <c r="EX158" s="66"/>
      <c r="EY158" s="365">
        <f>IF(EW158=0,0,(EX158-EW158)/EW158*100)</f>
        <v>0</v>
      </c>
      <c r="EZ158" s="66"/>
      <c r="FA158" s="66"/>
      <c r="FB158" s="365">
        <f>IF(EZ158=0,0,(FA158-EZ158)/EZ158*100)</f>
        <v>0</v>
      </c>
      <c r="FC158" s="66"/>
      <c r="FD158" s="66"/>
      <c r="FE158" s="365">
        <f>IF(FC158=0,0,(FD158-FC158)/FC158*100)</f>
        <v>0</v>
      </c>
      <c r="FF158" s="66"/>
      <c r="FG158" s="66"/>
      <c r="FH158" s="365">
        <f>IF(FF158=0,0,(FG158-FF158)/FF158*100)</f>
        <v>0</v>
      </c>
      <c r="FI158" s="66"/>
      <c r="FJ158" s="66"/>
      <c r="FK158" s="365">
        <f>IF(FI158=0,0,(FJ158-FI158)/FI158*100)</f>
        <v>0</v>
      </c>
      <c r="FL158" s="66"/>
      <c r="FM158" s="66"/>
      <c r="FN158" s="365">
        <f>IF(FL158=0,0,(FM158-FL158)/FL158*100)</f>
        <v>0</v>
      </c>
      <c r="FO158" s="66"/>
      <c r="FP158" s="66"/>
      <c r="FQ158" s="365">
        <f>IF(FO158=0,0,(FP158-FO158)/FO158*100)</f>
        <v>0</v>
      </c>
      <c r="FR158" s="66"/>
      <c r="FS158" s="66"/>
      <c r="FT158" s="365">
        <f>IF(FR158=0,0,(FS158-FR158)/FR158*100)</f>
        <v>0</v>
      </c>
      <c r="FU158" s="66"/>
      <c r="FV158" s="66"/>
      <c r="FW158" s="365">
        <f>IF(FU158=0,0,(FV158-FU158)/FU158*100)</f>
        <v>0</v>
      </c>
      <c r="FX158" s="497"/>
      <c r="FY158" s="497"/>
      <c r="FZ158" s="1181" t="s">
        <v>2171</v>
      </c>
      <c r="GA158" s="1181"/>
      <c r="GB158" s="1181"/>
      <c r="GC158" s="1181"/>
      <c r="GD158" s="1181"/>
    </row>
    <row s="1619" customFormat="1" customHeight="1" ht="15" hidden="1">
      <c r="A159" s="1461"/>
      <c r="B159" s="961" cm="1" t="str">
        <f t="array" ref="B159:B159">B158</f>
        <v>false</v>
      </c>
      <c r="C159" s="1322"/>
      <c r="D159" s="1291"/>
      <c r="E159" s="794">
        <v>15.8</v>
      </c>
      <c r="F159" s="919" cm="1" t="str">
        <f t="array" ref="F159:F159">OFFSET(G159,-1,-1)</f>
        <v>2</v>
      </c>
      <c r="G159" s="497"/>
      <c r="H159" s="497"/>
      <c r="I159" s="497"/>
      <c r="J159" s="1314"/>
      <c r="K159" s="1312" cm="1" t="str">
        <f t="array" ref="K159:K159">OFFSET(J159,-1,1)</f>
        <v>ТЭ.42.26824396.0005</v>
      </c>
      <c r="L159" s="1314"/>
      <c r="M159" s="1314"/>
      <c r="N159" s="1314"/>
      <c r="O159" s="1314"/>
      <c r="P159" s="1312"/>
      <c r="Q159" s="1312"/>
      <c r="R159" s="925"/>
      <c r="S159" s="497"/>
      <c r="T159" s="805" cm="1" t="str">
        <f t="array" ref="T159:T159">T158</f>
        <v>false</v>
      </c>
      <c r="U159" s="1461"/>
      <c r="V159" s="1461"/>
      <c r="W159" s="1461"/>
      <c r="X159" s="1461"/>
      <c r="Y159" s="1461"/>
      <c r="Z159" s="1461"/>
      <c r="AA159" s="497"/>
      <c r="AB159" s="1351" t="s">
        <v>2116</v>
      </c>
      <c r="AC159" s="367"/>
      <c r="AD159" s="368"/>
      <c r="AE159" s="368"/>
      <c r="AF159" s="368"/>
      <c r="AG159" s="368"/>
      <c r="AH159" s="368"/>
      <c r="AI159" s="368"/>
      <c r="AJ159" s="368"/>
      <c r="AK159" s="368"/>
      <c r="AL159" s="368"/>
      <c r="AM159" s="368"/>
      <c r="AN159" s="368"/>
      <c r="AO159" s="368"/>
      <c r="AP159" s="368"/>
      <c r="AQ159" s="368"/>
      <c r="AR159" s="368"/>
      <c r="AS159" s="368"/>
      <c r="AT159" s="368"/>
      <c r="AU159" s="368"/>
      <c r="AV159" s="368"/>
      <c r="AW159" s="368"/>
      <c r="AX159" s="368"/>
      <c r="AY159" s="368"/>
      <c r="AZ159" s="368"/>
      <c r="BA159" s="368"/>
      <c r="BB159" s="368"/>
      <c r="BC159" s="368"/>
      <c r="BD159" s="368"/>
      <c r="BE159" s="368"/>
      <c r="BF159" s="368"/>
      <c r="BG159" s="368"/>
      <c r="BH159" s="368"/>
      <c r="BI159" s="368"/>
      <c r="BJ159" s="368"/>
      <c r="BK159" s="368"/>
      <c r="BL159" s="368"/>
      <c r="BM159" s="368"/>
      <c r="BN159" s="368"/>
      <c r="BO159" s="368"/>
      <c r="BP159" s="368"/>
      <c r="BQ159" s="368"/>
      <c r="BR159" s="368"/>
      <c r="BS159" s="368"/>
      <c r="BT159" s="368"/>
      <c r="BU159" s="368"/>
      <c r="BV159" s="368"/>
      <c r="BW159" s="368"/>
      <c r="BX159" s="368"/>
      <c r="BY159" s="368"/>
      <c r="BZ159" s="368"/>
      <c r="CA159" s="368"/>
      <c r="CB159" s="368"/>
      <c r="CC159" s="368"/>
      <c r="CD159" s="368"/>
      <c r="CE159" s="368"/>
      <c r="CF159" s="368"/>
      <c r="CG159" s="368"/>
      <c r="CH159" s="368"/>
      <c r="CI159" s="368"/>
      <c r="CJ159" s="368"/>
      <c r="CK159" s="368"/>
      <c r="CL159" s="368"/>
      <c r="CM159" s="368"/>
      <c r="CN159" s="368"/>
      <c r="CO159" s="368"/>
      <c r="CP159" s="368"/>
      <c r="CQ159" s="368"/>
      <c r="CR159" s="368"/>
      <c r="CS159" s="368"/>
      <c r="CT159" s="368"/>
      <c r="CU159" s="368"/>
      <c r="CV159" s="368"/>
      <c r="CW159" s="368"/>
      <c r="CX159" s="368"/>
      <c r="CY159" s="368"/>
      <c r="CZ159" s="368"/>
      <c r="DA159" s="368"/>
      <c r="DB159" s="368"/>
      <c r="DC159" s="368"/>
      <c r="DD159" s="368"/>
      <c r="DE159" s="368"/>
      <c r="DF159" s="368"/>
      <c r="DG159" s="368"/>
      <c r="DH159" s="368"/>
      <c r="DI159" s="368"/>
      <c r="DJ159" s="368"/>
      <c r="DK159" s="368"/>
      <c r="DL159" s="368"/>
      <c r="DM159" s="368"/>
      <c r="DN159" s="368"/>
      <c r="DO159" s="368"/>
      <c r="DP159" s="368"/>
      <c r="DQ159" s="368"/>
      <c r="DR159" s="368"/>
      <c r="DS159" s="368"/>
      <c r="DT159" s="368"/>
      <c r="DU159" s="368"/>
      <c r="DV159" s="368"/>
      <c r="DW159" s="368"/>
      <c r="DX159" s="368"/>
      <c r="DY159" s="368"/>
      <c r="DZ159" s="368"/>
      <c r="EA159" s="368"/>
      <c r="EB159" s="368"/>
      <c r="EC159" s="368"/>
      <c r="ED159" s="368"/>
      <c r="EE159" s="368"/>
      <c r="EF159" s="368"/>
      <c r="EG159" s="368"/>
      <c r="EH159" s="368"/>
      <c r="EI159" s="368"/>
      <c r="EJ159" s="368"/>
      <c r="EK159" s="368"/>
      <c r="EL159" s="368"/>
      <c r="EM159" s="368"/>
      <c r="EN159" s="368"/>
      <c r="EO159" s="368"/>
      <c r="EP159" s="368"/>
      <c r="EQ159" s="368"/>
      <c r="ER159" s="368"/>
      <c r="ES159" s="368"/>
      <c r="ET159" s="368"/>
      <c r="EU159" s="368"/>
      <c r="EV159" s="368"/>
      <c r="EW159" s="368"/>
      <c r="EX159" s="368"/>
      <c r="EY159" s="368"/>
      <c r="EZ159" s="368"/>
      <c r="FA159" s="368"/>
      <c r="FB159" s="368"/>
      <c r="FC159" s="368"/>
      <c r="FD159" s="368"/>
      <c r="FE159" s="368"/>
      <c r="FF159" s="368"/>
      <c r="FG159" s="368"/>
      <c r="FH159" s="368"/>
      <c r="FI159" s="368"/>
      <c r="FJ159" s="368"/>
      <c r="FK159" s="368"/>
      <c r="FL159" s="368"/>
      <c r="FM159" s="368"/>
      <c r="FN159" s="368"/>
      <c r="FO159" s="368"/>
      <c r="FP159" s="368"/>
      <c r="FQ159" s="368"/>
      <c r="FR159" s="368"/>
      <c r="FS159" s="368"/>
      <c r="FT159" s="368"/>
      <c r="FU159" s="368"/>
      <c r="FV159" s="368"/>
      <c r="FW159" s="369"/>
      <c r="FX159" s="497"/>
      <c r="FY159" s="497"/>
      <c r="FZ159" s="1216"/>
      <c r="GA159" s="1181"/>
      <c r="GB159" s="1181"/>
      <c r="GC159" s="1181"/>
      <c r="GD159" s="1181"/>
    </row>
    <row s="1619" customFormat="1" customHeight="1" ht="15" hidden="1">
      <c r="A160" s="1461"/>
      <c r="B160" s="961" cm="1" t="str">
        <f t="array" ref="B160:B160">B159</f>
        <v>false</v>
      </c>
      <c r="C160" s="1322" t="s">
        <v>2163</v>
      </c>
      <c r="D160" s="1291" t="s">
        <v>2164</v>
      </c>
      <c r="E160" s="794">
        <v>15.8</v>
      </c>
      <c r="F160" s="919" cm="1" t="str">
        <f t="array" ref="F160:F160">OFFSET(G160,-1,-1)</f>
        <v>2</v>
      </c>
      <c r="G160" s="497"/>
      <c r="H160" s="210" t="s">
        <v>2135</v>
      </c>
      <c r="I160" s="210" t="s">
        <v>2115</v>
      </c>
      <c r="J160" s="1312"/>
      <c r="K160" s="1312" cm="1" t="str">
        <f t="array" ref="K160:K160">OFFSET(J160,-1,1)</f>
        <v>ТЭ.42.26824396.0005</v>
      </c>
      <c r="L160" s="1312"/>
      <c r="M160" s="1312" t="s">
        <v>1733</v>
      </c>
      <c r="N160" s="1312" t="s">
        <v>2111</v>
      </c>
      <c r="O160" s="1313" t="s">
        <v>2112</v>
      </c>
      <c r="P160" s="1312" t="s">
        <v>2136</v>
      </c>
      <c r="Q160" s="1312"/>
      <c r="R160" s="925"/>
      <c r="S160" s="497"/>
      <c r="T160" s="805" cm="1" t="str">
        <f t="array" ref="T160:T160">T159</f>
        <v>false</v>
      </c>
      <c r="U160" s="1461"/>
      <c r="V160" s="1461"/>
      <c r="W160" s="1461"/>
      <c r="X160" s="1461"/>
      <c r="Y160" s="1461"/>
      <c r="Z160" s="1461"/>
      <c r="AA160" s="497"/>
      <c r="AB160" s="273" t="s">
        <v>2137</v>
      </c>
      <c r="AC160" s="169" t="s">
        <v>895</v>
      </c>
      <c r="AD160" s="66">
        <f>IF(AD162=0,0,(AD161*AD162+AD163*AD164*IF(god=2026,3,6))/AD162)</f>
        <v>0</v>
      </c>
      <c r="AE160" s="66">
        <f>IF(AE162=0,0,(AE161*AE162+AE163*AE164*IF(god=2026,3,6))/AE162)</f>
        <v>0</v>
      </c>
      <c r="AF160" s="365">
        <f>IF(AD160=0,0,(AE160-AD160)/AD160*100)</f>
        <v>0</v>
      </c>
      <c r="AG160" s="366">
        <f>IF(AG162=0,0,(AG161*AG162+AG163*AG164*IF(god=2025,3,6))/AG162)</f>
        <v>0</v>
      </c>
      <c r="AH160" s="366">
        <f>IF(AH162=0,0,(AH161*AH162+AH163*AH164*IF(god=2025,3,6))/AH162)</f>
        <v>0</v>
      </c>
      <c r="AI160" s="365">
        <f>IF(AG160=0,0,(AH160-AG160)/AG160*100)</f>
        <v>0</v>
      </c>
      <c r="AJ160" s="366">
        <f>IF(AJ162=0,0,(AJ161*AJ162+AJ163*AJ164*6)/AJ162)</f>
        <v>0</v>
      </c>
      <c r="AK160" s="366">
        <f>IF(AK162=0,0,(AK161*AK162+AK163*AK164*6)/AK162)</f>
        <v>0</v>
      </c>
      <c r="AL160" s="365">
        <f>IF(AJ160=0,0,(AK160-AJ160)/AJ160*100)</f>
        <v>0</v>
      </c>
      <c r="AM160" s="366">
        <f>IF(AM162=0,0,(AM161*AM162+AM163*AM164*6)/AM162)</f>
        <v>0</v>
      </c>
      <c r="AN160" s="366">
        <f>IF(AN162=0,0,(AN161*AN162+AN163*AN164*6)/AN162)</f>
        <v>0</v>
      </c>
      <c r="AO160" s="365">
        <f>IF(AM160=0,0,(AN160-AM160)/AM160*100)</f>
        <v>0</v>
      </c>
      <c r="AP160" s="366">
        <f>IF(AP162=0,0,(AP161*AP162+AP163*AP164*6)/AP162)</f>
        <v>0</v>
      </c>
      <c r="AQ160" s="366">
        <f>IF(AQ162=0,0,(AQ161*AQ162+AQ163*AQ164*6)/AQ162)</f>
        <v>0</v>
      </c>
      <c r="AR160" s="365">
        <f>IF(AP160=0,0,(AQ160-AP160)/AP160*100)</f>
        <v>0</v>
      </c>
      <c r="AS160" s="66">
        <f>IF(AS162=0,0,(AS161*AS162+AS163*AS164*6)/AS162)</f>
        <v>0</v>
      </c>
      <c r="AT160" s="66">
        <f>IF(AT162=0,0,(AT161*AT162+AT163*AT164*6)/AT162)</f>
        <v>0</v>
      </c>
      <c r="AU160" s="365">
        <f>IF(AS160=0,0,(AT160-AS160)/AS160*100)</f>
        <v>0</v>
      </c>
      <c r="AV160" s="66">
        <f>IF(AV162=0,0,(AV161*AV162+AV163*AV164*6)/AV162)</f>
        <v>0</v>
      </c>
      <c r="AW160" s="66">
        <f>IF(AW162=0,0,(AW161*AW162+AW163*AW164*6)/AW162)</f>
        <v>0</v>
      </c>
      <c r="AX160" s="365">
        <f>IF(AV160=0,0,(AW160-AV160)/AV160*100)</f>
        <v>0</v>
      </c>
      <c r="AY160" s="66">
        <f>IF(AY162=0,0,(AY161*AY162+AY163*AY164*6)/AY162)</f>
        <v>0</v>
      </c>
      <c r="AZ160" s="66">
        <f>IF(AZ162=0,0,(AZ161*AZ162+AZ163*AZ164*6)/AZ162)</f>
        <v>0</v>
      </c>
      <c r="BA160" s="365">
        <f>IF(AY160=0,0,(AZ160-AY160)/AY160*100)</f>
        <v>0</v>
      </c>
      <c r="BB160" s="66">
        <f>IF(BB162=0,0,(BB161*BB162+BB163*BB164*6)/BB162)</f>
        <v>0</v>
      </c>
      <c r="BC160" s="66">
        <f>IF(BC162=0,0,(BC161*BC162+BC163*BC164*6)/BC162)</f>
        <v>0</v>
      </c>
      <c r="BD160" s="365">
        <f>IF(BB160=0,0,(BC160-BB160)/BB160*100)</f>
        <v>0</v>
      </c>
      <c r="BE160" s="66">
        <f>IF(BE162=0,0,(BE161*BE162+BE163*BE164*6)/BE162)</f>
        <v>0</v>
      </c>
      <c r="BF160" s="66">
        <f>IF(BF162=0,0,(BF161*BF162+BF163*BF164*6)/BF162)</f>
        <v>0</v>
      </c>
      <c r="BG160" s="365">
        <f>IF(BE160=0,0,(BF160-BE160)/BE160*100)</f>
        <v>0</v>
      </c>
      <c r="BH160" s="66">
        <f>IF(BH162=0,0,(BH161*BH162+BH163*BH164*6)/BH162)</f>
        <v>0</v>
      </c>
      <c r="BI160" s="66">
        <f>IF(BI162=0,0,(BI161*BI162+BI163*BI164*6)/BI162)</f>
        <v>0</v>
      </c>
      <c r="BJ160" s="365">
        <f>IF(BH160=0,0,(BI160-BH160)/BH160*100)</f>
        <v>0</v>
      </c>
      <c r="BK160" s="66">
        <f>IF(BK162=0,0,(BK161*BK162+BK163*BK164*6)/BK162)</f>
        <v>0</v>
      </c>
      <c r="BL160" s="66">
        <f>IF(BL162=0,0,(BL161*BL162+BL163*BL164*6)/BL162)</f>
        <v>0</v>
      </c>
      <c r="BM160" s="365">
        <f>IF(BK160=0,0,(BL160-BK160)/BK160*100)</f>
        <v>0</v>
      </c>
      <c r="BN160" s="66">
        <f>IF(BN162=0,0,(BN161*BN162+BN163*BN164*6)/BN162)</f>
        <v>0</v>
      </c>
      <c r="BO160" s="66">
        <f>IF(BO162=0,0,(BO161*BO162+BO163*BO164*6)/BO162)</f>
        <v>0</v>
      </c>
      <c r="BP160" s="365">
        <f>IF(BN160=0,0,(BO160-BN160)/BN160*100)</f>
        <v>0</v>
      </c>
      <c r="BQ160" s="66">
        <f>IF(BQ162=0,0,(BQ161*BQ162+BQ163*BQ164*6)/BQ162)</f>
        <v>0</v>
      </c>
      <c r="BR160" s="66">
        <f>IF(BR162=0,0,(BR161*BR162+BR163*BR164*6)/BR162)</f>
        <v>0</v>
      </c>
      <c r="BS160" s="365">
        <f>IF(BQ160=0,0,(BR160-BQ160)/BQ160*100)</f>
        <v>0</v>
      </c>
      <c r="BT160" s="66">
        <f>IF(BT162=0,0,(BT161*BT162+BT163*BT164*6)/BT162)</f>
        <v>0</v>
      </c>
      <c r="BU160" s="66">
        <f>IF(BU162=0,0,(BU161*BU162+BU163*BU164*6)/BU162)</f>
        <v>0</v>
      </c>
      <c r="BV160" s="365">
        <f>IF(BT160=0,0,(BU160-BT160)/BT160*100)</f>
        <v>0</v>
      </c>
      <c r="BW160" s="66">
        <f>IF(BW162=0,0,(BW161*BW162+BW163*BW164*6)/BW162)</f>
        <v>0</v>
      </c>
      <c r="BX160" s="66">
        <f>IF(BX162=0,0,(BX161*BX162+BX163*BX164*6)/BX162)</f>
        <v>0</v>
      </c>
      <c r="BY160" s="365">
        <f>IF(BW160=0,0,(BX160-BW160)/BW160*100)</f>
        <v>0</v>
      </c>
      <c r="BZ160" s="66">
        <f>IF(BZ162=0,0,(BZ161*BZ162+BZ163*BZ164*6)/BZ162)</f>
        <v>0</v>
      </c>
      <c r="CA160" s="66">
        <f>IF(CA162=0,0,(CA161*CA162+CA163*CA164*6)/CA162)</f>
        <v>0</v>
      </c>
      <c r="CB160" s="365">
        <f>IF(BZ160=0,0,(CA160-BZ160)/BZ160*100)</f>
        <v>0</v>
      </c>
      <c r="CC160" s="66">
        <f>IF(CC162=0,0,(CC161*CC162+CC163*CC164*6)/CC162)</f>
        <v>0</v>
      </c>
      <c r="CD160" s="66">
        <f>IF(CD162=0,0,(CD161*CD162+CD163*CD164*6)/CD162)</f>
        <v>0</v>
      </c>
      <c r="CE160" s="365">
        <f>IF(CC160=0,0,(CD160-CC160)/CC160*100)</f>
        <v>0</v>
      </c>
      <c r="CF160" s="66">
        <f>IF(CF162=0,0,(CF161*CF162+CF163*CF164*6)/CF162)</f>
        <v>0</v>
      </c>
      <c r="CG160" s="66">
        <f>IF(CG162=0,0,(CG161*CG162+CG163*CG164*6)/CG162)</f>
        <v>0</v>
      </c>
      <c r="CH160" s="365">
        <f>IF(CF160=0,0,(CG160-CF160)/CF160*100)</f>
        <v>0</v>
      </c>
      <c r="CI160" s="66">
        <f>IF(CI162=0,0,(CI161*CI162+CI163*CI164*6)/CI162)</f>
        <v>0</v>
      </c>
      <c r="CJ160" s="66">
        <f>IF(CJ162=0,0,(CJ161*CJ162+CJ163*CJ164*6)/CJ162)</f>
        <v>0</v>
      </c>
      <c r="CK160" s="365">
        <f>IF(CI160=0,0,(CJ160-CI160)/CI160*100)</f>
        <v>0</v>
      </c>
      <c r="CL160" s="66">
        <f>IF(CL162=0,0,(CL161*CL162+CL163*CL164*6)/CL162)</f>
        <v>0</v>
      </c>
      <c r="CM160" s="66">
        <f>IF(CM162=0,0,(CM161*CM162+CM163*CM164*6)/CM162)</f>
        <v>0</v>
      </c>
      <c r="CN160" s="365">
        <f>IF(CL160=0,0,(CM160-CL160)/CL160*100)</f>
        <v>0</v>
      </c>
      <c r="CO160" s="66">
        <f>IF(CO162=0,0,(CO161*CO162+CO163*CO164*6)/CO162)</f>
        <v>0</v>
      </c>
      <c r="CP160" s="66">
        <f>IF(CP162=0,0,(CP161*CP162+CP163*CP164*6)/CP162)</f>
        <v>0</v>
      </c>
      <c r="CQ160" s="365">
        <f>IF(CO160=0,0,(CP160-CO160)/CO160*100)</f>
        <v>0</v>
      </c>
      <c r="CR160" s="66">
        <f>IF(CR162=0,0,(CR161*CR162+CR163*CR164*6)/CR162)</f>
        <v>0</v>
      </c>
      <c r="CS160" s="66">
        <f>IF(CS162=0,0,(CS161*CS162+CS163*CS164*6)/CS162)</f>
        <v>0</v>
      </c>
      <c r="CT160" s="365">
        <f>IF(CR160=0,0,(CS160-CR160)/CR160*100)</f>
        <v>0</v>
      </c>
      <c r="CU160" s="66">
        <f>IF(CU162=0,0,(CU161*CU162+CU163*CU164*6)/CU162)</f>
        <v>0</v>
      </c>
      <c r="CV160" s="66">
        <f>IF(CV162=0,0,(CV161*CV162+CV163*CV164*6)/CV162)</f>
        <v>0</v>
      </c>
      <c r="CW160" s="365">
        <f>IF(CU160=0,0,(CV160-CU160)/CU160*100)</f>
        <v>0</v>
      </c>
      <c r="CX160" s="66">
        <f>IF(CX162=0,0,(CX161*CX162+CX163*CX164*6)/CX162)</f>
        <v>0</v>
      </c>
      <c r="CY160" s="66">
        <f>IF(CY162=0,0,(CY161*CY162+CY163*CY164*6)/CY162)</f>
        <v>0</v>
      </c>
      <c r="CZ160" s="365">
        <f>IF(CX160=0,0,(CY160-CX160)/CX160*100)</f>
        <v>0</v>
      </c>
      <c r="DA160" s="66">
        <f>IF(DA162=0,0,(DA161*DA162+DA163*DA164*6)/DA162)</f>
        <v>0</v>
      </c>
      <c r="DB160" s="66">
        <f>IF(DB162=0,0,(DB161*DB162+DB163*DB164*6)/DB162)</f>
        <v>0</v>
      </c>
      <c r="DC160" s="365">
        <f>IF(DA160=0,0,(DB160-DA160)/DA160*100)</f>
        <v>0</v>
      </c>
      <c r="DD160" s="66">
        <f>IF(DD162=0,0,(DD161*DD162+DD163*DD164*6)/DD162)</f>
        <v>0</v>
      </c>
      <c r="DE160" s="66">
        <f>IF(DE162=0,0,(DE161*DE162+DE163*DE164*6)/DE162)</f>
        <v>0</v>
      </c>
      <c r="DF160" s="365">
        <f>IF(DD160=0,0,(DE160-DD160)/DD160*100)</f>
        <v>0</v>
      </c>
      <c r="DG160" s="66">
        <f>IF(DG162=0,0,(DG161*DG162+DG163*DG164*6)/DG162)</f>
        <v>0</v>
      </c>
      <c r="DH160" s="66">
        <f>IF(DH162=0,0,(DH161*DH162+DH163*DH164*6)/DH162)</f>
        <v>0</v>
      </c>
      <c r="DI160" s="365">
        <f>IF(DG160=0,0,(DH160-DG160)/DG160*100)</f>
        <v>0</v>
      </c>
      <c r="DJ160" s="66">
        <f>IF(DJ162=0,0,(DJ161*DJ162+DJ163*DJ164*6)/DJ162)</f>
        <v>0</v>
      </c>
      <c r="DK160" s="66">
        <f>IF(DK162=0,0,(DK161*DK162+DK163*DK164*6)/DK162)</f>
        <v>0</v>
      </c>
      <c r="DL160" s="365">
        <f>IF(DJ160=0,0,(DK160-DJ160)/DJ160*100)</f>
        <v>0</v>
      </c>
      <c r="DM160" s="66">
        <f>IF(DM162=0,0,(DM161*DM162+DM163*DM164*6)/DM162)</f>
        <v>0</v>
      </c>
      <c r="DN160" s="66">
        <f>IF(DN162=0,0,(DN161*DN162+DN163*DN164*6)/DN162)</f>
        <v>0</v>
      </c>
      <c r="DO160" s="365">
        <f>IF(DM160=0,0,(DN160-DM160)/DM160*100)</f>
        <v>0</v>
      </c>
      <c r="DP160" s="66">
        <f>IF(DP162=0,0,(DP161*DP162+DP163*DP164*6)/DP162)</f>
        <v>0</v>
      </c>
      <c r="DQ160" s="66">
        <f>IF(DQ162=0,0,(DQ161*DQ162+DQ163*DQ164*6)/DQ162)</f>
        <v>0</v>
      </c>
      <c r="DR160" s="365">
        <f>IF(DP160=0,0,(DQ160-DP160)/DP160*100)</f>
        <v>0</v>
      </c>
      <c r="DS160" s="66">
        <f>IF(DS162=0,0,(DS161*DS162+DS163*DS164*6)/DS162)</f>
        <v>0</v>
      </c>
      <c r="DT160" s="66">
        <f>IF(DT162=0,0,(DT161*DT162+DT163*DT164*6)/DT162)</f>
        <v>0</v>
      </c>
      <c r="DU160" s="365">
        <f>IF(DS160=0,0,(DT160-DS160)/DS160*100)</f>
        <v>0</v>
      </c>
      <c r="DV160" s="66">
        <f>IF(DV162=0,0,(DV161*DV162+DV163*DV164*6)/DV162)</f>
        <v>0</v>
      </c>
      <c r="DW160" s="66">
        <f>IF(DW162=0,0,(DW161*DW162+DW163*DW164*6)/DW162)</f>
        <v>0</v>
      </c>
      <c r="DX160" s="365">
        <f>IF(DV160=0,0,(DW160-DV160)/DV160*100)</f>
        <v>0</v>
      </c>
      <c r="DY160" s="66">
        <f>IF(DY162=0,0,(DY161*DY162+DY163*DY164*6)/DY162)</f>
        <v>0</v>
      </c>
      <c r="DZ160" s="66">
        <f>IF(DZ162=0,0,(DZ161*DZ162+DZ163*DZ164*6)/DZ162)</f>
        <v>0</v>
      </c>
      <c r="EA160" s="365">
        <f>IF(DY160=0,0,(DZ160-DY160)/DY160*100)</f>
        <v>0</v>
      </c>
      <c r="EB160" s="66">
        <f>IF(EB162=0,0,(EB161*EB162+EB163*EB164*6)/EB162)</f>
        <v>0</v>
      </c>
      <c r="EC160" s="66">
        <f>IF(EC162=0,0,(EC161*EC162+EC163*EC164*6)/EC162)</f>
        <v>0</v>
      </c>
      <c r="ED160" s="365">
        <f>IF(EB160=0,0,(EC160-EB160)/EB160*100)</f>
        <v>0</v>
      </c>
      <c r="EE160" s="66">
        <f>IF(EE162=0,0,(EE161*EE162+EE163*EE164*6)/EE162)</f>
        <v>0</v>
      </c>
      <c r="EF160" s="66">
        <f>IF(EF162=0,0,(EF161*EF162+EF163*EF164*6)/EF162)</f>
        <v>0</v>
      </c>
      <c r="EG160" s="365">
        <f>IF(EE160=0,0,(EF160-EE160)/EE160*100)</f>
        <v>0</v>
      </c>
      <c r="EH160" s="66">
        <f>IF(EH162=0,0,(EH161*EH162+EH163*EH164*6)/EH162)</f>
        <v>0</v>
      </c>
      <c r="EI160" s="66">
        <f>IF(EI162=0,0,(EI161*EI162+EI163*EI164*6)/EI162)</f>
        <v>0</v>
      </c>
      <c r="EJ160" s="365">
        <f>IF(EH160=0,0,(EI160-EH160)/EH160*100)</f>
        <v>0</v>
      </c>
      <c r="EK160" s="66">
        <f>IF(EK162=0,0,(EK161*EK162+EK163*EK164*6)/EK162)</f>
        <v>0</v>
      </c>
      <c r="EL160" s="66">
        <f>IF(EL162=0,0,(EL161*EL162+EL163*EL164*6)/EL162)</f>
        <v>0</v>
      </c>
      <c r="EM160" s="365">
        <f>IF(EK160=0,0,(EL160-EK160)/EK160*100)</f>
        <v>0</v>
      </c>
      <c r="EN160" s="66">
        <f>IF(EN162=0,0,(EN161*EN162+EN163*EN164*6)/EN162)</f>
        <v>0</v>
      </c>
      <c r="EO160" s="66">
        <f>IF(EO162=0,0,(EO161*EO162+EO163*EO164*6)/EO162)</f>
        <v>0</v>
      </c>
      <c r="EP160" s="365">
        <f>IF(EN160=0,0,(EO160-EN160)/EN160*100)</f>
        <v>0</v>
      </c>
      <c r="EQ160" s="66">
        <f>IF(EQ162=0,0,(EQ161*EQ162+EQ163*EQ164*6)/EQ162)</f>
        <v>0</v>
      </c>
      <c r="ER160" s="66">
        <f>IF(ER162=0,0,(ER161*ER162+ER163*ER164*6)/ER162)</f>
        <v>0</v>
      </c>
      <c r="ES160" s="365">
        <f>IF(EQ160=0,0,(ER160-EQ160)/EQ160*100)</f>
        <v>0</v>
      </c>
      <c r="ET160" s="66">
        <f>IF(ET162=0,0,(ET161*ET162+ET163*ET164*6)/ET162)</f>
        <v>0</v>
      </c>
      <c r="EU160" s="66">
        <f>IF(EU162=0,0,(EU161*EU162+EU163*EU164*6)/EU162)</f>
        <v>0</v>
      </c>
      <c r="EV160" s="365">
        <f>IF(ET160=0,0,(EU160-ET160)/ET160*100)</f>
        <v>0</v>
      </c>
      <c r="EW160" s="66">
        <f>IF(EW162=0,0,(EW161*EW162+EW163*EW164*6)/EW162)</f>
        <v>0</v>
      </c>
      <c r="EX160" s="66">
        <f>IF(EX162=0,0,(EX161*EX162+EX163*EX164*6)/EX162)</f>
        <v>0</v>
      </c>
      <c r="EY160" s="365">
        <f>IF(EW160=0,0,(EX160-EW160)/EW160*100)</f>
        <v>0</v>
      </c>
      <c r="EZ160" s="66">
        <f>IF(EZ162=0,0,(EZ161*EZ162+EZ163*EZ164*6)/EZ162)</f>
        <v>0</v>
      </c>
      <c r="FA160" s="66">
        <f>IF(FA162=0,0,(FA161*FA162+FA163*FA164*6)/FA162)</f>
        <v>0</v>
      </c>
      <c r="FB160" s="365">
        <f>IF(EZ160=0,0,(FA160-EZ160)/EZ160*100)</f>
        <v>0</v>
      </c>
      <c r="FC160" s="66">
        <f>IF(FC162=0,0,(FC161*FC162+FC163*FC164*6)/FC162)</f>
        <v>0</v>
      </c>
      <c r="FD160" s="66">
        <f>IF(FD162=0,0,(FD161*FD162+FD163*FD164*6)/FD162)</f>
        <v>0</v>
      </c>
      <c r="FE160" s="365">
        <f>IF(FC160=0,0,(FD160-FC160)/FC160*100)</f>
        <v>0</v>
      </c>
      <c r="FF160" s="66">
        <f>IF(FF162=0,0,(FF161*FF162+FF163*FF164*6)/FF162)</f>
        <v>0</v>
      </c>
      <c r="FG160" s="66">
        <f>IF(FG162=0,0,(FG161*FG162+FG163*FG164*6)/FG162)</f>
        <v>0</v>
      </c>
      <c r="FH160" s="365">
        <f>IF(FF160=0,0,(FG160-FF160)/FF160*100)</f>
        <v>0</v>
      </c>
      <c r="FI160" s="66">
        <f>IF(FI162=0,0,(FI161*FI162+FI163*FI164*6)/FI162)</f>
        <v>0</v>
      </c>
      <c r="FJ160" s="66">
        <f>IF(FJ162=0,0,(FJ161*FJ162+FJ163*FJ164*6)/FJ162)</f>
        <v>0</v>
      </c>
      <c r="FK160" s="365">
        <f>IF(FI160=0,0,(FJ160-FI160)/FI160*100)</f>
        <v>0</v>
      </c>
      <c r="FL160" s="66">
        <f>IF(FL162=0,0,(FL161*FL162+FL163*FL164*6)/FL162)</f>
        <v>0</v>
      </c>
      <c r="FM160" s="66">
        <f>IF(FM162=0,0,(FM161*FM162+FM163*FM164*6)/FM162)</f>
        <v>0</v>
      </c>
      <c r="FN160" s="365">
        <f>IF(FL160=0,0,(FM160-FL160)/FL160*100)</f>
        <v>0</v>
      </c>
      <c r="FO160" s="66">
        <f>IF(FO162=0,0,(FO161*FO162+FO163*FO164*6)/FO162)</f>
        <v>0</v>
      </c>
      <c r="FP160" s="66">
        <f>IF(FP162=0,0,(FP161*FP162+FP163*FP164*6)/FP162)</f>
        <v>0</v>
      </c>
      <c r="FQ160" s="365">
        <f>IF(FO160=0,0,(FP160-FO160)/FO160*100)</f>
        <v>0</v>
      </c>
      <c r="FR160" s="66">
        <f>IF(FR162=0,0,(FR161*FR162+FR163*FR164*6)/FR162)</f>
        <v>0</v>
      </c>
      <c r="FS160" s="66">
        <f>IF(FS162=0,0,(FS161*FS162+FS163*FS164*6)/FS162)</f>
        <v>0</v>
      </c>
      <c r="FT160" s="365">
        <f>IF(FR160=0,0,(FS160-FR160)/FR160*100)</f>
        <v>0</v>
      </c>
      <c r="FU160" s="66">
        <f>IF(FU162=0,0,(FU161*FU162+FU163*FU164*6)/FU162)</f>
        <v>0</v>
      </c>
      <c r="FV160" s="66">
        <f>IF(FV162=0,0,(FV161*FV162+FV163*FV164*6)/FV162)</f>
        <v>0</v>
      </c>
      <c r="FW160" s="365">
        <f>IF(FU160=0,0,(FV160-FU160)/FU160*100)</f>
        <v>0</v>
      </c>
      <c r="FX160" s="497"/>
      <c r="FY160" s="497"/>
      <c r="FZ160" s="1181" t="s">
        <v>2172</v>
      </c>
      <c r="GA160" s="1181"/>
      <c r="GB160" s="1181"/>
      <c r="GC160" s="1181"/>
      <c r="GD160" s="1181"/>
    </row>
    <row s="1619" customFormat="1" customHeight="1" ht="15" hidden="1">
      <c r="A161" s="1461"/>
      <c r="B161" s="961" cm="1" t="str">
        <f t="array" ref="B161:B161">B160</f>
        <v>false</v>
      </c>
      <c r="C161" s="1322" t="s">
        <v>2166</v>
      </c>
      <c r="D161" s="1291" t="s">
        <v>2167</v>
      </c>
      <c r="E161" s="794">
        <v>15.8</v>
      </c>
      <c r="F161" s="919" cm="1" t="str">
        <f t="array" ref="F161:F161">OFFSET(G161,-1,-1)</f>
        <v>2</v>
      </c>
      <c r="G161" s="497"/>
      <c r="H161" s="210" t="s">
        <v>2141</v>
      </c>
      <c r="I161" s="210" t="s">
        <v>2115</v>
      </c>
      <c r="J161" s="1312"/>
      <c r="K161" s="1312" cm="1" t="str">
        <f t="array" ref="K161:K161">OFFSET(J161,-1,1)</f>
        <v>ТЭ.42.26824396.0005</v>
      </c>
      <c r="L161" s="1312"/>
      <c r="M161" s="1312" t="s">
        <v>1733</v>
      </c>
      <c r="N161" s="1312" t="s">
        <v>2111</v>
      </c>
      <c r="O161" s="1313" t="s">
        <v>2112</v>
      </c>
      <c r="P161" s="1312" t="s">
        <v>2142</v>
      </c>
      <c r="Q161" s="1312"/>
      <c r="R161" s="925"/>
      <c r="S161" s="497"/>
      <c r="T161" s="805" cm="1" t="str">
        <f t="array" ref="T161:T161">T160</f>
        <v>false</v>
      </c>
      <c r="U161" s="1461"/>
      <c r="V161" s="1461"/>
      <c r="W161" s="1461"/>
      <c r="X161" s="1461"/>
      <c r="Y161" s="1461"/>
      <c r="Z161" s="1461"/>
      <c r="AA161" s="497"/>
      <c r="AB161" s="273" t="s">
        <v>2143</v>
      </c>
      <c r="AC161" s="169" t="s">
        <v>895</v>
      </c>
      <c r="AD161" s="66"/>
      <c r="AE161" s="66"/>
      <c r="AF161" s="365">
        <f>IF(AD161=0,0,(AE161-AD161)/AD161*100)</f>
        <v>0</v>
      </c>
      <c r="AG161" s="366"/>
      <c r="AH161" s="366"/>
      <c r="AI161" s="365">
        <f>IF(AG161=0,0,(AH161-AG161)/AG161*100)</f>
        <v>0</v>
      </c>
      <c r="AJ161" s="366"/>
      <c r="AK161" s="366"/>
      <c r="AL161" s="365">
        <f>IF(AJ161=0,0,(AK161-AJ161)/AJ161*100)</f>
        <v>0</v>
      </c>
      <c r="AM161" s="366"/>
      <c r="AN161" s="366"/>
      <c r="AO161" s="365">
        <f>IF(AM161=0,0,(AN161-AM161)/AM161*100)</f>
        <v>0</v>
      </c>
      <c r="AP161" s="366"/>
      <c r="AQ161" s="366"/>
      <c r="AR161" s="365">
        <f>IF(AP161=0,0,(AQ161-AP161)/AP161*100)</f>
        <v>0</v>
      </c>
      <c r="AS161" s="66"/>
      <c r="AT161" s="66"/>
      <c r="AU161" s="365">
        <f>IF(AS161=0,0,(AT161-AS161)/AS161*100)</f>
        <v>0</v>
      </c>
      <c r="AV161" s="66"/>
      <c r="AW161" s="66"/>
      <c r="AX161" s="365">
        <f>IF(AV161=0,0,(AW161-AV161)/AV161*100)</f>
        <v>0</v>
      </c>
      <c r="AY161" s="66"/>
      <c r="AZ161" s="66"/>
      <c r="BA161" s="365">
        <f>IF(AY161=0,0,(AZ161-AY161)/AY161*100)</f>
        <v>0</v>
      </c>
      <c r="BB161" s="66"/>
      <c r="BC161" s="66"/>
      <c r="BD161" s="365">
        <f>IF(BB161=0,0,(BC161-BB161)/BB161*100)</f>
        <v>0</v>
      </c>
      <c r="BE161" s="66"/>
      <c r="BF161" s="66"/>
      <c r="BG161" s="365">
        <f>IF(BE161=0,0,(BF161-BE161)/BE161*100)</f>
        <v>0</v>
      </c>
      <c r="BH161" s="66"/>
      <c r="BI161" s="66"/>
      <c r="BJ161" s="365">
        <f>IF(BH161=0,0,(BI161-BH161)/BH161*100)</f>
        <v>0</v>
      </c>
      <c r="BK161" s="66"/>
      <c r="BL161" s="66"/>
      <c r="BM161" s="365">
        <f>IF(BK161=0,0,(BL161-BK161)/BK161*100)</f>
        <v>0</v>
      </c>
      <c r="BN161" s="66"/>
      <c r="BO161" s="66"/>
      <c r="BP161" s="365">
        <f>IF(BN161=0,0,(BO161-BN161)/BN161*100)</f>
        <v>0</v>
      </c>
      <c r="BQ161" s="66"/>
      <c r="BR161" s="66"/>
      <c r="BS161" s="365">
        <f>IF(BQ161=0,0,(BR161-BQ161)/BQ161*100)</f>
        <v>0</v>
      </c>
      <c r="BT161" s="66"/>
      <c r="BU161" s="66"/>
      <c r="BV161" s="365">
        <f>IF(BT161=0,0,(BU161-BT161)/BT161*100)</f>
        <v>0</v>
      </c>
      <c r="BW161" s="66"/>
      <c r="BX161" s="66"/>
      <c r="BY161" s="365">
        <f>IF(BW161=0,0,(BX161-BW161)/BW161*100)</f>
        <v>0</v>
      </c>
      <c r="BZ161" s="66"/>
      <c r="CA161" s="66"/>
      <c r="CB161" s="365">
        <f>IF(BZ161=0,0,(CA161-BZ161)/BZ161*100)</f>
        <v>0</v>
      </c>
      <c r="CC161" s="66"/>
      <c r="CD161" s="66"/>
      <c r="CE161" s="365">
        <f>IF(CC161=0,0,(CD161-CC161)/CC161*100)</f>
        <v>0</v>
      </c>
      <c r="CF161" s="66"/>
      <c r="CG161" s="66"/>
      <c r="CH161" s="365">
        <f>IF(CF161=0,0,(CG161-CF161)/CF161*100)</f>
        <v>0</v>
      </c>
      <c r="CI161" s="66"/>
      <c r="CJ161" s="66"/>
      <c r="CK161" s="365">
        <f>IF(CI161=0,0,(CJ161-CI161)/CI161*100)</f>
        <v>0</v>
      </c>
      <c r="CL161" s="66"/>
      <c r="CM161" s="66"/>
      <c r="CN161" s="365">
        <f>IF(CL161=0,0,(CM161-CL161)/CL161*100)</f>
        <v>0</v>
      </c>
      <c r="CO161" s="66"/>
      <c r="CP161" s="66"/>
      <c r="CQ161" s="365">
        <f>IF(CO161=0,0,(CP161-CO161)/CO161*100)</f>
        <v>0</v>
      </c>
      <c r="CR161" s="66"/>
      <c r="CS161" s="66"/>
      <c r="CT161" s="365">
        <f>IF(CR161=0,0,(CS161-CR161)/CR161*100)</f>
        <v>0</v>
      </c>
      <c r="CU161" s="66"/>
      <c r="CV161" s="66"/>
      <c r="CW161" s="365">
        <f>IF(CU161=0,0,(CV161-CU161)/CU161*100)</f>
        <v>0</v>
      </c>
      <c r="CX161" s="66"/>
      <c r="CY161" s="66"/>
      <c r="CZ161" s="365">
        <f>IF(CX161=0,0,(CY161-CX161)/CX161*100)</f>
        <v>0</v>
      </c>
      <c r="DA161" s="66"/>
      <c r="DB161" s="66"/>
      <c r="DC161" s="365">
        <f>IF(DA161=0,0,(DB161-DA161)/DA161*100)</f>
        <v>0</v>
      </c>
      <c r="DD161" s="66"/>
      <c r="DE161" s="66"/>
      <c r="DF161" s="365">
        <f>IF(DD161=0,0,(DE161-DD161)/DD161*100)</f>
        <v>0</v>
      </c>
      <c r="DG161" s="66"/>
      <c r="DH161" s="66"/>
      <c r="DI161" s="365">
        <f>IF(DG161=0,0,(DH161-DG161)/DG161*100)</f>
        <v>0</v>
      </c>
      <c r="DJ161" s="66"/>
      <c r="DK161" s="66"/>
      <c r="DL161" s="365">
        <f>IF(DJ161=0,0,(DK161-DJ161)/DJ161*100)</f>
        <v>0</v>
      </c>
      <c r="DM161" s="66"/>
      <c r="DN161" s="66"/>
      <c r="DO161" s="365">
        <f>IF(DM161=0,0,(DN161-DM161)/DM161*100)</f>
        <v>0</v>
      </c>
      <c r="DP161" s="66"/>
      <c r="DQ161" s="66"/>
      <c r="DR161" s="365">
        <f>IF(DP161=0,0,(DQ161-DP161)/DP161*100)</f>
        <v>0</v>
      </c>
      <c r="DS161" s="66"/>
      <c r="DT161" s="66"/>
      <c r="DU161" s="365">
        <f>IF(DS161=0,0,(DT161-DS161)/DS161*100)</f>
        <v>0</v>
      </c>
      <c r="DV161" s="66"/>
      <c r="DW161" s="66"/>
      <c r="DX161" s="365">
        <f>IF(DV161=0,0,(DW161-DV161)/DV161*100)</f>
        <v>0</v>
      </c>
      <c r="DY161" s="66"/>
      <c r="DZ161" s="66"/>
      <c r="EA161" s="365">
        <f>IF(DY161=0,0,(DZ161-DY161)/DY161*100)</f>
        <v>0</v>
      </c>
      <c r="EB161" s="66"/>
      <c r="EC161" s="66"/>
      <c r="ED161" s="365">
        <f>IF(EB161=0,0,(EC161-EB161)/EB161*100)</f>
        <v>0</v>
      </c>
      <c r="EE161" s="66"/>
      <c r="EF161" s="66"/>
      <c r="EG161" s="365">
        <f>IF(EE161=0,0,(EF161-EE161)/EE161*100)</f>
        <v>0</v>
      </c>
      <c r="EH161" s="66"/>
      <c r="EI161" s="66"/>
      <c r="EJ161" s="365">
        <f>IF(EH161=0,0,(EI161-EH161)/EH161*100)</f>
        <v>0</v>
      </c>
      <c r="EK161" s="66"/>
      <c r="EL161" s="66"/>
      <c r="EM161" s="365">
        <f>IF(EK161=0,0,(EL161-EK161)/EK161*100)</f>
        <v>0</v>
      </c>
      <c r="EN161" s="66"/>
      <c r="EO161" s="66"/>
      <c r="EP161" s="365">
        <f>IF(EN161=0,0,(EO161-EN161)/EN161*100)</f>
        <v>0</v>
      </c>
      <c r="EQ161" s="66"/>
      <c r="ER161" s="66"/>
      <c r="ES161" s="365">
        <f>IF(EQ161=0,0,(ER161-EQ161)/EQ161*100)</f>
        <v>0</v>
      </c>
      <c r="ET161" s="66"/>
      <c r="EU161" s="66"/>
      <c r="EV161" s="365">
        <f>IF(ET161=0,0,(EU161-ET161)/ET161*100)</f>
        <v>0</v>
      </c>
      <c r="EW161" s="66"/>
      <c r="EX161" s="66"/>
      <c r="EY161" s="365">
        <f>IF(EW161=0,0,(EX161-EW161)/EW161*100)</f>
        <v>0</v>
      </c>
      <c r="EZ161" s="66"/>
      <c r="FA161" s="66"/>
      <c r="FB161" s="365">
        <f>IF(EZ161=0,0,(FA161-EZ161)/EZ161*100)</f>
        <v>0</v>
      </c>
      <c r="FC161" s="66"/>
      <c r="FD161" s="66"/>
      <c r="FE161" s="365">
        <f>IF(FC161=0,0,(FD161-FC161)/FC161*100)</f>
        <v>0</v>
      </c>
      <c r="FF161" s="66"/>
      <c r="FG161" s="66"/>
      <c r="FH161" s="365">
        <f>IF(FF161=0,0,(FG161-FF161)/FF161*100)</f>
        <v>0</v>
      </c>
      <c r="FI161" s="66"/>
      <c r="FJ161" s="66"/>
      <c r="FK161" s="365">
        <f>IF(FI161=0,0,(FJ161-FI161)/FI161*100)</f>
        <v>0</v>
      </c>
      <c r="FL161" s="66"/>
      <c r="FM161" s="66"/>
      <c r="FN161" s="365">
        <f>IF(FL161=0,0,(FM161-FL161)/FL161*100)</f>
        <v>0</v>
      </c>
      <c r="FO161" s="66"/>
      <c r="FP161" s="66"/>
      <c r="FQ161" s="365">
        <f>IF(FO161=0,0,(FP161-FO161)/FO161*100)</f>
        <v>0</v>
      </c>
      <c r="FR161" s="66"/>
      <c r="FS161" s="66"/>
      <c r="FT161" s="365">
        <f>IF(FR161=0,0,(FS161-FR161)/FR161*100)</f>
        <v>0</v>
      </c>
      <c r="FU161" s="66"/>
      <c r="FV161" s="66"/>
      <c r="FW161" s="365">
        <f>IF(FU161=0,0,(FV161-FU161)/FU161*100)</f>
        <v>0</v>
      </c>
      <c r="FX161" s="497"/>
      <c r="FY161" s="497"/>
      <c r="FZ161" s="1181" t="s">
        <v>2173</v>
      </c>
      <c r="GA161" s="1181"/>
      <c r="GB161" s="1181"/>
      <c r="GC161" s="1181"/>
      <c r="GD161" s="1181"/>
    </row>
    <row s="1619" customFormat="1" customHeight="1" ht="15" hidden="1">
      <c r="A162" s="1461"/>
      <c r="B162" s="961" cm="1" t="str">
        <f t="array" ref="B162:B162">B161</f>
        <v>false</v>
      </c>
      <c r="C162" s="1322" t="s">
        <v>1721</v>
      </c>
      <c r="D162" s="1291" t="s">
        <v>1722</v>
      </c>
      <c r="E162" s="794">
        <v>15.8</v>
      </c>
      <c r="F162" s="919" cm="1" t="str">
        <f t="array" ref="F162:F162">OFFSET(G162,-1,-1)</f>
        <v>2</v>
      </c>
      <c r="G162" s="497"/>
      <c r="H162" s="210" t="s">
        <v>2145</v>
      </c>
      <c r="I162" s="210" t="s">
        <v>2115</v>
      </c>
      <c r="J162" s="1312"/>
      <c r="K162" s="1312" cm="1" t="str">
        <f t="array" ref="K162:K162">OFFSET(J162,-1,1)</f>
        <v>ТЭ.42.26824396.0005</v>
      </c>
      <c r="L162" s="1312"/>
      <c r="M162" s="1312" t="s">
        <v>1733</v>
      </c>
      <c r="N162" s="1312" t="s">
        <v>2111</v>
      </c>
      <c r="O162" s="1313" t="s">
        <v>2112</v>
      </c>
      <c r="P162" s="1312" t="s">
        <v>2146</v>
      </c>
      <c r="Q162" s="1312"/>
      <c r="R162" s="925"/>
      <c r="S162" s="497"/>
      <c r="T162" s="805" cm="1" t="str">
        <f t="array" ref="T162:T162">T161</f>
        <v>false</v>
      </c>
      <c r="U162" s="1461"/>
      <c r="V162" s="1461"/>
      <c r="W162" s="1461"/>
      <c r="X162" s="1461"/>
      <c r="Y162" s="1461"/>
      <c r="Z162" s="1461"/>
      <c r="AA162" s="497"/>
      <c r="AB162" s="273" t="s">
        <v>2147</v>
      </c>
      <c r="AC162" s="169" t="s">
        <v>591</v>
      </c>
      <c r="AD162" s="145"/>
      <c r="AE162" s="145"/>
      <c r="AF162" s="397">
        <f>IF(AD162=0,0,(AE162-AD162)/AD162*100)</f>
        <v>0</v>
      </c>
      <c r="AG162" s="413"/>
      <c r="AH162" s="413"/>
      <c r="AI162" s="397">
        <f>IF(AG162=0,0,(AH162-AG162)/AG162*100)</f>
        <v>0</v>
      </c>
      <c r="AJ162" s="413"/>
      <c r="AK162" s="413"/>
      <c r="AL162" s="397">
        <f>IF(AJ162=0,0,(AK162-AJ162)/AJ162*100)</f>
        <v>0</v>
      </c>
      <c r="AM162" s="413"/>
      <c r="AN162" s="413"/>
      <c r="AO162" s="397">
        <f>IF(AM162=0,0,(AN162-AM162)/AM162*100)</f>
        <v>0</v>
      </c>
      <c r="AP162" s="413"/>
      <c r="AQ162" s="413"/>
      <c r="AR162" s="397">
        <f>IF(AP162=0,0,(AQ162-AP162)/AP162*100)</f>
        <v>0</v>
      </c>
      <c r="AS162" s="145"/>
      <c r="AT162" s="145"/>
      <c r="AU162" s="397">
        <f>IF(AS162=0,0,(AT162-AS162)/AS162*100)</f>
        <v>0</v>
      </c>
      <c r="AV162" s="145"/>
      <c r="AW162" s="145"/>
      <c r="AX162" s="397">
        <f>IF(AV162=0,0,(AW162-AV162)/AV162*100)</f>
        <v>0</v>
      </c>
      <c r="AY162" s="145"/>
      <c r="AZ162" s="145"/>
      <c r="BA162" s="397">
        <f>IF(AY162=0,0,(AZ162-AY162)/AY162*100)</f>
        <v>0</v>
      </c>
      <c r="BB162" s="145"/>
      <c r="BC162" s="145"/>
      <c r="BD162" s="397">
        <f>IF(BB162=0,0,(BC162-BB162)/BB162*100)</f>
        <v>0</v>
      </c>
      <c r="BE162" s="145"/>
      <c r="BF162" s="145"/>
      <c r="BG162" s="397">
        <f>IF(BE162=0,0,(BF162-BE162)/BE162*100)</f>
        <v>0</v>
      </c>
      <c r="BH162" s="145"/>
      <c r="BI162" s="145"/>
      <c r="BJ162" s="397">
        <f>IF(BH162=0,0,(BI162-BH162)/BH162*100)</f>
        <v>0</v>
      </c>
      <c r="BK162" s="145"/>
      <c r="BL162" s="145"/>
      <c r="BM162" s="397">
        <f>IF(BK162=0,0,(BL162-BK162)/BK162*100)</f>
        <v>0</v>
      </c>
      <c r="BN162" s="145"/>
      <c r="BO162" s="145"/>
      <c r="BP162" s="397">
        <f>IF(BN162=0,0,(BO162-BN162)/BN162*100)</f>
        <v>0</v>
      </c>
      <c r="BQ162" s="145"/>
      <c r="BR162" s="145"/>
      <c r="BS162" s="397">
        <f>IF(BQ162=0,0,(BR162-BQ162)/BQ162*100)</f>
        <v>0</v>
      </c>
      <c r="BT162" s="145"/>
      <c r="BU162" s="145"/>
      <c r="BV162" s="397">
        <f>IF(BT162=0,0,(BU162-BT162)/BT162*100)</f>
        <v>0</v>
      </c>
      <c r="BW162" s="145"/>
      <c r="BX162" s="145"/>
      <c r="BY162" s="397">
        <f>IF(BW162=0,0,(BX162-BW162)/BW162*100)</f>
        <v>0</v>
      </c>
      <c r="BZ162" s="145"/>
      <c r="CA162" s="145"/>
      <c r="CB162" s="397">
        <f>IF(BZ162=0,0,(CA162-BZ162)/BZ162*100)</f>
        <v>0</v>
      </c>
      <c r="CC162" s="145"/>
      <c r="CD162" s="145"/>
      <c r="CE162" s="397">
        <f>IF(CC162=0,0,(CD162-CC162)/CC162*100)</f>
        <v>0</v>
      </c>
      <c r="CF162" s="145"/>
      <c r="CG162" s="145"/>
      <c r="CH162" s="397">
        <f>IF(CF162=0,0,(CG162-CF162)/CF162*100)</f>
        <v>0</v>
      </c>
      <c r="CI162" s="145"/>
      <c r="CJ162" s="145"/>
      <c r="CK162" s="397">
        <f>IF(CI162=0,0,(CJ162-CI162)/CI162*100)</f>
        <v>0</v>
      </c>
      <c r="CL162" s="145"/>
      <c r="CM162" s="145"/>
      <c r="CN162" s="397">
        <f>IF(CL162=0,0,(CM162-CL162)/CL162*100)</f>
        <v>0</v>
      </c>
      <c r="CO162" s="145"/>
      <c r="CP162" s="145"/>
      <c r="CQ162" s="397">
        <f>IF(CO162=0,0,(CP162-CO162)/CO162*100)</f>
        <v>0</v>
      </c>
      <c r="CR162" s="145"/>
      <c r="CS162" s="145"/>
      <c r="CT162" s="397">
        <f>IF(CR162=0,0,(CS162-CR162)/CR162*100)</f>
        <v>0</v>
      </c>
      <c r="CU162" s="145"/>
      <c r="CV162" s="145"/>
      <c r="CW162" s="397">
        <f>IF(CU162=0,0,(CV162-CU162)/CU162*100)</f>
        <v>0</v>
      </c>
      <c r="CX162" s="145"/>
      <c r="CY162" s="145"/>
      <c r="CZ162" s="397">
        <f>IF(CX162=0,0,(CY162-CX162)/CX162*100)</f>
        <v>0</v>
      </c>
      <c r="DA162" s="145"/>
      <c r="DB162" s="145"/>
      <c r="DC162" s="397">
        <f>IF(DA162=0,0,(DB162-DA162)/DA162*100)</f>
        <v>0</v>
      </c>
      <c r="DD162" s="145"/>
      <c r="DE162" s="145"/>
      <c r="DF162" s="397">
        <f>IF(DD162=0,0,(DE162-DD162)/DD162*100)</f>
        <v>0</v>
      </c>
      <c r="DG162" s="145"/>
      <c r="DH162" s="145"/>
      <c r="DI162" s="397">
        <f>IF(DG162=0,0,(DH162-DG162)/DG162*100)</f>
        <v>0</v>
      </c>
      <c r="DJ162" s="145"/>
      <c r="DK162" s="145"/>
      <c r="DL162" s="397">
        <f>IF(DJ162=0,0,(DK162-DJ162)/DJ162*100)</f>
        <v>0</v>
      </c>
      <c r="DM162" s="145"/>
      <c r="DN162" s="145"/>
      <c r="DO162" s="397">
        <f>IF(DM162=0,0,(DN162-DM162)/DM162*100)</f>
        <v>0</v>
      </c>
      <c r="DP162" s="145"/>
      <c r="DQ162" s="145"/>
      <c r="DR162" s="397">
        <f>IF(DP162=0,0,(DQ162-DP162)/DP162*100)</f>
        <v>0</v>
      </c>
      <c r="DS162" s="145"/>
      <c r="DT162" s="145"/>
      <c r="DU162" s="397">
        <f>IF(DS162=0,0,(DT162-DS162)/DS162*100)</f>
        <v>0</v>
      </c>
      <c r="DV162" s="145"/>
      <c r="DW162" s="145"/>
      <c r="DX162" s="397">
        <f>IF(DV162=0,0,(DW162-DV162)/DV162*100)</f>
        <v>0</v>
      </c>
      <c r="DY162" s="145"/>
      <c r="DZ162" s="145"/>
      <c r="EA162" s="397">
        <f>IF(DY162=0,0,(DZ162-DY162)/DY162*100)</f>
        <v>0</v>
      </c>
      <c r="EB162" s="145"/>
      <c r="EC162" s="145"/>
      <c r="ED162" s="397">
        <f>IF(EB162=0,0,(EC162-EB162)/EB162*100)</f>
        <v>0</v>
      </c>
      <c r="EE162" s="145"/>
      <c r="EF162" s="145"/>
      <c r="EG162" s="397">
        <f>IF(EE162=0,0,(EF162-EE162)/EE162*100)</f>
        <v>0</v>
      </c>
      <c r="EH162" s="145"/>
      <c r="EI162" s="145"/>
      <c r="EJ162" s="397">
        <f>IF(EH162=0,0,(EI162-EH162)/EH162*100)</f>
        <v>0</v>
      </c>
      <c r="EK162" s="145"/>
      <c r="EL162" s="145"/>
      <c r="EM162" s="397">
        <f>IF(EK162=0,0,(EL162-EK162)/EK162*100)</f>
        <v>0</v>
      </c>
      <c r="EN162" s="145"/>
      <c r="EO162" s="145"/>
      <c r="EP162" s="397">
        <f>IF(EN162=0,0,(EO162-EN162)/EN162*100)</f>
        <v>0</v>
      </c>
      <c r="EQ162" s="145"/>
      <c r="ER162" s="145"/>
      <c r="ES162" s="397">
        <f>IF(EQ162=0,0,(ER162-EQ162)/EQ162*100)</f>
        <v>0</v>
      </c>
      <c r="ET162" s="145"/>
      <c r="EU162" s="145"/>
      <c r="EV162" s="397">
        <f>IF(ET162=0,0,(EU162-ET162)/ET162*100)</f>
        <v>0</v>
      </c>
      <c r="EW162" s="145"/>
      <c r="EX162" s="145"/>
      <c r="EY162" s="397">
        <f>IF(EW162=0,0,(EX162-EW162)/EW162*100)</f>
        <v>0</v>
      </c>
      <c r="EZ162" s="145"/>
      <c r="FA162" s="145"/>
      <c r="FB162" s="397">
        <f>IF(EZ162=0,0,(FA162-EZ162)/EZ162*100)</f>
        <v>0</v>
      </c>
      <c r="FC162" s="145"/>
      <c r="FD162" s="145"/>
      <c r="FE162" s="397">
        <f>IF(FC162=0,0,(FD162-FC162)/FC162*100)</f>
        <v>0</v>
      </c>
      <c r="FF162" s="145"/>
      <c r="FG162" s="145"/>
      <c r="FH162" s="397">
        <f>IF(FF162=0,0,(FG162-FF162)/FF162*100)</f>
        <v>0</v>
      </c>
      <c r="FI162" s="145"/>
      <c r="FJ162" s="145"/>
      <c r="FK162" s="397">
        <f>IF(FI162=0,0,(FJ162-FI162)/FI162*100)</f>
        <v>0</v>
      </c>
      <c r="FL162" s="145"/>
      <c r="FM162" s="145"/>
      <c r="FN162" s="397">
        <f>IF(FL162=0,0,(FM162-FL162)/FL162*100)</f>
        <v>0</v>
      </c>
      <c r="FO162" s="145"/>
      <c r="FP162" s="145"/>
      <c r="FQ162" s="397">
        <f>IF(FO162=0,0,(FP162-FO162)/FO162*100)</f>
        <v>0</v>
      </c>
      <c r="FR162" s="145"/>
      <c r="FS162" s="145"/>
      <c r="FT162" s="397">
        <f>IF(FR162=0,0,(FS162-FR162)/FR162*100)</f>
        <v>0</v>
      </c>
      <c r="FU162" s="145"/>
      <c r="FV162" s="145"/>
      <c r="FW162" s="397">
        <f>IF(FU162=0,0,(FV162-FU162)/FU162*100)</f>
        <v>0</v>
      </c>
      <c r="FX162" s="497"/>
      <c r="FY162" s="497"/>
      <c r="FZ162" s="1181" t="s">
        <v>2174</v>
      </c>
      <c r="GA162" s="1181"/>
      <c r="GB162" s="1181"/>
      <c r="GC162" s="1181"/>
      <c r="GD162" s="1181"/>
    </row>
    <row s="1619" customFormat="1" customHeight="1" ht="30" hidden="1">
      <c r="A163" s="1461"/>
      <c r="B163" s="961" cm="1" t="str">
        <f t="array" ref="B163:B163">B162</f>
        <v>false</v>
      </c>
      <c r="C163" s="1322" t="s">
        <v>1775</v>
      </c>
      <c r="D163" s="1291" t="s">
        <v>1776</v>
      </c>
      <c r="E163" s="794">
        <v>31.5</v>
      </c>
      <c r="F163" s="919" cm="1" t="str">
        <f t="array" ref="F163:F163">OFFSET(G163,-1,-1)</f>
        <v>2</v>
      </c>
      <c r="G163" s="497"/>
      <c r="H163" s="210" t="s">
        <v>2149</v>
      </c>
      <c r="I163" s="210" t="s">
        <v>2115</v>
      </c>
      <c r="J163" s="1312"/>
      <c r="K163" s="1312" cm="1" t="str">
        <f t="array" ref="K163:K163">OFFSET(J163,-1,1)</f>
        <v>ТЭ.42.26824396.0005</v>
      </c>
      <c r="L163" s="1312"/>
      <c r="M163" s="1312" t="s">
        <v>1733</v>
      </c>
      <c r="N163" s="1312" t="s">
        <v>2111</v>
      </c>
      <c r="O163" s="1313" t="s">
        <v>2112</v>
      </c>
      <c r="P163" s="1312" t="s">
        <v>2150</v>
      </c>
      <c r="Q163" s="1312"/>
      <c r="R163" s="925"/>
      <c r="S163" s="497"/>
      <c r="T163" s="805" cm="1" t="str">
        <f t="array" ref="T163:T163">T162</f>
        <v>false</v>
      </c>
      <c r="U163" s="1461"/>
      <c r="V163" s="1461"/>
      <c r="W163" s="1461"/>
      <c r="X163" s="1461"/>
      <c r="Y163" s="1461"/>
      <c r="Z163" s="1461"/>
      <c r="AA163" s="497"/>
      <c r="AB163" s="273" t="s">
        <v>2151</v>
      </c>
      <c r="AC163" s="517" t="s">
        <v>1779</v>
      </c>
      <c r="AD163" s="66"/>
      <c r="AE163" s="66"/>
      <c r="AF163" s="365">
        <f>IF(AD163=0,0,(AE163-AD163)/AD163*100)</f>
        <v>0</v>
      </c>
      <c r="AG163" s="366"/>
      <c r="AH163" s="366"/>
      <c r="AI163" s="365">
        <f>IF(AG163=0,0,(AH163-AG163)/AG163*100)</f>
        <v>0</v>
      </c>
      <c r="AJ163" s="366"/>
      <c r="AK163" s="366"/>
      <c r="AL163" s="365">
        <f>IF(AJ163=0,0,(AK163-AJ163)/AJ163*100)</f>
        <v>0</v>
      </c>
      <c r="AM163" s="366"/>
      <c r="AN163" s="366"/>
      <c r="AO163" s="365">
        <f>IF(AM163=0,0,(AN163-AM163)/AM163*100)</f>
        <v>0</v>
      </c>
      <c r="AP163" s="366"/>
      <c r="AQ163" s="366"/>
      <c r="AR163" s="365">
        <f>IF(AP163=0,0,(AQ163-AP163)/AP163*100)</f>
        <v>0</v>
      </c>
      <c r="AS163" s="66"/>
      <c r="AT163" s="66"/>
      <c r="AU163" s="365">
        <f>IF(AS163=0,0,(AT163-AS163)/AS163*100)</f>
        <v>0</v>
      </c>
      <c r="AV163" s="66"/>
      <c r="AW163" s="66"/>
      <c r="AX163" s="365">
        <f>IF(AV163=0,0,(AW163-AV163)/AV163*100)</f>
        <v>0</v>
      </c>
      <c r="AY163" s="66"/>
      <c r="AZ163" s="66"/>
      <c r="BA163" s="365">
        <f>IF(AY163=0,0,(AZ163-AY163)/AY163*100)</f>
        <v>0</v>
      </c>
      <c r="BB163" s="66"/>
      <c r="BC163" s="66"/>
      <c r="BD163" s="365">
        <f>IF(BB163=0,0,(BC163-BB163)/BB163*100)</f>
        <v>0</v>
      </c>
      <c r="BE163" s="66"/>
      <c r="BF163" s="66"/>
      <c r="BG163" s="365">
        <f>IF(BE163=0,0,(BF163-BE163)/BE163*100)</f>
        <v>0</v>
      </c>
      <c r="BH163" s="66"/>
      <c r="BI163" s="66"/>
      <c r="BJ163" s="365">
        <f>IF(BH163=0,0,(BI163-BH163)/BH163*100)</f>
        <v>0</v>
      </c>
      <c r="BK163" s="66"/>
      <c r="BL163" s="66"/>
      <c r="BM163" s="365">
        <f>IF(BK163=0,0,(BL163-BK163)/BK163*100)</f>
        <v>0</v>
      </c>
      <c r="BN163" s="66"/>
      <c r="BO163" s="66"/>
      <c r="BP163" s="365">
        <f>IF(BN163=0,0,(BO163-BN163)/BN163*100)</f>
        <v>0</v>
      </c>
      <c r="BQ163" s="66"/>
      <c r="BR163" s="66"/>
      <c r="BS163" s="365">
        <f>IF(BQ163=0,0,(BR163-BQ163)/BQ163*100)</f>
        <v>0</v>
      </c>
      <c r="BT163" s="66"/>
      <c r="BU163" s="66"/>
      <c r="BV163" s="365">
        <f>IF(BT163=0,0,(BU163-BT163)/BT163*100)</f>
        <v>0</v>
      </c>
      <c r="BW163" s="66"/>
      <c r="BX163" s="66"/>
      <c r="BY163" s="365">
        <f>IF(BW163=0,0,(BX163-BW163)/BW163*100)</f>
        <v>0</v>
      </c>
      <c r="BZ163" s="66"/>
      <c r="CA163" s="66"/>
      <c r="CB163" s="365">
        <f>IF(BZ163=0,0,(CA163-BZ163)/BZ163*100)</f>
        <v>0</v>
      </c>
      <c r="CC163" s="66"/>
      <c r="CD163" s="66"/>
      <c r="CE163" s="365">
        <f>IF(CC163=0,0,(CD163-CC163)/CC163*100)</f>
        <v>0</v>
      </c>
      <c r="CF163" s="66"/>
      <c r="CG163" s="66"/>
      <c r="CH163" s="365">
        <f>IF(CF163=0,0,(CG163-CF163)/CF163*100)</f>
        <v>0</v>
      </c>
      <c r="CI163" s="66"/>
      <c r="CJ163" s="66"/>
      <c r="CK163" s="365">
        <f>IF(CI163=0,0,(CJ163-CI163)/CI163*100)</f>
        <v>0</v>
      </c>
      <c r="CL163" s="66"/>
      <c r="CM163" s="66"/>
      <c r="CN163" s="365">
        <f>IF(CL163=0,0,(CM163-CL163)/CL163*100)</f>
        <v>0</v>
      </c>
      <c r="CO163" s="66"/>
      <c r="CP163" s="66"/>
      <c r="CQ163" s="365">
        <f>IF(CO163=0,0,(CP163-CO163)/CO163*100)</f>
        <v>0</v>
      </c>
      <c r="CR163" s="66"/>
      <c r="CS163" s="66"/>
      <c r="CT163" s="365">
        <f>IF(CR163=0,0,(CS163-CR163)/CR163*100)</f>
        <v>0</v>
      </c>
      <c r="CU163" s="66"/>
      <c r="CV163" s="66"/>
      <c r="CW163" s="365">
        <f>IF(CU163=0,0,(CV163-CU163)/CU163*100)</f>
        <v>0</v>
      </c>
      <c r="CX163" s="66"/>
      <c r="CY163" s="66"/>
      <c r="CZ163" s="365">
        <f>IF(CX163=0,0,(CY163-CX163)/CX163*100)</f>
        <v>0</v>
      </c>
      <c r="DA163" s="66"/>
      <c r="DB163" s="66"/>
      <c r="DC163" s="365">
        <f>IF(DA163=0,0,(DB163-DA163)/DA163*100)</f>
        <v>0</v>
      </c>
      <c r="DD163" s="66"/>
      <c r="DE163" s="66"/>
      <c r="DF163" s="365">
        <f>IF(DD163=0,0,(DE163-DD163)/DD163*100)</f>
        <v>0</v>
      </c>
      <c r="DG163" s="66"/>
      <c r="DH163" s="66"/>
      <c r="DI163" s="365">
        <f>IF(DG163=0,0,(DH163-DG163)/DG163*100)</f>
        <v>0</v>
      </c>
      <c r="DJ163" s="66"/>
      <c r="DK163" s="66"/>
      <c r="DL163" s="365">
        <f>IF(DJ163=0,0,(DK163-DJ163)/DJ163*100)</f>
        <v>0</v>
      </c>
      <c r="DM163" s="66"/>
      <c r="DN163" s="66"/>
      <c r="DO163" s="365">
        <f>IF(DM163=0,0,(DN163-DM163)/DM163*100)</f>
        <v>0</v>
      </c>
      <c r="DP163" s="66"/>
      <c r="DQ163" s="66"/>
      <c r="DR163" s="365">
        <f>IF(DP163=0,0,(DQ163-DP163)/DP163*100)</f>
        <v>0</v>
      </c>
      <c r="DS163" s="66"/>
      <c r="DT163" s="66"/>
      <c r="DU163" s="365">
        <f>IF(DS163=0,0,(DT163-DS163)/DS163*100)</f>
        <v>0</v>
      </c>
      <c r="DV163" s="66"/>
      <c r="DW163" s="66"/>
      <c r="DX163" s="365">
        <f>IF(DV163=0,0,(DW163-DV163)/DV163*100)</f>
        <v>0</v>
      </c>
      <c r="DY163" s="66"/>
      <c r="DZ163" s="66"/>
      <c r="EA163" s="365">
        <f>IF(DY163=0,0,(DZ163-DY163)/DY163*100)</f>
        <v>0</v>
      </c>
      <c r="EB163" s="66"/>
      <c r="EC163" s="66"/>
      <c r="ED163" s="365">
        <f>IF(EB163=0,0,(EC163-EB163)/EB163*100)</f>
        <v>0</v>
      </c>
      <c r="EE163" s="66"/>
      <c r="EF163" s="66"/>
      <c r="EG163" s="365">
        <f>IF(EE163=0,0,(EF163-EE163)/EE163*100)</f>
        <v>0</v>
      </c>
      <c r="EH163" s="66"/>
      <c r="EI163" s="66"/>
      <c r="EJ163" s="365">
        <f>IF(EH163=0,0,(EI163-EH163)/EH163*100)</f>
        <v>0</v>
      </c>
      <c r="EK163" s="66"/>
      <c r="EL163" s="66"/>
      <c r="EM163" s="365">
        <f>IF(EK163=0,0,(EL163-EK163)/EK163*100)</f>
        <v>0</v>
      </c>
      <c r="EN163" s="66"/>
      <c r="EO163" s="66"/>
      <c r="EP163" s="365">
        <f>IF(EN163=0,0,(EO163-EN163)/EN163*100)</f>
        <v>0</v>
      </c>
      <c r="EQ163" s="66"/>
      <c r="ER163" s="66"/>
      <c r="ES163" s="365">
        <f>IF(EQ163=0,0,(ER163-EQ163)/EQ163*100)</f>
        <v>0</v>
      </c>
      <c r="ET163" s="66"/>
      <c r="EU163" s="66"/>
      <c r="EV163" s="365">
        <f>IF(ET163=0,0,(EU163-ET163)/ET163*100)</f>
        <v>0</v>
      </c>
      <c r="EW163" s="66"/>
      <c r="EX163" s="66"/>
      <c r="EY163" s="365">
        <f>IF(EW163=0,0,(EX163-EW163)/EW163*100)</f>
        <v>0</v>
      </c>
      <c r="EZ163" s="66"/>
      <c r="FA163" s="66"/>
      <c r="FB163" s="365">
        <f>IF(EZ163=0,0,(FA163-EZ163)/EZ163*100)</f>
        <v>0</v>
      </c>
      <c r="FC163" s="66"/>
      <c r="FD163" s="66"/>
      <c r="FE163" s="365">
        <f>IF(FC163=0,0,(FD163-FC163)/FC163*100)</f>
        <v>0</v>
      </c>
      <c r="FF163" s="66"/>
      <c r="FG163" s="66"/>
      <c r="FH163" s="365">
        <f>IF(FF163=0,0,(FG163-FF163)/FF163*100)</f>
        <v>0</v>
      </c>
      <c r="FI163" s="66"/>
      <c r="FJ163" s="66"/>
      <c r="FK163" s="365">
        <f>IF(FI163=0,0,(FJ163-FI163)/FI163*100)</f>
        <v>0</v>
      </c>
      <c r="FL163" s="66"/>
      <c r="FM163" s="66"/>
      <c r="FN163" s="365">
        <f>IF(FL163=0,0,(FM163-FL163)/FL163*100)</f>
        <v>0</v>
      </c>
      <c r="FO163" s="66"/>
      <c r="FP163" s="66"/>
      <c r="FQ163" s="365">
        <f>IF(FO163=0,0,(FP163-FO163)/FO163*100)</f>
        <v>0</v>
      </c>
      <c r="FR163" s="66"/>
      <c r="FS163" s="66"/>
      <c r="FT163" s="365">
        <f>IF(FR163=0,0,(FS163-FR163)/FR163*100)</f>
        <v>0</v>
      </c>
      <c r="FU163" s="66"/>
      <c r="FV163" s="66"/>
      <c r="FW163" s="365">
        <f>IF(FU163=0,0,(FV163-FU163)/FU163*100)</f>
        <v>0</v>
      </c>
      <c r="FX163" s="497"/>
      <c r="FY163" s="497"/>
      <c r="FZ163" s="1181" t="s">
        <v>2175</v>
      </c>
      <c r="GA163" s="1181"/>
      <c r="GB163" s="1181"/>
      <c r="GC163" s="1181"/>
      <c r="GD163" s="1181"/>
    </row>
    <row s="1619" customFormat="1" customHeight="1" ht="15" hidden="1">
      <c r="A164" s="1461"/>
      <c r="B164" s="961" cm="1" t="str">
        <f t="array" ref="B164:B164">B163</f>
        <v>false</v>
      </c>
      <c r="C164" s="1322" t="s">
        <v>1747</v>
      </c>
      <c r="D164" s="1291" t="s">
        <v>1748</v>
      </c>
      <c r="E164" s="794">
        <v>15.8</v>
      </c>
      <c r="F164" s="919" cm="1" t="str">
        <f t="array" ref="F164:F164">OFFSET(G164,-1,-1)</f>
        <v>2</v>
      </c>
      <c r="G164" s="497"/>
      <c r="H164" s="210" t="s">
        <v>2153</v>
      </c>
      <c r="I164" s="210" t="s">
        <v>2115</v>
      </c>
      <c r="J164" s="1312"/>
      <c r="K164" s="1312" cm="1" t="str">
        <f t="array" ref="K164:K164">OFFSET(J164,-1,1)</f>
        <v>ТЭ.42.26824396.0005</v>
      </c>
      <c r="L164" s="1312"/>
      <c r="M164" s="1312" t="s">
        <v>1733</v>
      </c>
      <c r="N164" s="1312" t="s">
        <v>2111</v>
      </c>
      <c r="O164" s="1313" t="s">
        <v>2112</v>
      </c>
      <c r="P164" s="1312" t="s">
        <v>2154</v>
      </c>
      <c r="Q164" s="1312"/>
      <c r="R164" s="925"/>
      <c r="S164" s="497"/>
      <c r="T164" s="805" cm="1" t="str">
        <f t="array" ref="T164:T164">T163</f>
        <v>false</v>
      </c>
      <c r="U164" s="1461"/>
      <c r="V164" s="1461"/>
      <c r="W164" s="1461"/>
      <c r="X164" s="1461"/>
      <c r="Y164" s="1461"/>
      <c r="Z164" s="1461"/>
      <c r="AA164" s="497"/>
      <c r="AB164" s="273" t="s">
        <v>2155</v>
      </c>
      <c r="AC164" s="664" t="s">
        <v>690</v>
      </c>
      <c r="AD164" s="66"/>
      <c r="AE164" s="66"/>
      <c r="AF164" s="365">
        <f>IF(AD164=0,0,(AE164-AD164)/AD164*100)</f>
        <v>0</v>
      </c>
      <c r="AG164" s="366"/>
      <c r="AH164" s="366"/>
      <c r="AI164" s="365">
        <f>IF(AG164=0,0,(AH164-AG164)/AG164*100)</f>
        <v>0</v>
      </c>
      <c r="AJ164" s="366"/>
      <c r="AK164" s="366"/>
      <c r="AL164" s="365">
        <f>IF(AJ164=0,0,(AK164-AJ164)/AJ164*100)</f>
        <v>0</v>
      </c>
      <c r="AM164" s="366"/>
      <c r="AN164" s="366"/>
      <c r="AO164" s="365">
        <f>IF(AM164=0,0,(AN164-AM164)/AM164*100)</f>
        <v>0</v>
      </c>
      <c r="AP164" s="366"/>
      <c r="AQ164" s="366"/>
      <c r="AR164" s="365">
        <f>IF(AP164=0,0,(AQ164-AP164)/AP164*100)</f>
        <v>0</v>
      </c>
      <c r="AS164" s="66"/>
      <c r="AT164" s="66"/>
      <c r="AU164" s="365">
        <f>IF(AS164=0,0,(AT164-AS164)/AS164*100)</f>
        <v>0</v>
      </c>
      <c r="AV164" s="66"/>
      <c r="AW164" s="66"/>
      <c r="AX164" s="365">
        <f>IF(AV164=0,0,(AW164-AV164)/AV164*100)</f>
        <v>0</v>
      </c>
      <c r="AY164" s="66"/>
      <c r="AZ164" s="66"/>
      <c r="BA164" s="365">
        <f>IF(AY164=0,0,(AZ164-AY164)/AY164*100)</f>
        <v>0</v>
      </c>
      <c r="BB164" s="66"/>
      <c r="BC164" s="66"/>
      <c r="BD164" s="365">
        <f>IF(BB164=0,0,(BC164-BB164)/BB164*100)</f>
        <v>0</v>
      </c>
      <c r="BE164" s="66"/>
      <c r="BF164" s="66"/>
      <c r="BG164" s="365">
        <f>IF(BE164=0,0,(BF164-BE164)/BE164*100)</f>
        <v>0</v>
      </c>
      <c r="BH164" s="66"/>
      <c r="BI164" s="66"/>
      <c r="BJ164" s="365">
        <f>IF(BH164=0,0,(BI164-BH164)/BH164*100)</f>
        <v>0</v>
      </c>
      <c r="BK164" s="66"/>
      <c r="BL164" s="66"/>
      <c r="BM164" s="365">
        <f>IF(BK164=0,0,(BL164-BK164)/BK164*100)</f>
        <v>0</v>
      </c>
      <c r="BN164" s="66"/>
      <c r="BO164" s="66"/>
      <c r="BP164" s="365">
        <f>IF(BN164=0,0,(BO164-BN164)/BN164*100)</f>
        <v>0</v>
      </c>
      <c r="BQ164" s="66"/>
      <c r="BR164" s="66"/>
      <c r="BS164" s="365">
        <f>IF(BQ164=0,0,(BR164-BQ164)/BQ164*100)</f>
        <v>0</v>
      </c>
      <c r="BT164" s="66"/>
      <c r="BU164" s="66"/>
      <c r="BV164" s="365">
        <f>IF(BT164=0,0,(BU164-BT164)/BT164*100)</f>
        <v>0</v>
      </c>
      <c r="BW164" s="66"/>
      <c r="BX164" s="66"/>
      <c r="BY164" s="365">
        <f>IF(BW164=0,0,(BX164-BW164)/BW164*100)</f>
        <v>0</v>
      </c>
      <c r="BZ164" s="66"/>
      <c r="CA164" s="66"/>
      <c r="CB164" s="365">
        <f>IF(BZ164=0,0,(CA164-BZ164)/BZ164*100)</f>
        <v>0</v>
      </c>
      <c r="CC164" s="66"/>
      <c r="CD164" s="66"/>
      <c r="CE164" s="365">
        <f>IF(CC164=0,0,(CD164-CC164)/CC164*100)</f>
        <v>0</v>
      </c>
      <c r="CF164" s="66"/>
      <c r="CG164" s="66"/>
      <c r="CH164" s="365">
        <f>IF(CF164=0,0,(CG164-CF164)/CF164*100)</f>
        <v>0</v>
      </c>
      <c r="CI164" s="66"/>
      <c r="CJ164" s="66"/>
      <c r="CK164" s="365">
        <f>IF(CI164=0,0,(CJ164-CI164)/CI164*100)</f>
        <v>0</v>
      </c>
      <c r="CL164" s="66"/>
      <c r="CM164" s="66"/>
      <c r="CN164" s="365">
        <f>IF(CL164=0,0,(CM164-CL164)/CL164*100)</f>
        <v>0</v>
      </c>
      <c r="CO164" s="66"/>
      <c r="CP164" s="66"/>
      <c r="CQ164" s="365">
        <f>IF(CO164=0,0,(CP164-CO164)/CO164*100)</f>
        <v>0</v>
      </c>
      <c r="CR164" s="66"/>
      <c r="CS164" s="66"/>
      <c r="CT164" s="365">
        <f>IF(CR164=0,0,(CS164-CR164)/CR164*100)</f>
        <v>0</v>
      </c>
      <c r="CU164" s="66"/>
      <c r="CV164" s="66"/>
      <c r="CW164" s="365">
        <f>IF(CU164=0,0,(CV164-CU164)/CU164*100)</f>
        <v>0</v>
      </c>
      <c r="CX164" s="66"/>
      <c r="CY164" s="66"/>
      <c r="CZ164" s="365">
        <f>IF(CX164=0,0,(CY164-CX164)/CX164*100)</f>
        <v>0</v>
      </c>
      <c r="DA164" s="66"/>
      <c r="DB164" s="66"/>
      <c r="DC164" s="365">
        <f>IF(DA164=0,0,(DB164-DA164)/DA164*100)</f>
        <v>0</v>
      </c>
      <c r="DD164" s="66"/>
      <c r="DE164" s="66"/>
      <c r="DF164" s="365">
        <f>IF(DD164=0,0,(DE164-DD164)/DD164*100)</f>
        <v>0</v>
      </c>
      <c r="DG164" s="66"/>
      <c r="DH164" s="66"/>
      <c r="DI164" s="365">
        <f>IF(DG164=0,0,(DH164-DG164)/DG164*100)</f>
        <v>0</v>
      </c>
      <c r="DJ164" s="66"/>
      <c r="DK164" s="66"/>
      <c r="DL164" s="365">
        <f>IF(DJ164=0,0,(DK164-DJ164)/DJ164*100)</f>
        <v>0</v>
      </c>
      <c r="DM164" s="66"/>
      <c r="DN164" s="66"/>
      <c r="DO164" s="365">
        <f>IF(DM164=0,0,(DN164-DM164)/DM164*100)</f>
        <v>0</v>
      </c>
      <c r="DP164" s="66"/>
      <c r="DQ164" s="66"/>
      <c r="DR164" s="365">
        <f>IF(DP164=0,0,(DQ164-DP164)/DP164*100)</f>
        <v>0</v>
      </c>
      <c r="DS164" s="66"/>
      <c r="DT164" s="66"/>
      <c r="DU164" s="365">
        <f>IF(DS164=0,0,(DT164-DS164)/DS164*100)</f>
        <v>0</v>
      </c>
      <c r="DV164" s="66"/>
      <c r="DW164" s="66"/>
      <c r="DX164" s="365">
        <f>IF(DV164=0,0,(DW164-DV164)/DV164*100)</f>
        <v>0</v>
      </c>
      <c r="DY164" s="66"/>
      <c r="DZ164" s="66"/>
      <c r="EA164" s="365">
        <f>IF(DY164=0,0,(DZ164-DY164)/DY164*100)</f>
        <v>0</v>
      </c>
      <c r="EB164" s="66"/>
      <c r="EC164" s="66"/>
      <c r="ED164" s="365">
        <f>IF(EB164=0,0,(EC164-EB164)/EB164*100)</f>
        <v>0</v>
      </c>
      <c r="EE164" s="66"/>
      <c r="EF164" s="66"/>
      <c r="EG164" s="365">
        <f>IF(EE164=0,0,(EF164-EE164)/EE164*100)</f>
        <v>0</v>
      </c>
      <c r="EH164" s="66"/>
      <c r="EI164" s="66"/>
      <c r="EJ164" s="365">
        <f>IF(EH164=0,0,(EI164-EH164)/EH164*100)</f>
        <v>0</v>
      </c>
      <c r="EK164" s="66"/>
      <c r="EL164" s="66"/>
      <c r="EM164" s="365">
        <f>IF(EK164=0,0,(EL164-EK164)/EK164*100)</f>
        <v>0</v>
      </c>
      <c r="EN164" s="66"/>
      <c r="EO164" s="66"/>
      <c r="EP164" s="365">
        <f>IF(EN164=0,0,(EO164-EN164)/EN164*100)</f>
        <v>0</v>
      </c>
      <c r="EQ164" s="66"/>
      <c r="ER164" s="66"/>
      <c r="ES164" s="365">
        <f>IF(EQ164=0,0,(ER164-EQ164)/EQ164*100)</f>
        <v>0</v>
      </c>
      <c r="ET164" s="66"/>
      <c r="EU164" s="66"/>
      <c r="EV164" s="365">
        <f>IF(ET164=0,0,(EU164-ET164)/ET164*100)</f>
        <v>0</v>
      </c>
      <c r="EW164" s="66"/>
      <c r="EX164" s="66"/>
      <c r="EY164" s="365">
        <f>IF(EW164=0,0,(EX164-EW164)/EW164*100)</f>
        <v>0</v>
      </c>
      <c r="EZ164" s="66"/>
      <c r="FA164" s="66"/>
      <c r="FB164" s="365">
        <f>IF(EZ164=0,0,(FA164-EZ164)/EZ164*100)</f>
        <v>0</v>
      </c>
      <c r="FC164" s="66"/>
      <c r="FD164" s="66"/>
      <c r="FE164" s="365">
        <f>IF(FC164=0,0,(FD164-FC164)/FC164*100)</f>
        <v>0</v>
      </c>
      <c r="FF164" s="66"/>
      <c r="FG164" s="66"/>
      <c r="FH164" s="365">
        <f>IF(FF164=0,0,(FG164-FF164)/FF164*100)</f>
        <v>0</v>
      </c>
      <c r="FI164" s="66"/>
      <c r="FJ164" s="66"/>
      <c r="FK164" s="365">
        <f>IF(FI164=0,0,(FJ164-FI164)/FI164*100)</f>
        <v>0</v>
      </c>
      <c r="FL164" s="66"/>
      <c r="FM164" s="66"/>
      <c r="FN164" s="365">
        <f>IF(FL164=0,0,(FM164-FL164)/FL164*100)</f>
        <v>0</v>
      </c>
      <c r="FO164" s="66"/>
      <c r="FP164" s="66"/>
      <c r="FQ164" s="365">
        <f>IF(FO164=0,0,(FP164-FO164)/FO164*100)</f>
        <v>0</v>
      </c>
      <c r="FR164" s="66"/>
      <c r="FS164" s="66"/>
      <c r="FT164" s="365">
        <f>IF(FR164=0,0,(FS164-FR164)/FR164*100)</f>
        <v>0</v>
      </c>
      <c r="FU164" s="66"/>
      <c r="FV164" s="66"/>
      <c r="FW164" s="365">
        <f>IF(FU164=0,0,(FV164-FU164)/FU164*100)</f>
        <v>0</v>
      </c>
      <c r="FX164" s="497"/>
      <c r="FY164" s="497"/>
      <c r="FZ164" s="1181" t="s">
        <v>2176</v>
      </c>
      <c r="GA164" s="1181"/>
      <c r="GB164" s="1181"/>
      <c r="GC164" s="1181"/>
      <c r="GD164" s="1181"/>
    </row>
    <row s="1619" customFormat="1" customHeight="1" ht="15.75" hidden="1">
      <c r="A165" s="1461"/>
      <c r="B165" s="961" t="b">
        <v>0</v>
      </c>
      <c r="C165" s="1322"/>
      <c r="D165" s="1291"/>
      <c r="E165" s="794">
        <v>0</v>
      </c>
      <c r="F165" s="919" cm="1" t="str">
        <f t="array" ref="F165:F165">OFFSET(G165,-1,-1)</f>
        <v>2</v>
      </c>
      <c r="G165" s="497"/>
      <c r="H165" s="210" t="str">
        <f>F165&amp;"pIns2"</f>
        <v>2pIns2</v>
      </c>
      <c r="I165" s="497"/>
      <c r="J165" s="1314"/>
      <c r="K165" s="1314"/>
      <c r="L165" s="1314"/>
      <c r="M165" s="1314"/>
      <c r="N165" s="1314"/>
      <c r="O165" s="1314"/>
      <c r="P165" s="1314"/>
      <c r="Q165" s="1296"/>
      <c r="R165" s="925"/>
      <c r="S165" s="497"/>
      <c r="T165" s="805" t="b">
        <v>0</v>
      </c>
      <c r="U165" s="1461"/>
      <c r="V165" s="1461"/>
      <c r="W165" s="1461"/>
      <c r="X165" s="1461"/>
      <c r="Y165" s="1461"/>
      <c r="Z165" s="1461"/>
      <c r="AA165" s="497"/>
      <c r="AB165" s="897" t="s">
        <v>235</v>
      </c>
      <c r="AC165" s="338"/>
      <c r="AD165" s="336"/>
      <c r="AE165" s="336"/>
      <c r="AF165" s="336"/>
      <c r="AG165" s="336"/>
      <c r="AH165" s="336"/>
      <c r="AI165" s="336"/>
      <c r="AJ165" s="336"/>
      <c r="AK165" s="336"/>
      <c r="AL165" s="336"/>
      <c r="AM165" s="336"/>
      <c r="AN165" s="336"/>
      <c r="AO165" s="336"/>
      <c r="AP165" s="336"/>
      <c r="AQ165" s="336"/>
      <c r="AR165" s="336"/>
      <c r="AS165" s="336"/>
      <c r="AT165" s="336"/>
      <c r="AU165" s="336"/>
      <c r="AV165" s="336"/>
      <c r="AW165" s="336"/>
      <c r="AX165" s="336"/>
      <c r="AY165" s="336"/>
      <c r="AZ165" s="336"/>
      <c r="BA165" s="336"/>
      <c r="BB165" s="336"/>
      <c r="BC165" s="336"/>
      <c r="BD165" s="336"/>
      <c r="BE165" s="336"/>
      <c r="BF165" s="336"/>
      <c r="BG165" s="336"/>
      <c r="BH165" s="336"/>
      <c r="BI165" s="336"/>
      <c r="BJ165" s="336"/>
      <c r="BK165" s="336"/>
      <c r="BL165" s="336"/>
      <c r="BM165" s="336"/>
      <c r="BN165" s="336"/>
      <c r="BO165" s="336"/>
      <c r="BP165" s="336"/>
      <c r="BQ165" s="336"/>
      <c r="BR165" s="336"/>
      <c r="BS165" s="336"/>
      <c r="BT165" s="336"/>
      <c r="BU165" s="336"/>
      <c r="BV165" s="336"/>
      <c r="BW165" s="336"/>
      <c r="BX165" s="336"/>
      <c r="BY165" s="336"/>
      <c r="BZ165" s="336"/>
      <c r="CA165" s="336"/>
      <c r="CB165" s="336"/>
      <c r="CC165" s="336"/>
      <c r="CD165" s="336"/>
      <c r="CE165" s="336"/>
      <c r="CF165" s="336"/>
      <c r="CG165" s="336"/>
      <c r="CH165" s="336"/>
      <c r="CI165" s="336"/>
      <c r="CJ165" s="336"/>
      <c r="CK165" s="336"/>
      <c r="CL165" s="336"/>
      <c r="CM165" s="336"/>
      <c r="CN165" s="336"/>
      <c r="CO165" s="336"/>
      <c r="CP165" s="336"/>
      <c r="CQ165" s="336"/>
      <c r="CR165" s="336"/>
      <c r="CS165" s="336"/>
      <c r="CT165" s="336"/>
      <c r="CU165" s="336"/>
      <c r="CV165" s="336"/>
      <c r="CW165" s="336"/>
      <c r="CX165" s="336"/>
      <c r="CY165" s="336"/>
      <c r="CZ165" s="336"/>
      <c r="DA165" s="336"/>
      <c r="DB165" s="336"/>
      <c r="DC165" s="336"/>
      <c r="DD165" s="336"/>
      <c r="DE165" s="336"/>
      <c r="DF165" s="336"/>
      <c r="DG165" s="336"/>
      <c r="DH165" s="336"/>
      <c r="DI165" s="336"/>
      <c r="DJ165" s="336"/>
      <c r="DK165" s="336"/>
      <c r="DL165" s="336"/>
      <c r="DM165" s="336"/>
      <c r="DN165" s="336"/>
      <c r="DO165" s="336"/>
      <c r="DP165" s="336"/>
      <c r="DQ165" s="336"/>
      <c r="DR165" s="336"/>
      <c r="DS165" s="336"/>
      <c r="DT165" s="336"/>
      <c r="DU165" s="336"/>
      <c r="DV165" s="336"/>
      <c r="DW165" s="336"/>
      <c r="DX165" s="336"/>
      <c r="DY165" s="336"/>
      <c r="DZ165" s="336"/>
      <c r="EA165" s="336"/>
      <c r="EB165" s="336"/>
      <c r="EC165" s="336"/>
      <c r="ED165" s="336"/>
      <c r="EE165" s="336"/>
      <c r="EF165" s="336"/>
      <c r="EG165" s="336"/>
      <c r="EH165" s="336"/>
      <c r="EI165" s="336"/>
      <c r="EJ165" s="336"/>
      <c r="EK165" s="336"/>
      <c r="EL165" s="336"/>
      <c r="EM165" s="336"/>
      <c r="EN165" s="336"/>
      <c r="EO165" s="336"/>
      <c r="EP165" s="336"/>
      <c r="EQ165" s="336"/>
      <c r="ER165" s="336"/>
      <c r="ES165" s="336"/>
      <c r="ET165" s="336"/>
      <c r="EU165" s="336"/>
      <c r="EV165" s="336"/>
      <c r="EW165" s="336"/>
      <c r="EX165" s="336"/>
      <c r="EY165" s="336"/>
      <c r="EZ165" s="336"/>
      <c r="FA165" s="336"/>
      <c r="FB165" s="336"/>
      <c r="FC165" s="336"/>
      <c r="FD165" s="336"/>
      <c r="FE165" s="336"/>
      <c r="FF165" s="336"/>
      <c r="FG165" s="336"/>
      <c r="FH165" s="336"/>
      <c r="FI165" s="336"/>
      <c r="FJ165" s="336"/>
      <c r="FK165" s="336"/>
      <c r="FL165" s="336"/>
      <c r="FM165" s="336"/>
      <c r="FN165" s="336"/>
      <c r="FO165" s="336"/>
      <c r="FP165" s="336"/>
      <c r="FQ165" s="336"/>
      <c r="FR165" s="336"/>
      <c r="FS165" s="336"/>
      <c r="FT165" s="336"/>
      <c r="FU165" s="336"/>
      <c r="FV165" s="336"/>
      <c r="FW165" s="337"/>
      <c r="FX165" s="497"/>
      <c r="FY165" s="497"/>
      <c r="FZ165" s="1216"/>
      <c r="GA165" s="1181"/>
      <c r="GB165" s="1181"/>
      <c r="GC165" s="1181"/>
      <c r="GD165" s="1181"/>
    </row>
    <row customHeight="1" ht="15.405000000000001">
      <c r="E166" s="794">
        <v>15.8</v>
      </c>
      <c r="Q166" s="1314"/>
      <c r="U166" s="176" t="s">
        <v>235</v>
      </c>
      <c r="V166" s="168" t="s">
        <v>2177</v>
      </c>
      <c r="W166" s="176"/>
      <c r="AB166" s="370"/>
      <c r="AC166" s="37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c r="CP166" s="211"/>
      <c r="CQ166" s="211"/>
      <c r="CR166" s="211"/>
      <c r="CS166" s="211"/>
      <c r="CT166" s="211"/>
      <c r="CU166" s="211"/>
      <c r="CV166" s="211"/>
      <c r="CW166" s="211"/>
      <c r="CX166" s="211"/>
      <c r="CY166" s="211"/>
      <c r="CZ166" s="211"/>
      <c r="DA166" s="211"/>
      <c r="DB166" s="211"/>
      <c r="DC166" s="211"/>
      <c r="DD166" s="211"/>
      <c r="DE166" s="211"/>
      <c r="DF166" s="211"/>
      <c r="DG166" s="211"/>
      <c r="DH166" s="211"/>
      <c r="DI166" s="211"/>
      <c r="DJ166" s="211"/>
      <c r="DK166" s="211"/>
      <c r="DL166" s="211"/>
      <c r="DM166" s="211"/>
      <c r="DN166" s="211"/>
      <c r="DO166" s="211"/>
      <c r="DP166" s="211"/>
      <c r="DQ166" s="211"/>
      <c r="DR166" s="211"/>
      <c r="DS166" s="211"/>
      <c r="DT166" s="211"/>
      <c r="DU166" s="211"/>
      <c r="DV166" s="211"/>
      <c r="DW166" s="211"/>
      <c r="DX166" s="211"/>
      <c r="DY166" s="211"/>
      <c r="DZ166" s="211"/>
      <c r="EA166" s="211"/>
      <c r="EB166" s="211"/>
      <c r="EC166" s="211"/>
      <c r="ED166" s="211"/>
      <c r="EE166" s="211"/>
      <c r="EF166" s="211"/>
      <c r="EG166" s="211"/>
      <c r="EH166" s="211"/>
      <c r="EI166" s="211"/>
      <c r="EJ166" s="211"/>
      <c r="EK166" s="211"/>
      <c r="EL166" s="211"/>
      <c r="EM166" s="211"/>
      <c r="EN166" s="211"/>
      <c r="EO166" s="211"/>
      <c r="EP166" s="211"/>
      <c r="EQ166" s="211"/>
      <c r="ER166" s="211"/>
      <c r="ES166" s="211"/>
      <c r="ET166" s="211"/>
      <c r="EU166" s="211"/>
      <c r="EV166" s="211"/>
      <c r="EW166" s="211"/>
      <c r="EX166" s="211"/>
      <c r="EY166" s="211"/>
      <c r="EZ166" s="211"/>
      <c r="FA166" s="211"/>
      <c r="FB166" s="211"/>
      <c r="FC166" s="211"/>
      <c r="FD166" s="211"/>
      <c r="FE166" s="211"/>
      <c r="FF166" s="211"/>
      <c r="FG166" s="211"/>
      <c r="FH166" s="211"/>
      <c r="FI166" s="211"/>
      <c r="FJ166" s="211"/>
      <c r="FK166" s="211"/>
      <c r="FL166" s="211"/>
      <c r="FM166" s="211"/>
      <c r="FN166" s="211"/>
      <c r="FO166" s="211"/>
      <c r="FP166" s="211"/>
      <c r="FQ166" s="211"/>
      <c r="FR166" s="211"/>
      <c r="FS166" s="211"/>
      <c r="FT166" s="211"/>
      <c r="FU166" s="211"/>
      <c r="FV166" s="211"/>
      <c r="FW166" s="211"/>
      <c r="GA166" s="1216"/>
      <c r="GB166" s="1216"/>
      <c r="GC166" s="1216"/>
      <c r="GD166" s="1216"/>
    </row>
    <row customHeight="1" ht="15.75" hidden="1">
      <c r="E167" s="794">
        <v>0</v>
      </c>
      <c r="Q167" s="1314"/>
      <c r="W167" s="176"/>
      <c r="AG167" s="497"/>
      <c r="AH167" s="497"/>
      <c r="AI167" s="497"/>
      <c r="AJ167" s="497"/>
      <c r="AK167" s="497"/>
      <c r="AL167" s="497"/>
      <c r="AM167" s="497"/>
      <c r="AN167" s="497"/>
      <c r="AO167" s="497"/>
      <c r="AP167" s="497"/>
      <c r="AQ167" s="497"/>
      <c r="AR167" s="497"/>
      <c r="AS167" s="497"/>
      <c r="AT167" s="497"/>
      <c r="AU167" s="497"/>
      <c r="AV167" s="497"/>
      <c r="AW167" s="497"/>
      <c r="AX167" s="497"/>
      <c r="AY167" s="497"/>
      <c r="AZ167" s="497"/>
      <c r="BA167" s="497"/>
      <c r="BB167" s="497"/>
      <c r="BC167" s="497"/>
      <c r="BD167" s="497"/>
      <c r="BE167" s="497"/>
      <c r="BF167" s="497"/>
      <c r="BG167" s="497"/>
      <c r="BH167" s="497"/>
      <c r="BI167" s="497"/>
      <c r="BJ167" s="497"/>
      <c r="BK167" s="497"/>
      <c r="BL167" s="497"/>
      <c r="BM167" s="497"/>
      <c r="BN167" s="497"/>
      <c r="BO167" s="497"/>
      <c r="BP167" s="497"/>
      <c r="BQ167" s="497"/>
      <c r="BR167" s="497"/>
      <c r="BS167" s="497"/>
      <c r="BT167" s="497"/>
      <c r="BU167" s="497"/>
      <c r="BV167" s="497"/>
      <c r="BW167" s="497"/>
      <c r="BX167" s="497"/>
      <c r="BY167" s="497"/>
      <c r="BZ167" s="497"/>
      <c r="CA167" s="497"/>
      <c r="CB167" s="497"/>
      <c r="CC167" s="497"/>
      <c r="CD167" s="497"/>
      <c r="CE167" s="497"/>
      <c r="CF167" s="497"/>
      <c r="CG167" s="497"/>
      <c r="CH167" s="497"/>
      <c r="CI167" s="497"/>
      <c r="CJ167" s="497"/>
      <c r="CK167" s="497"/>
      <c r="CL167" s="497"/>
      <c r="CM167" s="497"/>
      <c r="CN167" s="497"/>
      <c r="CO167" s="497"/>
      <c r="CP167" s="497"/>
      <c r="CQ167" s="497"/>
      <c r="CR167" s="497"/>
      <c r="CS167" s="497"/>
      <c r="CT167" s="497"/>
      <c r="CU167" s="497"/>
      <c r="CV167" s="497"/>
      <c r="CW167" s="497"/>
      <c r="CX167" s="497"/>
      <c r="CY167" s="497"/>
      <c r="CZ167" s="497"/>
      <c r="DA167" s="497"/>
      <c r="DB167" s="497"/>
      <c r="DC167" s="497"/>
      <c r="DD167" s="497"/>
      <c r="DE167" s="497"/>
      <c r="DF167" s="497"/>
      <c r="DG167" s="497"/>
      <c r="DH167" s="497"/>
      <c r="DI167" s="497"/>
      <c r="DJ167" s="497"/>
      <c r="DK167" s="497"/>
      <c r="DL167" s="497"/>
      <c r="DM167" s="497"/>
      <c r="DN167" s="497"/>
      <c r="DO167" s="497"/>
      <c r="DP167" s="497"/>
      <c r="DQ167" s="497"/>
      <c r="DR167" s="497"/>
      <c r="DS167" s="497"/>
      <c r="DT167" s="497"/>
      <c r="DU167" s="497"/>
      <c r="DV167" s="497"/>
      <c r="DW167" s="497"/>
      <c r="DX167" s="497"/>
      <c r="DY167" s="497"/>
      <c r="DZ167" s="497"/>
      <c r="EA167" s="497"/>
      <c r="EB167" s="497"/>
      <c r="EC167" s="497"/>
      <c r="ED167" s="497"/>
      <c r="EE167" s="497"/>
      <c r="EF167" s="497"/>
      <c r="EG167" s="497"/>
      <c r="EH167" s="497"/>
      <c r="EI167" s="497"/>
      <c r="EJ167" s="497"/>
      <c r="EK167" s="497"/>
      <c r="EL167" s="497"/>
      <c r="EM167" s="497"/>
      <c r="EN167" s="497"/>
      <c r="EO167" s="497"/>
      <c r="EP167" s="497"/>
      <c r="EQ167" s="497"/>
      <c r="ER167" s="497"/>
      <c r="ES167" s="497"/>
      <c r="ET167" s="497"/>
      <c r="EU167" s="497"/>
      <c r="EV167" s="497"/>
      <c r="EW167" s="497"/>
      <c r="EX167" s="497"/>
      <c r="EY167" s="497"/>
      <c r="EZ167" s="497"/>
      <c r="FA167" s="497"/>
      <c r="FB167" s="497"/>
      <c r="FC167" s="497"/>
      <c r="FD167" s="497"/>
      <c r="FE167" s="497"/>
      <c r="FF167" s="497"/>
      <c r="FG167" s="497"/>
      <c r="FH167" s="497"/>
      <c r="FI167" s="497"/>
      <c r="FJ167" s="497"/>
      <c r="FK167" s="497"/>
      <c r="FL167" s="497"/>
      <c r="FM167" s="497"/>
      <c r="FN167" s="497"/>
      <c r="FO167" s="497"/>
      <c r="FP167" s="497"/>
      <c r="FQ167" s="497"/>
      <c r="FR167" s="497"/>
      <c r="FS167" s="497"/>
      <c r="FT167" s="497"/>
      <c r="FU167" s="497"/>
      <c r="FV167" s="497"/>
      <c r="FW167" s="497"/>
      <c r="GA167" s="1216"/>
      <c r="GB167" s="1216"/>
      <c r="GC167" s="1216"/>
      <c r="GD167" s="1216"/>
    </row>
    <row customHeight="1" ht="15.405000000000001">
      <c r="E168" s="794">
        <v>15.8</v>
      </c>
      <c r="Q168" s="1314"/>
      <c r="AB168" s="1527" t="s">
        <v>700</v>
      </c>
      <c r="AC168" s="1527"/>
      <c r="AD168" s="1527"/>
      <c r="AE168" s="1527"/>
      <c r="AF168" s="1527"/>
      <c r="AG168" s="1527"/>
      <c r="AH168" s="1527"/>
      <c r="AI168" s="1527"/>
      <c r="AJ168" s="1527"/>
      <c r="AK168" s="1527"/>
      <c r="AL168" s="1527"/>
      <c r="AM168" s="1527"/>
      <c r="AN168" s="1527"/>
      <c r="AO168" s="1527"/>
      <c r="AP168" s="1527"/>
      <c r="AQ168" s="1527"/>
      <c r="AR168" s="1527"/>
      <c r="AS168" s="1527"/>
      <c r="AT168" s="1527"/>
      <c r="AU168" s="1527"/>
      <c r="AV168" s="1527"/>
      <c r="AW168" s="1527"/>
      <c r="AX168" s="1527"/>
      <c r="AY168" s="1527"/>
      <c r="AZ168" s="1527"/>
      <c r="BA168" s="1527"/>
      <c r="BB168" s="1527"/>
      <c r="BC168" s="1527"/>
      <c r="BD168" s="1527"/>
      <c r="BE168" s="1527"/>
      <c r="BF168" s="1527"/>
      <c r="BG168" s="1527"/>
      <c r="BH168" s="497"/>
      <c r="BI168" s="497"/>
      <c r="BJ168" s="497"/>
      <c r="BK168" s="497"/>
      <c r="BL168" s="497"/>
      <c r="BM168" s="497"/>
      <c r="BN168" s="497"/>
      <c r="BO168" s="497"/>
      <c r="BP168" s="497"/>
      <c r="BQ168" s="497"/>
      <c r="BR168" s="497"/>
      <c r="BS168" s="497"/>
      <c r="BT168" s="497"/>
      <c r="BU168" s="497"/>
      <c r="BV168" s="497"/>
      <c r="BW168" s="497"/>
      <c r="BX168" s="497"/>
      <c r="BY168" s="497"/>
      <c r="BZ168" s="497"/>
      <c r="CA168" s="497"/>
      <c r="CB168" s="497"/>
      <c r="CC168" s="497"/>
      <c r="CD168" s="497"/>
      <c r="CE168" s="497"/>
      <c r="CF168" s="497"/>
      <c r="CG168" s="497"/>
      <c r="CH168" s="497"/>
      <c r="CI168" s="497"/>
      <c r="CJ168" s="497"/>
      <c r="CK168" s="497"/>
      <c r="CL168" s="497"/>
      <c r="CM168" s="497"/>
      <c r="CN168" s="497"/>
      <c r="CO168" s="497"/>
      <c r="CP168" s="497"/>
      <c r="CQ168" s="497"/>
      <c r="CR168" s="497"/>
      <c r="CS168" s="497"/>
      <c r="CT168" s="497"/>
      <c r="CU168" s="497"/>
      <c r="CV168" s="497"/>
      <c r="CW168" s="497"/>
      <c r="CX168" s="497"/>
      <c r="CY168" s="497"/>
      <c r="CZ168" s="497"/>
      <c r="DA168" s="497"/>
      <c r="DB168" s="497"/>
      <c r="DC168" s="497"/>
      <c r="DD168" s="497"/>
      <c r="DE168" s="497"/>
      <c r="DF168" s="497"/>
      <c r="DG168" s="497"/>
      <c r="DH168" s="497"/>
      <c r="DI168" s="497"/>
      <c r="DJ168" s="497"/>
      <c r="DK168" s="497"/>
      <c r="DL168" s="497"/>
      <c r="DM168" s="497"/>
      <c r="DN168" s="497"/>
      <c r="DO168" s="497"/>
      <c r="DP168" s="497"/>
      <c r="DQ168" s="497"/>
      <c r="DR168" s="497"/>
      <c r="DS168" s="497"/>
      <c r="DT168" s="497"/>
      <c r="DU168" s="497"/>
      <c r="DV168" s="497"/>
      <c r="DW168" s="497"/>
      <c r="DX168" s="497"/>
      <c r="DY168" s="497"/>
      <c r="DZ168" s="497"/>
      <c r="EA168" s="497"/>
      <c r="EB168" s="497"/>
      <c r="EC168" s="497"/>
      <c r="ED168" s="497"/>
      <c r="EE168" s="497"/>
      <c r="EF168" s="497"/>
      <c r="EG168" s="497"/>
      <c r="EH168" s="497"/>
      <c r="EI168" s="497"/>
      <c r="EJ168" s="497"/>
      <c r="EK168" s="497"/>
      <c r="EL168" s="497"/>
      <c r="EM168" s="497"/>
      <c r="EN168" s="497"/>
      <c r="EO168" s="497"/>
      <c r="EP168" s="497"/>
      <c r="EQ168" s="497"/>
      <c r="ER168" s="497"/>
      <c r="ES168" s="497"/>
      <c r="ET168" s="497"/>
      <c r="EU168" s="497"/>
      <c r="EV168" s="497"/>
      <c r="EW168" s="497"/>
      <c r="EX168" s="497"/>
      <c r="EY168" s="497"/>
      <c r="EZ168" s="497"/>
      <c r="FA168" s="497"/>
      <c r="FB168" s="497"/>
      <c r="FC168" s="497"/>
      <c r="FD168" s="497"/>
      <c r="FE168" s="497"/>
      <c r="FF168" s="497"/>
      <c r="FG168" s="497"/>
      <c r="FH168" s="497"/>
      <c r="FI168" s="497"/>
      <c r="FJ168" s="497"/>
      <c r="FK168" s="497"/>
      <c r="FL168" s="497"/>
      <c r="FM168" s="497"/>
      <c r="FN168" s="497"/>
      <c r="FO168" s="497"/>
      <c r="FP168" s="497"/>
      <c r="FQ168" s="497"/>
      <c r="FR168" s="497"/>
      <c r="FS168" s="497"/>
      <c r="FT168" s="497"/>
      <c r="FU168" s="497"/>
      <c r="FV168" s="497"/>
      <c r="FW168" s="497"/>
      <c r="GA168" s="1216"/>
      <c r="GB168" s="1216"/>
      <c r="GC168" s="1216"/>
      <c r="GD168" s="1216"/>
    </row>
    <row customHeight="1" ht="13.455">
      <c r="E169" s="794">
        <v>13.8</v>
      </c>
      <c r="Q169" s="1314"/>
      <c r="AA169" s="918"/>
      <c r="AB169" s="1568"/>
      <c r="AC169" s="1568"/>
      <c r="AD169" s="1568"/>
      <c r="AE169" s="1568"/>
      <c r="AF169" s="1568"/>
      <c r="AG169" s="1568"/>
      <c r="AH169" s="1568"/>
      <c r="AI169" s="1568"/>
      <c r="AJ169" s="1568"/>
      <c r="AK169" s="1568"/>
      <c r="AL169" s="1568"/>
      <c r="AM169" s="1568"/>
      <c r="AN169" s="1568"/>
      <c r="AO169" s="1568"/>
      <c r="AP169" s="1568"/>
      <c r="AQ169" s="1568"/>
      <c r="AR169" s="1568"/>
      <c r="AS169" s="2072"/>
      <c r="AT169" s="2072"/>
      <c r="AU169" s="2072"/>
      <c r="AV169" s="2072"/>
      <c r="AW169" s="2072"/>
      <c r="AX169" s="2072"/>
      <c r="AY169" s="2072"/>
      <c r="AZ169" s="2072"/>
      <c r="BA169" s="2072"/>
      <c r="BB169" s="2072"/>
      <c r="BC169" s="2072"/>
      <c r="BD169" s="2072"/>
      <c r="BE169" s="2072"/>
      <c r="BF169" s="2072"/>
      <c r="BG169" s="2072"/>
      <c r="BH169" s="497"/>
      <c r="BI169" s="497"/>
      <c r="BJ169" s="497"/>
      <c r="BK169" s="497"/>
      <c r="BL169" s="497"/>
      <c r="BM169" s="497"/>
      <c r="BN169" s="497"/>
      <c r="BO169" s="497"/>
      <c r="BP169" s="497"/>
      <c r="BQ169" s="497"/>
      <c r="BR169" s="497"/>
      <c r="BS169" s="497"/>
      <c r="BT169" s="497"/>
      <c r="BU169" s="497"/>
      <c r="BV169" s="497"/>
      <c r="BW169" s="497"/>
      <c r="BX169" s="497"/>
      <c r="BY169" s="497"/>
      <c r="BZ169" s="497"/>
      <c r="CA169" s="497"/>
      <c r="CB169" s="497"/>
      <c r="CC169" s="497"/>
      <c r="CD169" s="497"/>
      <c r="CE169" s="497"/>
      <c r="CF169" s="497"/>
      <c r="CG169" s="497"/>
      <c r="CH169" s="497"/>
      <c r="CI169" s="497"/>
      <c r="CJ169" s="497"/>
      <c r="CK169" s="497"/>
      <c r="CL169" s="497"/>
      <c r="CM169" s="497"/>
      <c r="CN169" s="497"/>
      <c r="CO169" s="497"/>
      <c r="CP169" s="497"/>
      <c r="CQ169" s="497"/>
      <c r="CR169" s="497"/>
      <c r="CS169" s="497"/>
      <c r="CT169" s="497"/>
      <c r="CU169" s="497"/>
      <c r="CV169" s="497"/>
      <c r="CW169" s="497"/>
      <c r="CX169" s="497"/>
      <c r="CY169" s="497"/>
      <c r="CZ169" s="497"/>
      <c r="DA169" s="497"/>
      <c r="DB169" s="497"/>
      <c r="DC169" s="497"/>
      <c r="DD169" s="497"/>
      <c r="DE169" s="497"/>
      <c r="DF169" s="497"/>
      <c r="DG169" s="497"/>
      <c r="DH169" s="497"/>
      <c r="DI169" s="497"/>
      <c r="DJ169" s="497"/>
      <c r="DK169" s="497"/>
      <c r="DL169" s="497"/>
      <c r="DM169" s="497"/>
      <c r="DN169" s="497"/>
      <c r="DO169" s="497"/>
      <c r="DP169" s="497"/>
      <c r="DQ169" s="497"/>
      <c r="DR169" s="497"/>
      <c r="DS169" s="497"/>
      <c r="DT169" s="497"/>
      <c r="DU169" s="497"/>
      <c r="DV169" s="497"/>
      <c r="DW169" s="497"/>
      <c r="DX169" s="497"/>
      <c r="DY169" s="497"/>
      <c r="DZ169" s="497"/>
      <c r="EA169" s="497"/>
      <c r="EB169" s="497"/>
      <c r="EC169" s="497"/>
      <c r="ED169" s="497"/>
      <c r="EE169" s="497"/>
      <c r="EF169" s="497"/>
      <c r="EG169" s="497"/>
      <c r="EH169" s="497"/>
      <c r="EI169" s="497"/>
      <c r="EJ169" s="497"/>
      <c r="EK169" s="497"/>
      <c r="EL169" s="497"/>
      <c r="EM169" s="497"/>
      <c r="EN169" s="497"/>
      <c r="EO169" s="497"/>
      <c r="EP169" s="497"/>
      <c r="EQ169" s="497"/>
      <c r="ER169" s="497"/>
      <c r="ES169" s="497"/>
      <c r="ET169" s="497"/>
      <c r="EU169" s="497"/>
      <c r="EV169" s="497"/>
      <c r="EW169" s="497"/>
      <c r="EX169" s="497"/>
      <c r="EY169" s="497"/>
      <c r="EZ169" s="497"/>
      <c r="FA169" s="497"/>
      <c r="FB169" s="497"/>
      <c r="FC169" s="497"/>
      <c r="FD169" s="497"/>
      <c r="FE169" s="497"/>
      <c r="FF169" s="497"/>
      <c r="FG169" s="497"/>
      <c r="FH169" s="497"/>
      <c r="FI169" s="497"/>
      <c r="FJ169" s="497"/>
      <c r="FK169" s="497"/>
      <c r="FL169" s="497"/>
      <c r="FM169" s="497"/>
      <c r="FN169" s="497"/>
      <c r="FO169" s="497"/>
      <c r="FP169" s="497"/>
      <c r="FQ169" s="497"/>
      <c r="FR169" s="497"/>
      <c r="FS169" s="497"/>
      <c r="FT169" s="497"/>
      <c r="FU169" s="497"/>
      <c r="FV169" s="497"/>
      <c r="FW169" s="497"/>
      <c r="GA169" s="1216"/>
      <c r="GB169" s="1216"/>
      <c r="GC169" s="1216"/>
      <c r="GD169" s="1216"/>
    </row>
    <row customHeight="1" ht="13.455" hidden="1">
      <c r="A170" s="1461"/>
      <c r="B170" s="924"/>
      <c r="C170" s="1322"/>
      <c r="D170" s="1291"/>
      <c r="E170" s="794">
        <v>13.8</v>
      </c>
      <c r="F170" s="1461"/>
      <c r="G170" s="497"/>
      <c r="H170" s="497"/>
      <c r="I170" s="497"/>
      <c r="J170" s="1314"/>
      <c r="K170" s="1314"/>
      <c r="L170" s="1314"/>
      <c r="M170" s="1314"/>
      <c r="N170" s="1314"/>
      <c r="O170" s="1314"/>
      <c r="P170" s="1314"/>
      <c r="Q170" s="1314"/>
      <c r="R170" s="925"/>
      <c r="S170" s="497"/>
      <c r="T170" s="805">
        <f>ROW(W170)&gt;ROW(W$170)</f>
        <v>0</v>
      </c>
      <c r="U170" s="1461"/>
      <c r="V170" s="1461"/>
      <c r="W170" s="172" t="s">
        <v>233</v>
      </c>
      <c r="X170" s="1461"/>
      <c r="Y170" s="1461"/>
      <c r="Z170" s="1461"/>
      <c r="AA170" s="914" t="s">
        <v>217</v>
      </c>
      <c r="AB170" s="2072"/>
      <c r="AC170" s="2072"/>
      <c r="AD170" s="2072"/>
      <c r="AE170" s="2072"/>
      <c r="AF170" s="2072"/>
      <c r="AG170" s="1568"/>
      <c r="AH170" s="1568"/>
      <c r="AI170" s="1568"/>
      <c r="AJ170" s="1568"/>
      <c r="AK170" s="1568"/>
      <c r="AL170" s="1568"/>
      <c r="AM170" s="1568"/>
      <c r="AN170" s="1568"/>
      <c r="AO170" s="1568"/>
      <c r="AP170" s="1568"/>
      <c r="AQ170" s="1568"/>
      <c r="AR170" s="1568"/>
      <c r="AS170" s="2072"/>
      <c r="AT170" s="2072"/>
      <c r="AU170" s="2072"/>
      <c r="AV170" s="2072"/>
      <c r="AW170" s="2072"/>
      <c r="AX170" s="2072"/>
      <c r="AY170" s="2072"/>
      <c r="AZ170" s="2072"/>
      <c r="BA170" s="2072"/>
      <c r="BB170" s="2072"/>
      <c r="BC170" s="2072"/>
      <c r="BD170" s="2072"/>
      <c r="BE170" s="2072"/>
      <c r="BF170" s="2072"/>
      <c r="BG170" s="2072"/>
      <c r="BH170" s="497"/>
      <c r="BI170" s="497"/>
      <c r="BJ170" s="497"/>
      <c r="BK170" s="497"/>
      <c r="BL170" s="497"/>
      <c r="BM170" s="497"/>
      <c r="BN170" s="497"/>
      <c r="BO170" s="497"/>
      <c r="BP170" s="497"/>
      <c r="BQ170" s="497"/>
      <c r="BR170" s="497"/>
      <c r="BS170" s="497"/>
      <c r="BT170" s="497"/>
      <c r="BU170" s="497"/>
      <c r="BV170" s="497"/>
      <c r="BW170" s="497"/>
      <c r="BX170" s="497"/>
      <c r="BY170" s="497"/>
      <c r="BZ170" s="497"/>
      <c r="CA170" s="497"/>
      <c r="CB170" s="497"/>
      <c r="CC170" s="497"/>
      <c r="CD170" s="497"/>
      <c r="CE170" s="497"/>
      <c r="CF170" s="497"/>
      <c r="CG170" s="497"/>
      <c r="CH170" s="497"/>
      <c r="CI170" s="497"/>
      <c r="CJ170" s="497"/>
      <c r="CK170" s="497"/>
      <c r="CL170" s="497"/>
      <c r="CM170" s="497"/>
      <c r="CN170" s="497"/>
      <c r="CO170" s="497"/>
      <c r="CP170" s="497"/>
      <c r="CQ170" s="497"/>
      <c r="CR170" s="497"/>
      <c r="CS170" s="497"/>
      <c r="CT170" s="497"/>
      <c r="CU170" s="497"/>
      <c r="CV170" s="497"/>
      <c r="CW170" s="497"/>
      <c r="CX170" s="497"/>
      <c r="CY170" s="497"/>
      <c r="CZ170" s="497"/>
      <c r="DA170" s="497"/>
      <c r="DB170" s="497"/>
      <c r="DC170" s="497"/>
      <c r="DD170" s="497"/>
      <c r="DE170" s="497"/>
      <c r="DF170" s="497"/>
      <c r="DG170" s="497"/>
      <c r="DH170" s="497"/>
      <c r="DI170" s="497"/>
      <c r="DJ170" s="497"/>
      <c r="DK170" s="497"/>
      <c r="DL170" s="497"/>
      <c r="DM170" s="497"/>
      <c r="DN170" s="497"/>
      <c r="DO170" s="497"/>
      <c r="DP170" s="497"/>
      <c r="DQ170" s="497"/>
      <c r="DR170" s="497"/>
      <c r="DS170" s="497"/>
      <c r="DT170" s="497"/>
      <c r="DU170" s="497"/>
      <c r="DV170" s="497"/>
      <c r="DW170" s="497"/>
      <c r="DX170" s="497"/>
      <c r="DY170" s="497"/>
      <c r="DZ170" s="497"/>
      <c r="EA170" s="497"/>
      <c r="EB170" s="497"/>
      <c r="EC170" s="497"/>
      <c r="ED170" s="497"/>
      <c r="EE170" s="497"/>
      <c r="EF170" s="497"/>
      <c r="EG170" s="497"/>
      <c r="EH170" s="497"/>
      <c r="EI170" s="497"/>
      <c r="EJ170" s="497"/>
      <c r="EK170" s="497"/>
      <c r="EL170" s="497"/>
      <c r="EM170" s="497"/>
      <c r="EN170" s="497"/>
      <c r="EO170" s="497"/>
      <c r="EP170" s="497"/>
      <c r="EQ170" s="497"/>
      <c r="ER170" s="497"/>
      <c r="ES170" s="497"/>
      <c r="ET170" s="497"/>
      <c r="EU170" s="497"/>
      <c r="EV170" s="497"/>
      <c r="EW170" s="497"/>
      <c r="EX170" s="497"/>
      <c r="EY170" s="497"/>
      <c r="EZ170" s="497"/>
      <c r="FA170" s="497"/>
      <c r="FB170" s="497"/>
      <c r="FC170" s="497"/>
      <c r="FD170" s="497"/>
      <c r="FE170" s="497"/>
      <c r="FF170" s="497"/>
      <c r="FG170" s="497"/>
      <c r="FH170" s="497"/>
      <c r="FI170" s="497"/>
      <c r="FJ170" s="497"/>
      <c r="FK170" s="497"/>
      <c r="FL170" s="497"/>
      <c r="FM170" s="497"/>
      <c r="FN170" s="497"/>
      <c r="FO170" s="497"/>
      <c r="FP170" s="497"/>
      <c r="FQ170" s="497"/>
      <c r="FR170" s="497"/>
      <c r="FS170" s="497"/>
      <c r="FT170" s="497"/>
      <c r="FU170" s="497"/>
      <c r="FV170" s="497"/>
      <c r="FW170" s="497"/>
      <c r="FX170" s="497"/>
      <c r="FY170" s="497"/>
      <c r="FZ170" s="1216"/>
      <c r="GA170" s="1216"/>
      <c r="GB170" s="1216"/>
      <c r="GC170" s="1216"/>
      <c r="GD170" s="1216"/>
    </row>
    <row customHeight="1" ht="14.625">
      <c r="E171" s="794">
        <v>15</v>
      </c>
      <c r="Q171" s="1314"/>
      <c r="W171" s="168" t="s">
        <v>234</v>
      </c>
      <c r="AB171" s="1475" t="s">
        <v>701</v>
      </c>
      <c r="AC171" s="1476"/>
      <c r="AD171" s="380"/>
      <c r="AE171" s="380"/>
      <c r="AF171" s="380"/>
      <c r="AG171" s="380"/>
      <c r="AH171" s="380"/>
      <c r="AI171" s="380"/>
      <c r="AJ171" s="380"/>
      <c r="AK171" s="380"/>
      <c r="AL171" s="380"/>
      <c r="AM171" s="380"/>
      <c r="AN171" s="380"/>
      <c r="AO171" s="380"/>
      <c r="AP171" s="380"/>
      <c r="AQ171" s="380"/>
      <c r="AR171" s="380"/>
      <c r="AS171" s="380"/>
      <c r="AT171" s="380"/>
      <c r="AU171" s="380"/>
      <c r="AV171" s="380"/>
      <c r="AW171" s="380"/>
      <c r="AX171" s="380"/>
      <c r="AY171" s="380"/>
      <c r="AZ171" s="380"/>
      <c r="BA171" s="380"/>
      <c r="BB171" s="380"/>
      <c r="BC171" s="380"/>
      <c r="BD171" s="380"/>
      <c r="BE171" s="380"/>
      <c r="BF171" s="380"/>
      <c r="BG171" s="347"/>
      <c r="BH171" s="497"/>
      <c r="BI171" s="497"/>
      <c r="BJ171" s="497"/>
      <c r="BK171" s="497"/>
      <c r="BL171" s="497"/>
      <c r="BM171" s="497"/>
      <c r="BN171" s="497"/>
      <c r="BO171" s="497"/>
      <c r="BP171" s="497"/>
      <c r="BQ171" s="497"/>
      <c r="BR171" s="497"/>
      <c r="BS171" s="497"/>
      <c r="BT171" s="497"/>
      <c r="BU171" s="497"/>
      <c r="BV171" s="497"/>
      <c r="BW171" s="497"/>
      <c r="BX171" s="497"/>
      <c r="BY171" s="497"/>
      <c r="BZ171" s="497"/>
      <c r="CA171" s="497"/>
      <c r="CB171" s="497"/>
      <c r="CC171" s="497"/>
      <c r="CD171" s="497"/>
      <c r="CE171" s="497"/>
      <c r="CF171" s="497"/>
      <c r="CG171" s="497"/>
      <c r="CH171" s="497"/>
      <c r="CI171" s="497"/>
      <c r="CJ171" s="497"/>
      <c r="CK171" s="497"/>
      <c r="CL171" s="497"/>
      <c r="CM171" s="497"/>
      <c r="CN171" s="497"/>
      <c r="CO171" s="497"/>
      <c r="CP171" s="497"/>
      <c r="CQ171" s="497"/>
      <c r="CR171" s="497"/>
      <c r="CS171" s="497"/>
      <c r="CT171" s="497"/>
      <c r="CU171" s="497"/>
      <c r="CV171" s="497"/>
      <c r="CW171" s="497"/>
      <c r="CX171" s="497"/>
      <c r="CY171" s="497"/>
      <c r="CZ171" s="497"/>
      <c r="DA171" s="497"/>
      <c r="DB171" s="497"/>
      <c r="DC171" s="497"/>
      <c r="DD171" s="497"/>
      <c r="DE171" s="497"/>
      <c r="DF171" s="497"/>
      <c r="DG171" s="497"/>
      <c r="DH171" s="497"/>
      <c r="DI171" s="497"/>
      <c r="DJ171" s="497"/>
      <c r="DK171" s="497"/>
      <c r="DL171" s="497"/>
      <c r="DM171" s="497"/>
      <c r="DN171" s="497"/>
      <c r="DO171" s="497"/>
      <c r="DP171" s="497"/>
      <c r="DQ171" s="497"/>
      <c r="DR171" s="497"/>
      <c r="DS171" s="497"/>
      <c r="DT171" s="497"/>
      <c r="DU171" s="497"/>
      <c r="DV171" s="497"/>
      <c r="DW171" s="497"/>
      <c r="DX171" s="497"/>
      <c r="DY171" s="497"/>
      <c r="DZ171" s="497"/>
      <c r="EA171" s="497"/>
      <c r="EB171" s="497"/>
      <c r="EC171" s="497"/>
      <c r="ED171" s="497"/>
      <c r="EE171" s="497"/>
      <c r="EF171" s="497"/>
      <c r="EG171" s="497"/>
      <c r="EH171" s="497"/>
      <c r="EI171" s="497"/>
      <c r="EJ171" s="497"/>
      <c r="EK171" s="497"/>
      <c r="EL171" s="497"/>
      <c r="EM171" s="497"/>
      <c r="EN171" s="497"/>
      <c r="EO171" s="497"/>
      <c r="EP171" s="497"/>
      <c r="EQ171" s="497"/>
      <c r="ER171" s="497"/>
      <c r="ES171" s="497"/>
      <c r="ET171" s="497"/>
      <c r="EU171" s="497"/>
      <c r="EV171" s="497"/>
      <c r="EW171" s="497"/>
      <c r="EX171" s="497"/>
      <c r="EY171" s="497"/>
      <c r="EZ171" s="497"/>
      <c r="FA171" s="497"/>
      <c r="FB171" s="497"/>
      <c r="FC171" s="497"/>
      <c r="FD171" s="497"/>
      <c r="FE171" s="497"/>
      <c r="FF171" s="497"/>
      <c r="FG171" s="497"/>
      <c r="FH171" s="497"/>
      <c r="FI171" s="497"/>
      <c r="FJ171" s="497"/>
      <c r="FK171" s="497"/>
      <c r="FL171" s="497"/>
      <c r="FM171" s="497"/>
      <c r="FN171" s="497"/>
      <c r="FO171" s="497"/>
      <c r="FP171" s="497"/>
      <c r="FQ171" s="497"/>
      <c r="FR171" s="497"/>
      <c r="FS171" s="497"/>
      <c r="FT171" s="497"/>
      <c r="FU171" s="497"/>
      <c r="FV171" s="497"/>
      <c r="FW171" s="497"/>
      <c r="GA171" s="1216"/>
      <c r="GB171" s="1216"/>
      <c r="GC171" s="1216"/>
      <c r="GD171" s="1216"/>
    </row>
    <row customHeight="1" ht="11.25">
      <c r="Q172" s="1314"/>
      <c r="AG172" s="497"/>
      <c r="AH172" s="497"/>
      <c r="AI172" s="497"/>
      <c r="AJ172" s="497"/>
      <c r="AK172" s="497"/>
      <c r="AL172" s="497"/>
      <c r="AM172" s="497"/>
      <c r="AN172" s="497"/>
      <c r="AO172" s="497"/>
      <c r="AP172" s="497"/>
      <c r="AQ172" s="497"/>
      <c r="AR172" s="497"/>
      <c r="AS172" s="497"/>
      <c r="AT172" s="497"/>
      <c r="AU172" s="497"/>
      <c r="AV172" s="497"/>
      <c r="AW172" s="497"/>
      <c r="AX172" s="497"/>
      <c r="AY172" s="497"/>
      <c r="AZ172" s="497"/>
      <c r="BA172" s="497"/>
      <c r="BB172" s="497"/>
      <c r="BC172" s="497"/>
      <c r="BD172" s="497"/>
      <c r="BE172" s="497"/>
      <c r="BF172" s="497"/>
      <c r="BG172" s="497"/>
      <c r="BH172" s="497"/>
      <c r="BI172" s="497"/>
      <c r="BJ172" s="497"/>
      <c r="BK172" s="497"/>
      <c r="BL172" s="497"/>
      <c r="BM172" s="497"/>
      <c r="BN172" s="497"/>
      <c r="BO172" s="497"/>
      <c r="BP172" s="497"/>
      <c r="BQ172" s="497"/>
      <c r="BR172" s="497"/>
      <c r="BS172" s="497"/>
      <c r="BT172" s="497"/>
      <c r="BU172" s="497"/>
      <c r="BV172" s="497"/>
      <c r="BW172" s="497"/>
      <c r="BX172" s="497"/>
      <c r="BY172" s="497"/>
      <c r="BZ172" s="497"/>
      <c r="CA172" s="497"/>
      <c r="CB172" s="497"/>
      <c r="CC172" s="497"/>
      <c r="CD172" s="497"/>
      <c r="CE172" s="497"/>
      <c r="CF172" s="497"/>
      <c r="CG172" s="497"/>
      <c r="CH172" s="497"/>
      <c r="CI172" s="497"/>
      <c r="CJ172" s="497"/>
      <c r="CK172" s="497"/>
      <c r="CL172" s="497"/>
      <c r="CM172" s="497"/>
      <c r="CN172" s="497"/>
      <c r="CO172" s="497"/>
      <c r="CP172" s="497"/>
      <c r="CQ172" s="497"/>
      <c r="CR172" s="497"/>
      <c r="CS172" s="497"/>
      <c r="CT172" s="497"/>
      <c r="CU172" s="497"/>
      <c r="CV172" s="497"/>
      <c r="CW172" s="497"/>
      <c r="CX172" s="497"/>
      <c r="CY172" s="497"/>
      <c r="CZ172" s="497"/>
      <c r="DA172" s="497"/>
      <c r="DB172" s="497"/>
      <c r="DC172" s="497"/>
      <c r="DD172" s="497"/>
      <c r="DE172" s="497"/>
      <c r="DF172" s="497"/>
      <c r="DG172" s="497"/>
      <c r="DH172" s="497"/>
      <c r="DI172" s="497"/>
      <c r="DJ172" s="497"/>
      <c r="DK172" s="497"/>
      <c r="DL172" s="497"/>
      <c r="DM172" s="497"/>
      <c r="DN172" s="497"/>
      <c r="DO172" s="497"/>
      <c r="DP172" s="497"/>
      <c r="DQ172" s="497"/>
      <c r="DR172" s="497"/>
      <c r="DS172" s="497"/>
      <c r="DT172" s="497"/>
      <c r="DU172" s="497"/>
      <c r="DV172" s="497"/>
      <c r="DW172" s="497"/>
      <c r="DX172" s="497"/>
      <c r="DY172" s="497"/>
      <c r="DZ172" s="497"/>
      <c r="EA172" s="497"/>
      <c r="EB172" s="497"/>
      <c r="EC172" s="497"/>
      <c r="ED172" s="497"/>
      <c r="EE172" s="497"/>
      <c r="EF172" s="497"/>
      <c r="EG172" s="497"/>
      <c r="EH172" s="497"/>
      <c r="EI172" s="497"/>
      <c r="EJ172" s="497"/>
      <c r="EK172" s="497"/>
      <c r="EL172" s="497"/>
      <c r="EM172" s="497"/>
      <c r="EN172" s="497"/>
      <c r="EO172" s="497"/>
      <c r="EP172" s="497"/>
      <c r="EQ172" s="497"/>
      <c r="ER172" s="497"/>
      <c r="ES172" s="497"/>
      <c r="ET172" s="497"/>
      <c r="EU172" s="497"/>
      <c r="EV172" s="497"/>
      <c r="EW172" s="497"/>
      <c r="EX172" s="497"/>
      <c r="EY172" s="497"/>
      <c r="EZ172" s="497"/>
      <c r="FA172" s="497"/>
      <c r="FB172" s="497"/>
      <c r="FC172" s="497"/>
      <c r="FD172" s="497"/>
      <c r="FE172" s="497"/>
      <c r="FF172" s="497"/>
      <c r="FG172" s="497"/>
      <c r="FH172" s="497"/>
      <c r="FI172" s="497"/>
      <c r="FJ172" s="497"/>
      <c r="FK172" s="497"/>
      <c r="FL172" s="497"/>
      <c r="FM172" s="497"/>
      <c r="FN172" s="497"/>
      <c r="FO172" s="497"/>
      <c r="FP172" s="497"/>
      <c r="FQ172" s="497"/>
      <c r="FR172" s="497"/>
      <c r="FS172" s="497"/>
      <c r="FT172" s="497"/>
      <c r="FU172" s="497"/>
      <c r="FV172" s="497"/>
      <c r="FW172" s="497"/>
      <c r="FX172" s="210"/>
      <c r="GA172" s="1216"/>
      <c r="GB172" s="1216"/>
      <c r="GC172" s="1216"/>
      <c r="GD172" s="1216"/>
    </row>
  </sheetData>
  <sheetProtection formatColumns="0" formatRows="0" insertRows="0" deleteColumns="0" deleteRows="0" sort="0" autoFilter="0" insertColumns="1"/>
  <mergeCells count="80">
    <mergeCell ref="Z28:Z73"/>
    <mergeCell ref="X28:X73"/>
    <mergeCell ref="AB28:AC28"/>
    <mergeCell ref="AB29:AC29"/>
    <mergeCell ref="AB30:AC30"/>
    <mergeCell ref="AB31:AC31"/>
    <mergeCell ref="Y45:Y46"/>
    <mergeCell ref="AA45:AA46"/>
    <mergeCell ref="AB171:AC171"/>
    <mergeCell ref="AB169:BG169"/>
    <mergeCell ref="AB168:BG168"/>
    <mergeCell ref="AB170:BG170"/>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Z120:Z165"/>
    <mergeCell ref="X120:X165"/>
    <mergeCell ref="AB120:AC120"/>
    <mergeCell ref="AB121:AC121"/>
    <mergeCell ref="AB122:AC122"/>
    <mergeCell ref="AB123:AC123"/>
    <mergeCell ref="Y137:Y138"/>
    <mergeCell ref="AA137:AA138"/>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BH142 BI142 BK142 BL142 BN142 BO142 BQ142 BR142 BT142 BU142 BW142 BX142 BZ142 CA142 CC142 CD142 CF142 CG142 CI142 CJ142 CL142 CM142 CO142 CP142 CR142 CS142 CU142 CV142 CX142 CY142 DA142 DB142 DD142 DE142 DG142 DH142 DJ142 DK142 DM142 DN142 DP142 DQ142 DS142 DT142 DV142 DW142 DY142 DZ142 EB142 EC142 EE142 EF142 EH142 EI142 EK142 EL142 EN142 EO142 EQ142 ER142 ET142 EU142 EW142 EX142 EZ142 FA142 FC142 FD142 FF142 FG142 FI142 FJ142 FL142 FM142 FO142 FP142 FR142 FS142 FU142 FV142 BH143 BI143 BK143 BL143 BN143 BO143 BQ143 BR143 BT143 BU143 BW143 BX143 BZ143 CA143 CC143 CD143 CF143 CG143 CI143 CJ143 CL143 CM143 CO143 CP143 CR143 CS143 CU143 CV143 CX143 CY143 DA143 DB143 DD143 DE143 DG143 DH143 DJ143 DK143 DM143 DN143 DP143 DQ143 DS143 DT143 DV143 DW143 DY143 DZ143 EB143 EC143 EE143 EF143 EH143 EI143 EK143 EL143 EN143 EO143 EQ143 ER143 ET143 EU143 EW143 EX143 EZ143 FA143 FC143 FD143 FF143 FG143 FI143 FJ143 FL143 FM143 FO143 FP143 FR143 FS143 FU143 FV143 BH145 BI145 BK145 BL145 BN145 BO145 BQ145 BR145 BT145 BU145 BW145 BX145 BZ145 CA145 CC145 CD145 CF145 CG145 CI145 CJ145 CL145 CM145 CO145 CP145 CR145 CS145 CU145 CV145 CX145 CY145 DA145 DB145 DD145 DE145 DG145 DH145 DJ145 DK145 DM145 DN145 DP145 DQ145 DS145 DT145 DV145 DW145 DY145 DZ145 EB145 EC145 EE145 EF145 EH145 EI145 EK145 EL145 EN145 EO145 EQ145 ER145 ET145 EU145 EW145 EX145 EZ145 FA145 FC145 FD145 FF145 FG145 FI145 FJ145 FL145 FM145 FO145 FP145 FR145 FS145 FU145 FV145 BH146 BI146 BK146 BL146 BN146 BO146 BQ146 BR146 BT146 BU146 BW146 BX146 BZ146 CA146 CC146 CD146 CF146 CG146 CI146 CJ146 CL146 CM146 CO146 CP146 CR146 CS146 CU146 CV146 CX146 CY146 DA146 DB146 DD146 DE146 DG146 DH146 DJ146 DK146 DM146 DN146 DP146 DQ146 DS146 DT146 DV146 DW146 DY146 DZ146 EB146 EC146 EE146 EF146 EH146 EI146 EK146 EL146 EN146 EO146 EQ146 ER146 ET146 EU146 EW146 EX146 EZ146 FA146 FC146 FD146 FF146 FG146 FI146 FJ146 FL146 FM146 FO146 FP146 FR146 FS146 FU146 FV146 BH148 BI148 BK148 BL148 BN148 BO148 BQ148 BR148 BT148 BU148 BW148 BX148 BZ148 CA148 CC148 CD148 CF148 CG148 CI148 CJ148 CL148 CM148 CO148 CP148 CR148 CS148 CU148 CV148 CX148 CY148 DA148 DB148 DD148 DE148 DG148 DH148 DJ148 DK148 DM148 DN148 DP148 DQ148 DS148 DT148 DV148 DW148 DY148 DZ148 EB148 EC148 EE148 EF148 EH148 EI148 EK148 EL148 EN148 EO148 EQ148 ER148 ET148 EU148 EW148 EX148 EZ148 FA148 FC148 FD148 FF148 FG148 FI148 FJ148 FL148 FM148 FO148 FP148 FR148 FS148 FU148 FV148 BH149 BI149 BK149 BL149 BN149 BO149 BQ149 BR149 BT149 BU149 BW149 BX149 BZ149 CA149 CC149 CD149 CF149 CG149 CI149 CJ149 CL149 CM149 CO149 CP149 CR149 CS149 CU149 CV149 CX149 CY149 DA149 DB149 DD149 DE149 DG149 DH149 DJ149 DK149 DM149 DN149 DP149 DQ149 DS149 DT149 DV149 DW149 DY149 DZ149 EB149 EC149 EE149 EF149 EH149 EI149 EK149 EL149 EN149 EO149 EQ149 ER149 ET149 EU149 EW149 EX149 EZ149 FA149 FC149 FD149 FF149 FG149 FI149 FJ149 FL149 FM149 FO149 FP149 FR149 FS149 FU149 FV149 BH151 BI151 BK151 BL151 BN151 BO151 BQ151 BR151 BT151 BU151 BW151 BX151 BZ151 CA151 CC151 CD151 CF151 CG151 CI151 CJ151 CL151 CM151 CO151 CP151 CR151 CS151 CU151 CV151 CX151 CY151 DA151 DB151 DD151 DE151 DG151 DH151 DJ151 DK151 DM151 DN151 DP151 DQ151 DS151 DT151 DV151 DW151 DY151 DZ151 EB151 EC151 EE151 EF151 EH151 EI151 EK151 EL151 EN151 EO151 EQ151 ER151 ET151 EU151 EW151 EX151 EZ151 FA151 FC151 FD151 FF151 FG151 FI151 FJ151 FL151 FM151 FO151 FP151 FR151 FS151 FU151 FV151 BH152 BI152 BK152 BL152 BN152 BO152 BQ152 BR152 BT152 BU152 BW152 BX152 BZ152 CA152 CC152 CD152 CF152 CG152 CI152 CJ152 CL152 CM152 CO152 CP152 CR152 CS152 CU152 CV152 CX152 CY152 DA152 DB152 DD152 DE152 DG152 DH152 DJ152 DK152 DM152 DN152 DP152 DQ152 DS152 DT152 DV152 DW152 DY152 DZ152 EB152 EC152 EE152 EF152 EH152 EI152 EK152 EL152 EN152 EO152 EQ152 ER152 ET152 EU152 EW152 EX152 EZ152 FA152 FC152 FD152 FF152 FG152 FI152 FJ152 FL152 FM152 FO152 FP152 FR152 FS152 FU152 FV152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5 AE155 AG155 AH155 AJ155 AK155 AM155 AN155 AP155 AQ155 AS155 AT155 AV155 AW155 AY155 AZ155 BB155 BC155 BE155 BF155 BH155 BI155 BK155 BL155 BN155 BO155 BQ155 BR155 BT155 BU155 BW155 BX155 BZ155 CA155 CC155 CD155 CF155 CG155 CI155 CJ155 CL155 CM155 CO155 CP155 CR155 CS155 CU155 CV155 CX155 CY155 DA155 DB155 DD155 DE155 DG155 DH155 DJ155 DK155 DM155 DN155 DP155 DQ155 DS155 DT155 DV155 DW155 DY155 DZ155 EB155 EC155 EE155 EF155 EH155 EI155 EK155 EL155 EN155 EO155 EQ155 ER155 ET155 EU155 EW155 EX155 EZ155 FA155 FC155 FD155 FF155 FG155 FI155 FJ155 FL155 FM155 FO155 FP155 FR155 FS155 FU155 FV155 AD157 AE157 AG157 AH157 AJ157 AK157 AM157 AN157 AP157 AQ157 AS157 AT157 AV157 AW157 AY157 AZ157 BB157 BC157 BE157 BF157 BH157 BI157 BK157 BL157 BN157 BO157 BQ157 BR157 BT157 BU157 BW157 BX157 BZ157 CA157 CC157 CD157 CF157 CG157 CI157 CJ157 CL157 CM157 CO157 CP157 CR157 CS157 CU157 CV157 CX157 CY157 DA157 DB157 DD157 DE157 DG157 DH157 DJ157 DK157 DM157 DN157 DP157 DQ157 DS157 DT157 DV157 DW157 DY157 DZ157 EB157 EC157 EE157 EF157 EH157 EI157 EK157 EL157 EN157 EO157 EQ157 ER157 ET157 EU157 EW157 EX157 EZ157 FA157 FC157 FD157 FF157 FG157 FI157 FJ157 FL157 FM157 FO157 FP157 FR157 FS157 FU157 FV157 AD158 AE158 AG158 AH158 AJ158 AK158 AM158 AN158 AP158 AQ158 AS158 AT158 AV158 AW158 AY158 AZ158 BB158 BC158 BE158 BF158 BH158 BI158 BK158 BL158 BN158 BO158 BQ158 BR158 BT158 BU158 BW158 BX158 BZ158 CA158 CC158 CD158 CF158 CG158 CI158 CJ158 CL158 CM158 CO158 CP158 CR158 CS158 CU158 CV158 CX158 CY158 DA158 DB158 DD158 DE158 DG158 DH158 DJ158 DK158 DM158 DN158 DP158 DQ158 DS158 DT158 DV158 DW158 DY158 DZ158 EB158 EC158 EE158 EF158 EH158 EI158 EK158 EL158 EN158 EO158 EQ158 ER158 ET158 EU158 EW158 EX158 EZ158 FA158 FC158 FD158 FF158 FG158 FI158 FJ158 FL158 FM158 FO158 FP158 FR158 FS158 FU158 FV158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1 AE161 AG161 AH161 AJ161 AK161 AM161 AN161 AP161 AQ161 AS161 AT161 AV161 AW161 AY161 AZ161 BB161 BC161 BE161 BF161 BH161 BI161 BK161 BL161 BN161 BO161 BQ161 BR161 BT161 BU161 BW161 BX161 BZ161 CA161 CC161 CD161 CF161 CG161 CI161 CJ161 CL161 CM161 CO161 CP161 CR161 CS161 CU161 CV161 CX161 CY161 DA161 DB161 DD161 DE161 DG161 DH161 DJ161 DK161 DM161 DN161 DP161 DQ161 DS161 DT161 DV161 DW161 DY161 DZ161 EB161 EC161 EE161 EF161 EH161 EI161 EK161 EL161 EN161 EO161 EQ161 ER161 ET161 EU161 EW161 EX161 EZ161 FA161 FC161 FD161 FF161 FG161 FI161 FJ161 FL161 FM161 FO161 FP161 FR161 FS161 FU161 FV161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4 AE164 AG164 AH164 AJ164 AK164 AM164 AN164 AP164 AQ164 AS164 AT164 AV164 AW164 AY164 AZ164 BB164 BC164 BE164 BF164 BH164 BI164 BK164 BL164 BN164 BO164 BQ164 BR164 BT164 BU164 BW164 BX164 BZ164 CA164 CC164 CD164 CF164 CG164 CI164 CJ164 CL164 CM164 CO164 CP164 CR164 CS164 CU164 CV164 CX164 CY164 DA164 DB164 DD164 DE164 DG164 DH164 DJ164 DK164 DM164 DN164 DP164 DQ164 DS164 DT164 DV164 DW164 DY164 DZ164 EB164 EC164 EE164 EF164 EH164 EI164 EK164 EL164 EN164 EO164 EQ164 ER164 ET164 EU164 EW164 EX164 EZ164 FA164 FC164 FD164 FF164 FG164 FI164 FJ164 FL164 FM164 FO164 FP164 FR164 FS164 FU164 FV164">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579994-47C2-BA28-BF48-F73DBB202BA8}" mc:Ignorable="x14ac xr xr2 xr3">
  <sheetPr>
    <tabColor rgb="FF002060"/>
    <outlinePr summaryRight="0" summaryBelow="0"/>
  </sheetPr>
  <dimension ref="A1:AN187"/>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376</v>
      </c>
      <c r="Z1" s="805" t="s">
        <v>93</v>
      </c>
      <c r="AA1" s="816" t="s">
        <v>90</v>
      </c>
      <c r="AB1" s="816" t="s">
        <v>92</v>
      </c>
      <c r="AK1" s="950"/>
      <c r="AN1" s="1159" t="s">
        <v>430</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1204</v>
      </c>
      <c r="AD6" s="172" t="s">
        <v>2178</v>
      </c>
      <c r="AE6" s="172" t="s">
        <v>437</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377</v>
      </c>
      <c r="B9" s="1151"/>
      <c r="E9" s="1151"/>
      <c r="Q9" s="1160"/>
      <c r="R9" s="1160"/>
      <c r="AC9" s="1159" t="s">
        <v>2179</v>
      </c>
      <c r="AD9" s="1159" t="s">
        <v>2180</v>
      </c>
      <c r="AE9" s="1159" t="s">
        <v>2181</v>
      </c>
      <c r="AF9" s="1159" t="s">
        <v>2182</v>
      </c>
      <c r="AG9" s="1159" t="s">
        <v>2183</v>
      </c>
      <c r="AH9" s="1159" t="s">
        <v>2184</v>
      </c>
      <c r="AI9" s="1159" t="s">
        <v>2185</v>
      </c>
      <c r="AJ9" s="1159" t="s">
        <v>2186</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199</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2187</v>
      </c>
      <c r="AD26" s="1464" t="s">
        <v>2188</v>
      </c>
      <c r="AE26" s="1464" t="s">
        <v>2189</v>
      </c>
      <c r="AF26" s="1572" t="s">
        <v>2190</v>
      </c>
      <c r="AG26" s="1573"/>
      <c r="AH26" s="1573"/>
      <c r="AI26" s="1574"/>
      <c r="AJ26" s="1464" t="s">
        <v>2191</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2192</v>
      </c>
      <c r="AG27" s="558" t="s">
        <v>2193</v>
      </c>
      <c r="AH27" s="558" t="s">
        <v>2194</v>
      </c>
      <c r="AI27" s="558" t="s">
        <v>2195</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309</v>
      </c>
      <c r="X29" s="172">
        <v>0</v>
      </c>
      <c r="AB29" s="317" cm="1" t="str">
        <f t="array" ref="AB29:AB29">INDEX('Общие сведения'!$AG$169:$AG$218,MATCH($F29,'Общие сведения'!$Z$169:$Z$218,0))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1292</v>
      </c>
      <c r="H30" s="225" cm="1" t="str">
        <f t="array" ref="H30:H30">first_year</f>
        <v>2026</v>
      </c>
      <c r="T30" s="805" cm="1" t="str">
        <f t="array" ref="T30:T30">T29</f>
        <v>false</v>
      </c>
      <c r="AB30" s="330" t="str">
        <f>H30&amp;" год"</f>
        <v>2026 год</v>
      </c>
      <c r="AC30" s="147">
        <f>IF(god=first_year,_xlfn.SUMIFS('Калькуляция (5.9)'!AT$26:AT$192,'Калькуляция (5.9)'!$F$26:$F$192,$F30,'Калькуляция (5.9)'!$G$26:$G$192,$G30),"")</f>
        <v>0</v>
      </c>
      <c r="AD30" s="71"/>
      <c r="AE30" s="148"/>
      <c r="AF30" s="147"/>
      <c r="AG30" s="147"/>
      <c r="AH30" s="148"/>
      <c r="AI30" s="147"/>
      <c r="AJ30" s="147"/>
      <c r="AK30" s="149"/>
      <c r="AN30" s="1231" cm="1" t="str">
        <f t="array" ref="AN30:AN30">H30</f>
        <v>2026</v>
      </c>
    </row>
    <row s="227" customFormat="1" customHeight="1" ht="16.672500000000003" hidden="1">
      <c r="B31" s="952">
        <f>H31&lt;first_year+PERIOD_LENGTH</f>
        <v>1</v>
      </c>
      <c r="E31" s="794">
        <v>17.1</v>
      </c>
      <c r="F31" s="944" cm="1" t="str">
        <f t="array" ref="F31:F31">F30</f>
        <v>0</v>
      </c>
      <c r="H31" s="225">
        <f>first_year+1</f>
        <v>2027</v>
      </c>
      <c r="T31" s="805" cm="1" t="str">
        <f t="array" ref="T31:T31">T30</f>
        <v>false</v>
      </c>
      <c r="AB31" s="330" t="str">
        <f>H31&amp;" год"</f>
        <v>2027 год</v>
      </c>
      <c r="AC31" s="462"/>
      <c r="AD31" s="71">
        <f>_xlfn.IFERROR(_xlfn.SUMIFS(INDEX('Операционные (5.2)'!$AT$26:$BC$54,,MATCH($H31,'Операционные (5.2)'!$AT$6:$BC$6,0)),'Операционные (5.2)'!$F$26:$F$54,$F31,'Операционные (5.2)'!$G$26:$G$54,"ИОР"),0)</f>
        <v>1</v>
      </c>
      <c r="AE31" s="148"/>
      <c r="AF31" s="147"/>
      <c r="AG31" s="147"/>
      <c r="AH31" s="148"/>
      <c r="AI31" s="147"/>
      <c r="AJ31" s="147"/>
      <c r="AK31" s="149"/>
      <c r="AN31" s="1231" cm="1" t="str">
        <f t="array" ref="AN31:AN31">H31</f>
        <v>2027</v>
      </c>
    </row>
    <row s="227" customFormat="1" customHeight="1" ht="16.672500000000003" hidden="1">
      <c r="B32" s="952">
        <f>H32&lt;first_year+PERIOD_LENGTH</f>
        <v>1</v>
      </c>
      <c r="E32" s="794">
        <v>17.1</v>
      </c>
      <c r="F32" s="944" cm="1" t="str">
        <f t="array" ref="F32:F32">F31</f>
        <v>0</v>
      </c>
      <c r="H32" s="225">
        <f>first_year+2</f>
        <v>2028</v>
      </c>
      <c r="T32" s="805" cm="1" t="str">
        <f t="array" ref="T32:T32">T31</f>
        <v>false</v>
      </c>
      <c r="AB32" s="330" t="str">
        <f>H32&amp;" год"</f>
        <v>2028 год</v>
      </c>
      <c r="AC32" s="462"/>
      <c r="AD32" s="71">
        <f>_xlfn.IFERROR(_xlfn.SUMIFS(INDEX('Операционные (5.2)'!$AT$26:$BC$54,,MATCH($H32,'Операционные (5.2)'!$AT$6:$BC$6,0)),'Операционные (5.2)'!$F$26:$F$54,$F32,'Операционные (5.2)'!$G$26:$G$54,"ИОР"),0)</f>
        <v>1</v>
      </c>
      <c r="AE32" s="148"/>
      <c r="AF32" s="147"/>
      <c r="AG32" s="147"/>
      <c r="AH32" s="148"/>
      <c r="AI32" s="147"/>
      <c r="AJ32" s="147"/>
      <c r="AK32" s="149"/>
      <c r="AN32" s="1231" cm="1" t="str">
        <f t="array" ref="AN32:AN32">H32</f>
        <v>2028</v>
      </c>
    </row>
    <row s="227" customFormat="1" customHeight="1" ht="16.672500000000003" hidden="1">
      <c r="B33" s="952">
        <f>H33&lt;first_year+PERIOD_LENGTH</f>
        <v>1</v>
      </c>
      <c r="E33" s="794">
        <v>17.1</v>
      </c>
      <c r="F33" s="944" cm="1" t="str">
        <f t="array" ref="F33:F33">F32</f>
        <v>0</v>
      </c>
      <c r="H33" s="225">
        <f>first_year+3</f>
        <v>2029</v>
      </c>
      <c r="T33" s="805" cm="1" t="str">
        <f t="array" ref="T33:T33">T32</f>
        <v>false</v>
      </c>
      <c r="AB33" s="330" t="str">
        <f>H33&amp;" год"</f>
        <v>2029 год</v>
      </c>
      <c r="AC33" s="462"/>
      <c r="AD33" s="71">
        <f>_xlfn.IFERROR(_xlfn.SUMIFS(INDEX('Операционные (5.2)'!$AT$26:$BC$54,,MATCH($H33,'Операционные (5.2)'!$AT$6:$BC$6,0)),'Операционные (5.2)'!$F$26:$F$54,$F33,'Операционные (5.2)'!$G$26:$G$54,"ИОР"),0)</f>
        <v>1</v>
      </c>
      <c r="AE33" s="148"/>
      <c r="AF33" s="147"/>
      <c r="AG33" s="147"/>
      <c r="AH33" s="148"/>
      <c r="AI33" s="147"/>
      <c r="AJ33" s="147"/>
      <c r="AK33" s="149"/>
      <c r="AN33" s="1231" cm="1" t="str">
        <f t="array" ref="AN33:AN33">H33</f>
        <v>2029</v>
      </c>
    </row>
    <row s="227" customFormat="1" customHeight="1" ht="16.672500000000003" hidden="1">
      <c r="B34" s="952">
        <f>H34&lt;first_year+PERIOD_LENGTH</f>
        <v>1</v>
      </c>
      <c r="E34" s="794">
        <v>17.1</v>
      </c>
      <c r="F34" s="944" cm="1" t="str">
        <f t="array" ref="F34:F34">F33</f>
        <v>0</v>
      </c>
      <c r="H34" s="225">
        <f>first_year+4</f>
        <v>2030</v>
      </c>
      <c r="T34" s="805" cm="1" t="str">
        <f t="array" ref="T34:T34">T33</f>
        <v>false</v>
      </c>
      <c r="AB34" s="330" t="str">
        <f>H34&amp;" год"</f>
        <v>2030 год</v>
      </c>
      <c r="AC34" s="462"/>
      <c r="AD34" s="71">
        <f>_xlfn.IFERROR(_xlfn.SUMIFS(INDEX('Операционные (5.2)'!$AT$26:$BC$54,,MATCH($H34,'Операционные (5.2)'!$AT$6:$BC$6,0)),'Операционные (5.2)'!$F$26:$F$54,$F34,'Операционные (5.2)'!$G$26:$G$54,"ИОР"),0)</f>
        <v>1</v>
      </c>
      <c r="AE34" s="148"/>
      <c r="AF34" s="147"/>
      <c r="AG34" s="147"/>
      <c r="AH34" s="148"/>
      <c r="AI34" s="147"/>
      <c r="AJ34" s="147"/>
      <c r="AK34" s="149"/>
      <c r="AN34" s="1231" cm="1" t="str">
        <f t="array" ref="AN34:AN34">H34</f>
        <v>2030</v>
      </c>
    </row>
    <row s="227" customFormat="1" customHeight="1" ht="16.672500000000003" hidden="1">
      <c r="B35" s="952">
        <f>H35&lt;first_year+PERIOD_LENGTH</f>
        <v>0</v>
      </c>
      <c r="E35" s="794">
        <v>17.1</v>
      </c>
      <c r="F35" s="944" cm="1" t="str">
        <f t="array" ref="F35:F35">F34</f>
        <v>0</v>
      </c>
      <c r="H35" s="225">
        <f>first_year+5</f>
        <v>2031</v>
      </c>
      <c r="T35" s="805" cm="1" t="str">
        <f t="array" ref="T35:T35">T34</f>
        <v>false</v>
      </c>
      <c r="AB35" s="330" t="str">
        <f>H35&amp;" год"</f>
        <v>2031 год</v>
      </c>
      <c r="AC35" s="462"/>
      <c r="AD35" s="71">
        <f>_xlfn.IFERROR(_xlfn.SUMIFS(INDEX('Операционные (5.2)'!$AT$26:$BC$54,,MATCH($H35,'Операционные (5.2)'!$AT$6:$BC$6,0)),'Операционные (5.2)'!$F$26:$F$54,$F35,'Операционные (5.2)'!$G$26:$G$54,"ИОР"),0)</f>
        <v>1</v>
      </c>
      <c r="AE35" s="148"/>
      <c r="AF35" s="147"/>
      <c r="AG35" s="147"/>
      <c r="AH35" s="148"/>
      <c r="AI35" s="147"/>
      <c r="AJ35" s="147"/>
      <c r="AK35" s="149">
        <f>_xlfn.IFERROR(_xlfn.SUMIFS(INDEX('Баланс Пр'!$AE$26:$BB$232,,MATCH($H35&amp;"Принято органом регулирования",'Баланс Пр'!$AE$8:$BB$8,0)),'Баланс Пр'!$Q$26:$Q$232,$F35,'Баланс Пр'!$AC$26:$AC$232,"Уровень потерь воды"),0)</f>
        <v>0</v>
      </c>
      <c r="AN35" s="1231" cm="1" t="str">
        <f t="array" ref="AN35:AN35">H35</f>
        <v>2031</v>
      </c>
    </row>
    <row s="227" customFormat="1" customHeight="1" ht="16.672500000000003" hidden="1">
      <c r="B36" s="952">
        <f>H36&lt;first_year+PERIOD_LENGTH</f>
        <v>0</v>
      </c>
      <c r="E36" s="794">
        <v>17.1</v>
      </c>
      <c r="F36" s="944" cm="1" t="str">
        <f t="array" ref="F36:F36">F35</f>
        <v>0</v>
      </c>
      <c r="H36" s="225">
        <f>first_year+6</f>
        <v>2032</v>
      </c>
      <c r="T36" s="805" cm="1" t="str">
        <f t="array" ref="T36:T36">T35</f>
        <v>false</v>
      </c>
      <c r="AB36" s="330" t="str">
        <f>H36&amp;" год"</f>
        <v>2032 год</v>
      </c>
      <c r="AC36" s="462"/>
      <c r="AD36" s="71">
        <f>_xlfn.IFERROR(_xlfn.SUMIFS(INDEX('Операционные (5.2)'!$AT$26:$BC$54,,MATCH($H36,'Операционные (5.2)'!$AT$6:$BC$6,0)),'Операционные (5.2)'!$F$26:$F$54,$F36,'Операционные (5.2)'!$G$26:$G$54,"ИОР"),0)</f>
        <v>1</v>
      </c>
      <c r="AE36" s="148"/>
      <c r="AF36" s="147"/>
      <c r="AG36" s="147"/>
      <c r="AH36" s="148"/>
      <c r="AI36" s="147"/>
      <c r="AJ36" s="147"/>
      <c r="AK36" s="149">
        <f>_xlfn.IFERROR(_xlfn.SUMIFS(INDEX('Баланс Пр'!$AE$26:$BB$232,,MATCH($H36&amp;"Принято органом регулирования",'Баланс Пр'!$AE$8:$BB$8,0)),'Баланс Пр'!$Q$26:$Q$232,$F36,'Баланс Пр'!$AC$26:$AC$232,"Уровень потерь воды"),0)</f>
        <v>0</v>
      </c>
      <c r="AN36" s="1231" cm="1" t="str">
        <f t="array" ref="AN36:AN36">H36</f>
        <v>2032</v>
      </c>
    </row>
    <row s="227" customFormat="1" customHeight="1" ht="16.672500000000003" hidden="1">
      <c r="B37" s="952">
        <f>H37&lt;first_year+PERIOD_LENGTH</f>
        <v>0</v>
      </c>
      <c r="E37" s="794">
        <v>17.1</v>
      </c>
      <c r="F37" s="944" cm="1" t="str">
        <f t="array" ref="F37:F37">F36</f>
        <v>0</v>
      </c>
      <c r="H37" s="225">
        <f>first_year+7</f>
        <v>2033</v>
      </c>
      <c r="T37" s="805" cm="1" t="str">
        <f t="array" ref="T37:T37">T36</f>
        <v>false</v>
      </c>
      <c r="AB37" s="330" t="str">
        <f>H37&amp;" год"</f>
        <v>2033 год</v>
      </c>
      <c r="AC37" s="462"/>
      <c r="AD37" s="71">
        <f>_xlfn.IFERROR(_xlfn.SUMIFS(INDEX('Операционные (5.2)'!$AT$26:$BC$54,,MATCH($H37,'Операционные (5.2)'!$AT$6:$BC$6,0)),'Операционные (5.2)'!$F$26:$F$54,$F37,'Операционные (5.2)'!$G$26:$G$54,"ИОР"),0)</f>
        <v>1</v>
      </c>
      <c r="AE37" s="148"/>
      <c r="AF37" s="147"/>
      <c r="AG37" s="147"/>
      <c r="AH37" s="148"/>
      <c r="AI37" s="147"/>
      <c r="AJ37" s="147"/>
      <c r="AK37" s="149">
        <f>_xlfn.IFERROR(_xlfn.SUMIFS(INDEX('Баланс Пр'!$AE$26:$BB$232,,MATCH($H37&amp;"Принято органом регулирования",'Баланс Пр'!$AE$8:$BB$8,0)),'Баланс Пр'!$Q$26:$Q$232,$F37,'Баланс Пр'!$AC$26:$AC$232,"Уровень потерь воды"),0)</f>
        <v>0</v>
      </c>
      <c r="AN37" s="1231" cm="1" t="str">
        <f t="array" ref="AN37:AN37">H37</f>
        <v>2033</v>
      </c>
    </row>
    <row s="227" customFormat="1" customHeight="1" ht="16.672500000000003" hidden="1">
      <c r="B38" s="952">
        <f>H38&lt;first_year+PERIOD_LENGTH</f>
        <v>0</v>
      </c>
      <c r="E38" s="794">
        <v>17.1</v>
      </c>
      <c r="F38" s="944" cm="1" t="str">
        <f t="array" ref="F38:F38">F37</f>
        <v>0</v>
      </c>
      <c r="H38" s="225">
        <f>first_year+8</f>
        <v>2034</v>
      </c>
      <c r="T38" s="805" cm="1" t="str">
        <f t="array" ref="T38:T38">T37</f>
        <v>false</v>
      </c>
      <c r="AB38" s="330" t="str">
        <f>H38&amp;" год"</f>
        <v>2034 год</v>
      </c>
      <c r="AC38" s="462"/>
      <c r="AD38" s="71">
        <f>_xlfn.IFERROR(_xlfn.SUMIFS(INDEX('Операционные (5.2)'!$AT$26:$BC$54,,MATCH($H38,'Операционные (5.2)'!$AT$6:$BC$6,0)),'Операционные (5.2)'!$F$26:$F$54,$F38,'Операционные (5.2)'!$G$26:$G$54,"ИОР"),0)</f>
        <v>1</v>
      </c>
      <c r="AE38" s="148"/>
      <c r="AF38" s="147"/>
      <c r="AG38" s="147"/>
      <c r="AH38" s="148"/>
      <c r="AI38" s="147"/>
      <c r="AJ38" s="147"/>
      <c r="AK38" s="149">
        <f>_xlfn.IFERROR(_xlfn.SUMIFS(INDEX('Баланс Пр'!$AE$26:$BB$232,,MATCH($H38&amp;"Принято органом регулирования",'Баланс Пр'!$AE$8:$BB$8,0)),'Баланс Пр'!$Q$26:$Q$232,$F38,'Баланс Пр'!$AC$26:$AC$232,"Уровень потерь воды"),0)</f>
        <v>0</v>
      </c>
      <c r="AN38" s="1231" cm="1" t="str">
        <f t="array" ref="AN38:AN38">H38</f>
        <v>2034</v>
      </c>
    </row>
    <row s="227" customFormat="1" customHeight="1" ht="16.672500000000003" hidden="1">
      <c r="B39" s="952">
        <f>H39&lt;first_year+PERIOD_LENGTH</f>
        <v>0</v>
      </c>
      <c r="E39" s="794">
        <v>17.1</v>
      </c>
      <c r="F39" s="944" cm="1" t="str">
        <f t="array" ref="F39:F39">F38</f>
        <v>0</v>
      </c>
      <c r="H39" s="225">
        <f>first_year+9</f>
        <v>2035</v>
      </c>
      <c r="T39" s="805" cm="1" t="str">
        <f t="array" ref="T39:T39">T38</f>
        <v>false</v>
      </c>
      <c r="AB39" s="330" t="str">
        <f>H39&amp;" год"</f>
        <v>2035 год</v>
      </c>
      <c r="AC39" s="462"/>
      <c r="AD39" s="71">
        <f>_xlfn.IFERROR(_xlfn.SUMIFS(INDEX('Операционные (5.2)'!$AT$26:$BC$54,,MATCH($H39,'Операционные (5.2)'!$AT$6:$BC$6,0)),'Операционные (5.2)'!$F$26:$F$54,$F39,'Операционные (5.2)'!$G$26:$G$54,"ИОР"),0)</f>
        <v>1</v>
      </c>
      <c r="AE39" s="148"/>
      <c r="AF39" s="147"/>
      <c r="AG39" s="147"/>
      <c r="AH39" s="148"/>
      <c r="AI39" s="147"/>
      <c r="AJ39" s="147"/>
      <c r="AK39" s="149">
        <f>_xlfn.IFERROR(_xlfn.SUMIFS(INDEX('Баланс Пр'!$AE$26:$BB$232,,MATCH($H39&amp;"Принято органом регулирования",'Баланс Пр'!$AE$8:$BB$8,0)),'Баланс Пр'!$Q$26:$Q$232,$F39,'Баланс Пр'!$AC$26:$AC$232,"Уровень потерь воды"),0)</f>
        <v>0</v>
      </c>
      <c r="AN39" s="1231" cm="1" t="str">
        <f t="array" ref="AN39:AN39">H39</f>
        <v>2035</v>
      </c>
    </row>
    <row s="227" customFormat="1" customHeight="1" ht="16.672500000000003" hidden="1">
      <c r="B40" s="952">
        <f>H40&lt;first_year+PERIOD_LENGTH</f>
        <v>0</v>
      </c>
      <c r="E40" s="794">
        <v>17.1</v>
      </c>
      <c r="F40" s="944" cm="1" t="str">
        <f t="array" ref="F40:F40">F39</f>
        <v>0</v>
      </c>
      <c r="H40" s="225">
        <f>first_year+10</f>
        <v>2036</v>
      </c>
      <c r="T40" s="805" cm="1" t="str">
        <f t="array" ref="T40:T40">T39</f>
        <v>false</v>
      </c>
      <c r="AB40" s="330" t="str">
        <f>H40&amp;" год"</f>
        <v>2036 год</v>
      </c>
      <c r="AC40" s="462"/>
      <c r="AD40" s="148"/>
      <c r="AE40" s="148"/>
      <c r="AF40" s="147"/>
      <c r="AG40" s="147"/>
      <c r="AH40" s="148"/>
      <c r="AI40" s="147"/>
      <c r="AJ40" s="147"/>
      <c r="AK40" s="149"/>
      <c r="AN40" s="1231" cm="1" t="str">
        <f t="array" ref="AN40:AN40">H40</f>
        <v>2036</v>
      </c>
    </row>
    <row s="227" customFormat="1" customHeight="1" ht="16.672500000000003" hidden="1">
      <c r="B41" s="952">
        <f>H41&lt;first_year+PERIOD_LENGTH</f>
        <v>0</v>
      </c>
      <c r="E41" s="794">
        <v>17.1</v>
      </c>
      <c r="F41" s="944" cm="1" t="str">
        <f t="array" ref="F41:F41">F40</f>
        <v>0</v>
      </c>
      <c r="H41" s="225">
        <f>first_year+11</f>
        <v>2037</v>
      </c>
      <c r="T41" s="805" cm="1" t="str">
        <f t="array" ref="T41:T41">T40</f>
        <v>false</v>
      </c>
      <c r="AB41" s="330" t="str">
        <f>H41&amp;" год"</f>
        <v>2037 год</v>
      </c>
      <c r="AC41" s="462"/>
      <c r="AD41" s="148"/>
      <c r="AE41" s="148"/>
      <c r="AF41" s="147"/>
      <c r="AG41" s="147"/>
      <c r="AH41" s="148"/>
      <c r="AI41" s="147"/>
      <c r="AJ41" s="147"/>
      <c r="AK41" s="149"/>
      <c r="AN41" s="1231" cm="1" t="str">
        <f t="array" ref="AN41:AN41">H41</f>
        <v>2037</v>
      </c>
    </row>
    <row s="227" customFormat="1" customHeight="1" ht="16.672500000000003" hidden="1">
      <c r="B42" s="952">
        <f>H42&lt;first_year+PERIOD_LENGTH</f>
        <v>0</v>
      </c>
      <c r="E42" s="794">
        <v>17.1</v>
      </c>
      <c r="F42" s="944" cm="1" t="str">
        <f t="array" ref="F42:F42">F41</f>
        <v>0</v>
      </c>
      <c r="H42" s="225">
        <f>first_year+12</f>
        <v>2038</v>
      </c>
      <c r="T42" s="805" cm="1" t="str">
        <f t="array" ref="T42:T42">T41</f>
        <v>false</v>
      </c>
      <c r="AB42" s="330" t="str">
        <f>H42&amp;" год"</f>
        <v>2038 год</v>
      </c>
      <c r="AC42" s="462"/>
      <c r="AD42" s="148"/>
      <c r="AE42" s="148"/>
      <c r="AF42" s="147"/>
      <c r="AG42" s="147"/>
      <c r="AH42" s="148"/>
      <c r="AI42" s="147"/>
      <c r="AJ42" s="147"/>
      <c r="AK42" s="149"/>
      <c r="AN42" s="1231" cm="1" t="str">
        <f t="array" ref="AN42:AN42">H42</f>
        <v>2038</v>
      </c>
    </row>
    <row s="227" customFormat="1" customHeight="1" ht="16.672500000000003" hidden="1">
      <c r="B43" s="952">
        <f>H43&lt;first_year+PERIOD_LENGTH</f>
        <v>0</v>
      </c>
      <c r="E43" s="794">
        <v>17.1</v>
      </c>
      <c r="F43" s="944" cm="1" t="str">
        <f t="array" ref="F43:F43">F42</f>
        <v>0</v>
      </c>
      <c r="H43" s="225">
        <f>first_year+13</f>
        <v>2039</v>
      </c>
      <c r="T43" s="805" cm="1" t="str">
        <f t="array" ref="T43:T43">T42</f>
        <v>false</v>
      </c>
      <c r="AB43" s="330" t="str">
        <f>H43&amp;" год"</f>
        <v>2039 год</v>
      </c>
      <c r="AC43" s="462"/>
      <c r="AD43" s="148"/>
      <c r="AE43" s="148"/>
      <c r="AF43" s="147"/>
      <c r="AG43" s="147"/>
      <c r="AH43" s="148"/>
      <c r="AI43" s="147"/>
      <c r="AJ43" s="147"/>
      <c r="AK43" s="149"/>
      <c r="AN43" s="1231" cm="1" t="str">
        <f t="array" ref="AN43:AN43">H43</f>
        <v>2039</v>
      </c>
    </row>
    <row s="227" customFormat="1" customHeight="1" ht="16.672500000000003" hidden="1">
      <c r="B44" s="952">
        <f>H44&lt;first_year+PERIOD_LENGTH</f>
        <v>0</v>
      </c>
      <c r="E44" s="794">
        <v>17.1</v>
      </c>
      <c r="F44" s="944" cm="1" t="str">
        <f t="array" ref="F44:F44">F43</f>
        <v>0</v>
      </c>
      <c r="H44" s="225">
        <f>first_year+14</f>
        <v>2040</v>
      </c>
      <c r="T44" s="805" cm="1" t="str">
        <f t="array" ref="T44:T44">T43</f>
        <v>false</v>
      </c>
      <c r="AB44" s="330" t="str">
        <f>H44&amp;" год"</f>
        <v>2040 год</v>
      </c>
      <c r="AC44" s="462"/>
      <c r="AD44" s="148"/>
      <c r="AE44" s="148"/>
      <c r="AF44" s="147"/>
      <c r="AG44" s="147"/>
      <c r="AH44" s="148"/>
      <c r="AI44" s="147"/>
      <c r="AJ44" s="147"/>
      <c r="AK44" s="149"/>
      <c r="AN44" s="1231" cm="1" t="str">
        <f t="array" ref="AN44:AN44">H44</f>
        <v>2040</v>
      </c>
    </row>
    <row s="227" customFormat="1" customHeight="1" ht="16.672500000000003" hidden="1">
      <c r="B45" s="952">
        <f>H45&lt;first_year+PERIOD_LENGTH</f>
        <v>0</v>
      </c>
      <c r="E45" s="794">
        <v>17.1</v>
      </c>
      <c r="F45" s="944" cm="1" t="str">
        <f t="array" ref="F45:F45">F44</f>
        <v>0</v>
      </c>
      <c r="H45" s="225">
        <f>first_year+15</f>
        <v>2041</v>
      </c>
      <c r="T45" s="805" cm="1" t="str">
        <f t="array" ref="T45:T45">T44</f>
        <v>false</v>
      </c>
      <c r="AB45" s="330" t="str">
        <f>H45&amp;" год"</f>
        <v>2041 год</v>
      </c>
      <c r="AC45" s="462"/>
      <c r="AD45" s="148"/>
      <c r="AE45" s="148"/>
      <c r="AF45" s="147"/>
      <c r="AG45" s="147"/>
      <c r="AH45" s="148"/>
      <c r="AI45" s="147"/>
      <c r="AJ45" s="147"/>
      <c r="AK45" s="149"/>
      <c r="AN45" s="1231" cm="1" t="str">
        <f t="array" ref="AN45:AN45">H45</f>
        <v>2041</v>
      </c>
    </row>
    <row s="227" customFormat="1" customHeight="1" ht="16.672500000000003" hidden="1">
      <c r="B46" s="952">
        <f>H46&lt;first_year+PERIOD_LENGTH</f>
        <v>0</v>
      </c>
      <c r="E46" s="794">
        <v>17.1</v>
      </c>
      <c r="F46" s="944" cm="1" t="str">
        <f t="array" ref="F46:F46">F45</f>
        <v>0</v>
      </c>
      <c r="H46" s="225">
        <f>first_year+16</f>
        <v>2042</v>
      </c>
      <c r="T46" s="805" cm="1" t="str">
        <f t="array" ref="T46:T46">T45</f>
        <v>false</v>
      </c>
      <c r="AB46" s="330" t="str">
        <f>H46&amp;" год"</f>
        <v>2042 год</v>
      </c>
      <c r="AC46" s="462"/>
      <c r="AD46" s="148"/>
      <c r="AE46" s="148"/>
      <c r="AF46" s="147"/>
      <c r="AG46" s="147"/>
      <c r="AH46" s="148"/>
      <c r="AI46" s="147"/>
      <c r="AJ46" s="147"/>
      <c r="AK46" s="149"/>
      <c r="AN46" s="1231" cm="1" t="str">
        <f t="array" ref="AN46:AN46">H46</f>
        <v>2042</v>
      </c>
    </row>
    <row s="227" customFormat="1" customHeight="1" ht="16.672500000000003" hidden="1">
      <c r="B47" s="952">
        <f>H47&lt;first_year+PERIOD_LENGTH</f>
        <v>0</v>
      </c>
      <c r="E47" s="794">
        <v>17.1</v>
      </c>
      <c r="F47" s="944" cm="1" t="str">
        <f t="array" ref="F47:F47">F46</f>
        <v>0</v>
      </c>
      <c r="H47" s="225">
        <f>first_year+17</f>
        <v>2043</v>
      </c>
      <c r="T47" s="805" cm="1" t="str">
        <f t="array" ref="T47:T47">T46</f>
        <v>false</v>
      </c>
      <c r="AB47" s="330" t="str">
        <f>H47&amp;" год"</f>
        <v>2043 год</v>
      </c>
      <c r="AC47" s="462"/>
      <c r="AD47" s="148"/>
      <c r="AE47" s="148"/>
      <c r="AF47" s="147"/>
      <c r="AG47" s="147"/>
      <c r="AH47" s="148"/>
      <c r="AI47" s="147"/>
      <c r="AJ47" s="147"/>
      <c r="AK47" s="149"/>
      <c r="AN47" s="1231" cm="1" t="str">
        <f t="array" ref="AN47:AN47">H47</f>
        <v>2043</v>
      </c>
    </row>
    <row s="227" customFormat="1" customHeight="1" ht="16.672500000000003" hidden="1">
      <c r="B48" s="952">
        <f>H48&lt;first_year+PERIOD_LENGTH</f>
        <v>0</v>
      </c>
      <c r="E48" s="794">
        <v>17.1</v>
      </c>
      <c r="F48" s="944" cm="1" t="str">
        <f t="array" ref="F48:F48">F47</f>
        <v>0</v>
      </c>
      <c r="H48" s="225">
        <f>first_year+18</f>
        <v>2044</v>
      </c>
      <c r="T48" s="805" cm="1" t="str">
        <f t="array" ref="T48:T48">T47</f>
        <v>false</v>
      </c>
      <c r="AB48" s="330" t="str">
        <f>H48&amp;" год"</f>
        <v>2044 год</v>
      </c>
      <c r="AC48" s="462"/>
      <c r="AD48" s="148"/>
      <c r="AE48" s="148"/>
      <c r="AF48" s="147"/>
      <c r="AG48" s="147"/>
      <c r="AH48" s="148"/>
      <c r="AI48" s="147"/>
      <c r="AJ48" s="147"/>
      <c r="AK48" s="149"/>
      <c r="AN48" s="1231" cm="1" t="str">
        <f t="array" ref="AN48:AN48">H48</f>
        <v>2044</v>
      </c>
    </row>
    <row s="227" customFormat="1" customHeight="1" ht="16.672500000000003" hidden="1">
      <c r="B49" s="952">
        <f>H49&lt;first_year+PERIOD_LENGTH</f>
        <v>0</v>
      </c>
      <c r="E49" s="794">
        <v>17.1</v>
      </c>
      <c r="F49" s="944" cm="1" t="str">
        <f t="array" ref="F49:F49">F48</f>
        <v>0</v>
      </c>
      <c r="H49" s="225">
        <f>first_year+19</f>
        <v>2045</v>
      </c>
      <c r="T49" s="805" cm="1" t="str">
        <f t="array" ref="T49:T49">T48</f>
        <v>false</v>
      </c>
      <c r="AB49" s="330" t="str">
        <f>H49&amp;" год"</f>
        <v>2045 год</v>
      </c>
      <c r="AC49" s="462"/>
      <c r="AD49" s="148"/>
      <c r="AE49" s="148"/>
      <c r="AF49" s="147"/>
      <c r="AG49" s="147"/>
      <c r="AH49" s="148"/>
      <c r="AI49" s="147"/>
      <c r="AJ49" s="147"/>
      <c r="AK49" s="149"/>
      <c r="AN49" s="1231" cm="1" t="str">
        <f t="array" ref="AN49:AN49">H49</f>
        <v>2045</v>
      </c>
    </row>
    <row s="227" customFormat="1" customHeight="1" ht="16.672500000000003" hidden="1">
      <c r="B50" s="952">
        <f>H50&lt;first_year+PERIOD_LENGTH</f>
        <v>0</v>
      </c>
      <c r="E50" s="794">
        <v>17.1</v>
      </c>
      <c r="F50" s="944" cm="1" t="str">
        <f t="array" ref="F50:F50">F49</f>
        <v>0</v>
      </c>
      <c r="H50" s="225">
        <f>first_year+20</f>
        <v>2046</v>
      </c>
      <c r="T50" s="805" cm="1" t="str">
        <f t="array" ref="T50:T50">T49</f>
        <v>false</v>
      </c>
      <c r="AB50" s="330" t="str">
        <f>H50&amp;" год"</f>
        <v>2046 год</v>
      </c>
      <c r="AC50" s="462"/>
      <c r="AD50" s="148"/>
      <c r="AE50" s="148"/>
      <c r="AF50" s="147"/>
      <c r="AG50" s="147"/>
      <c r="AH50" s="148"/>
      <c r="AI50" s="147"/>
      <c r="AJ50" s="147"/>
      <c r="AK50" s="149"/>
      <c r="AN50" s="1231" cm="1" t="str">
        <f t="array" ref="AN50:AN50">H50</f>
        <v>2046</v>
      </c>
    </row>
    <row s="227" customFormat="1" customHeight="1" ht="16.672500000000003" hidden="1">
      <c r="B51" s="952">
        <f>H51&lt;first_year+PERIOD_LENGTH</f>
        <v>0</v>
      </c>
      <c r="E51" s="794">
        <v>17.1</v>
      </c>
      <c r="F51" s="944" cm="1" t="str">
        <f t="array" ref="F51:F51">F50</f>
        <v>0</v>
      </c>
      <c r="H51" s="225">
        <f>first_year+21</f>
        <v>2047</v>
      </c>
      <c r="T51" s="805" cm="1" t="str">
        <f t="array" ref="T51:T51">T50</f>
        <v>false</v>
      </c>
      <c r="AB51" s="330" t="str">
        <f>H51&amp;" год"</f>
        <v>2047 год</v>
      </c>
      <c r="AC51" s="462"/>
      <c r="AD51" s="148"/>
      <c r="AE51" s="148"/>
      <c r="AF51" s="147"/>
      <c r="AG51" s="147"/>
      <c r="AH51" s="148"/>
      <c r="AI51" s="147"/>
      <c r="AJ51" s="147"/>
      <c r="AK51" s="149"/>
      <c r="AN51" s="1231" cm="1" t="str">
        <f t="array" ref="AN51:AN51">H51</f>
        <v>2047</v>
      </c>
    </row>
    <row s="227" customFormat="1" customHeight="1" ht="16.672500000000003" hidden="1">
      <c r="B52" s="952">
        <f>H52&lt;first_year+PERIOD_LENGTH</f>
        <v>0</v>
      </c>
      <c r="E52" s="794">
        <v>17.1</v>
      </c>
      <c r="F52" s="944" cm="1" t="str">
        <f t="array" ref="F52:F52">F51</f>
        <v>0</v>
      </c>
      <c r="H52" s="225">
        <f>first_year+22</f>
        <v>2048</v>
      </c>
      <c r="T52" s="805" cm="1" t="str">
        <f t="array" ref="T52:T52">T51</f>
        <v>false</v>
      </c>
      <c r="AB52" s="330" t="str">
        <f>H52&amp;" год"</f>
        <v>2048 год</v>
      </c>
      <c r="AC52" s="462"/>
      <c r="AD52" s="148"/>
      <c r="AE52" s="148"/>
      <c r="AF52" s="147"/>
      <c r="AG52" s="147"/>
      <c r="AH52" s="148"/>
      <c r="AI52" s="147"/>
      <c r="AJ52" s="147"/>
      <c r="AK52" s="149"/>
      <c r="AN52" s="1231" cm="1" t="str">
        <f t="array" ref="AN52:AN52">H52</f>
        <v>2048</v>
      </c>
    </row>
    <row s="227" customFormat="1" customHeight="1" ht="16.672500000000003" hidden="1">
      <c r="B53" s="952">
        <f>H53&lt;first_year+PERIOD_LENGTH</f>
        <v>0</v>
      </c>
      <c r="E53" s="794">
        <v>17.1</v>
      </c>
      <c r="F53" s="944" cm="1" t="str">
        <f t="array" ref="F53:F53">F52</f>
        <v>0</v>
      </c>
      <c r="H53" s="225">
        <f>first_year+23</f>
        <v>2049</v>
      </c>
      <c r="T53" s="805" cm="1" t="str">
        <f t="array" ref="T53:T53">T52</f>
        <v>false</v>
      </c>
      <c r="AB53" s="330" t="str">
        <f>H53&amp;" год"</f>
        <v>2049 год</v>
      </c>
      <c r="AC53" s="462"/>
      <c r="AD53" s="148"/>
      <c r="AE53" s="148"/>
      <c r="AF53" s="147"/>
      <c r="AG53" s="147"/>
      <c r="AH53" s="148"/>
      <c r="AI53" s="147"/>
      <c r="AJ53" s="147"/>
      <c r="AK53" s="149"/>
      <c r="AN53" s="1231" cm="1" t="str">
        <f t="array" ref="AN53:AN53">H53</f>
        <v>2049</v>
      </c>
    </row>
    <row s="227" customFormat="1" customHeight="1" ht="16.672500000000003" hidden="1">
      <c r="B54" s="952">
        <f>H54&lt;first_year+PERIOD_LENGTH</f>
        <v>0</v>
      </c>
      <c r="E54" s="794">
        <v>17.1</v>
      </c>
      <c r="F54" s="944" cm="1" t="str">
        <f t="array" ref="F54:F54">F53</f>
        <v>0</v>
      </c>
      <c r="H54" s="225">
        <f>first_year+24</f>
        <v>2050</v>
      </c>
      <c r="T54" s="805" cm="1" t="str">
        <f t="array" ref="T54:T54">T53</f>
        <v>false</v>
      </c>
      <c r="AB54" s="330" t="str">
        <f>H54&amp;" год"</f>
        <v>2050 год</v>
      </c>
      <c r="AC54" s="462"/>
      <c r="AD54" s="148"/>
      <c r="AE54" s="148"/>
      <c r="AF54" s="147"/>
      <c r="AG54" s="147"/>
      <c r="AH54" s="148"/>
      <c r="AI54" s="147"/>
      <c r="AJ54" s="147"/>
      <c r="AK54" s="149"/>
      <c r="AN54" s="1231" cm="1" t="str">
        <f t="array" ref="AN54:AN54">H54</f>
        <v>2050</v>
      </c>
    </row>
    <row s="227" customFormat="1" customHeight="1" ht="16.672500000000003" hidden="1">
      <c r="B55" s="952">
        <f>H55&lt;first_year+PERIOD_LENGTH</f>
        <v>0</v>
      </c>
      <c r="E55" s="794">
        <v>17.1</v>
      </c>
      <c r="F55" s="944" cm="1" t="str">
        <f t="array" ref="F55:F55">F54</f>
        <v>0</v>
      </c>
      <c r="H55" s="225">
        <f>first_year+25</f>
        <v>2051</v>
      </c>
      <c r="T55" s="805" cm="1" t="str">
        <f t="array" ref="T55:T55">T54</f>
        <v>false</v>
      </c>
      <c r="AB55" s="330" t="str">
        <f>H55&amp;" год"</f>
        <v>2051 год</v>
      </c>
      <c r="AC55" s="462"/>
      <c r="AD55" s="148"/>
      <c r="AE55" s="148"/>
      <c r="AF55" s="147"/>
      <c r="AG55" s="147"/>
      <c r="AH55" s="148"/>
      <c r="AI55" s="147"/>
      <c r="AJ55" s="147"/>
      <c r="AK55" s="149"/>
      <c r="AN55" s="1231" cm="1" t="str">
        <f t="array" ref="AN55:AN55">H55</f>
        <v>2051</v>
      </c>
    </row>
    <row s="227" customFormat="1" customHeight="1" ht="16.672500000000003" hidden="1">
      <c r="B56" s="952">
        <f>H56&lt;first_year+PERIOD_LENGTH</f>
        <v>0</v>
      </c>
      <c r="E56" s="794">
        <v>17.1</v>
      </c>
      <c r="F56" s="944" cm="1" t="str">
        <f t="array" ref="F56:F56">F55</f>
        <v>0</v>
      </c>
      <c r="H56" s="225">
        <f>first_year+26</f>
        <v>2052</v>
      </c>
      <c r="T56" s="805" cm="1" t="str">
        <f t="array" ref="T56:T56">T55</f>
        <v>false</v>
      </c>
      <c r="AB56" s="330" t="str">
        <f>H56&amp;" год"</f>
        <v>2052 год</v>
      </c>
      <c r="AC56" s="462"/>
      <c r="AD56" s="148"/>
      <c r="AE56" s="148"/>
      <c r="AF56" s="147"/>
      <c r="AG56" s="147"/>
      <c r="AH56" s="148"/>
      <c r="AI56" s="147"/>
      <c r="AJ56" s="147"/>
      <c r="AK56" s="149"/>
      <c r="AN56" s="1231" cm="1" t="str">
        <f t="array" ref="AN56:AN56">H56</f>
        <v>2052</v>
      </c>
    </row>
    <row s="227" customFormat="1" customHeight="1" ht="16.672500000000003" hidden="1">
      <c r="B57" s="952">
        <f>H57&lt;first_year+PERIOD_LENGTH</f>
        <v>0</v>
      </c>
      <c r="E57" s="794">
        <v>17.1</v>
      </c>
      <c r="F57" s="944" cm="1" t="str">
        <f t="array" ref="F57:F57">F56</f>
        <v>0</v>
      </c>
      <c r="H57" s="225">
        <f>first_year+27</f>
        <v>2053</v>
      </c>
      <c r="T57" s="805" cm="1" t="str">
        <f t="array" ref="T57:T57">T56</f>
        <v>false</v>
      </c>
      <c r="AB57" s="330" t="str">
        <f>H57&amp;" год"</f>
        <v>2053 год</v>
      </c>
      <c r="AC57" s="462"/>
      <c r="AD57" s="148"/>
      <c r="AE57" s="148"/>
      <c r="AF57" s="147"/>
      <c r="AG57" s="147"/>
      <c r="AH57" s="148"/>
      <c r="AI57" s="147"/>
      <c r="AJ57" s="147"/>
      <c r="AK57" s="149"/>
      <c r="AN57" s="1231" cm="1" t="str">
        <f t="array" ref="AN57:AN57">H57</f>
        <v>2053</v>
      </c>
    </row>
    <row s="227" customFormat="1" customHeight="1" ht="16.672500000000003" hidden="1">
      <c r="B58" s="952">
        <f>H58&lt;first_year+PERIOD_LENGTH</f>
        <v>0</v>
      </c>
      <c r="E58" s="794">
        <v>17.1</v>
      </c>
      <c r="F58" s="944" cm="1" t="str">
        <f t="array" ref="F58:F58">F57</f>
        <v>0</v>
      </c>
      <c r="H58" s="225">
        <f>first_year+28</f>
        <v>2054</v>
      </c>
      <c r="T58" s="805" cm="1" t="str">
        <f t="array" ref="T58:T58">T57</f>
        <v>false</v>
      </c>
      <c r="AB58" s="330" t="str">
        <f>H58&amp;" год"</f>
        <v>2054 год</v>
      </c>
      <c r="AC58" s="462"/>
      <c r="AD58" s="148"/>
      <c r="AE58" s="148"/>
      <c r="AF58" s="147"/>
      <c r="AG58" s="147"/>
      <c r="AH58" s="148"/>
      <c r="AI58" s="147"/>
      <c r="AJ58" s="147"/>
      <c r="AK58" s="149"/>
      <c r="AN58" s="1231" cm="1" t="str">
        <f t="array" ref="AN58:AN58">H58</f>
        <v>2054</v>
      </c>
    </row>
    <row s="227" customFormat="1" customHeight="1" ht="16.672500000000003" hidden="1">
      <c r="B59" s="952">
        <f>H59&lt;first_year+PERIOD_LENGTH</f>
        <v>0</v>
      </c>
      <c r="E59" s="794">
        <v>17.1</v>
      </c>
      <c r="F59" s="944" cm="1" t="str">
        <f t="array" ref="F59:F59">F58</f>
        <v>0</v>
      </c>
      <c r="H59" s="225">
        <f>first_year+29</f>
        <v>2055</v>
      </c>
      <c r="T59" s="805" cm="1" t="str">
        <f t="array" ref="T59:T59">T58</f>
        <v>false</v>
      </c>
      <c r="AB59" s="330" t="str">
        <f>H59&amp;" год"</f>
        <v>2055 год</v>
      </c>
      <c r="AC59" s="462"/>
      <c r="AD59" s="148"/>
      <c r="AE59" s="148"/>
      <c r="AF59" s="147"/>
      <c r="AG59" s="147"/>
      <c r="AH59" s="148"/>
      <c r="AI59" s="147"/>
      <c r="AJ59" s="147"/>
      <c r="AK59" s="149"/>
      <c r="AN59" s="1231" cm="1" t="str">
        <f t="array" ref="AN59:AN59">H59</f>
        <v>2055</v>
      </c>
    </row>
    <row s="227" customFormat="1" customHeight="1" ht="16.672500000000003" hidden="1">
      <c r="B60" s="952">
        <f>H60&lt;first_year+PERIOD_LENGTH</f>
        <v>0</v>
      </c>
      <c r="E60" s="794">
        <v>17.1</v>
      </c>
      <c r="F60" s="944" cm="1" t="str">
        <f t="array" ref="F60:F60">F59</f>
        <v>0</v>
      </c>
      <c r="H60" s="225">
        <f>first_year+30</f>
        <v>2056</v>
      </c>
      <c r="T60" s="805" cm="1" t="str">
        <f t="array" ref="T60:T60">T59</f>
        <v>false</v>
      </c>
      <c r="AB60" s="330" t="str">
        <f>H60&amp;" год"</f>
        <v>2056 год</v>
      </c>
      <c r="AC60" s="462"/>
      <c r="AD60" s="148"/>
      <c r="AE60" s="148"/>
      <c r="AF60" s="147"/>
      <c r="AG60" s="147"/>
      <c r="AH60" s="148"/>
      <c r="AI60" s="147"/>
      <c r="AJ60" s="147"/>
      <c r="AK60" s="149"/>
      <c r="AN60" s="1231" cm="1" t="str">
        <f t="array" ref="AN60:AN60">H60</f>
        <v>2056</v>
      </c>
    </row>
    <row s="227" customFormat="1" customHeight="1" ht="16.672500000000003" hidden="1">
      <c r="B61" s="952">
        <f>H61&lt;first_year+PERIOD_LENGTH</f>
        <v>0</v>
      </c>
      <c r="E61" s="794">
        <v>17.1</v>
      </c>
      <c r="F61" s="944" cm="1" t="str">
        <f t="array" ref="F61:F61">F60</f>
        <v>0</v>
      </c>
      <c r="H61" s="225">
        <f>first_year+31</f>
        <v>2057</v>
      </c>
      <c r="T61" s="805" cm="1" t="str">
        <f t="array" ref="T61:T61">T60</f>
        <v>false</v>
      </c>
      <c r="AB61" s="330" t="str">
        <f>H61&amp;" год"</f>
        <v>2057 год</v>
      </c>
      <c r="AC61" s="462"/>
      <c r="AD61" s="148"/>
      <c r="AE61" s="148"/>
      <c r="AF61" s="147"/>
      <c r="AG61" s="147"/>
      <c r="AH61" s="148"/>
      <c r="AI61" s="147"/>
      <c r="AJ61" s="147"/>
      <c r="AK61" s="149"/>
      <c r="AN61" s="1231" cm="1" t="str">
        <f t="array" ref="AN61:AN61">H61</f>
        <v>2057</v>
      </c>
    </row>
    <row s="227" customFormat="1" customHeight="1" ht="16.672500000000003" hidden="1">
      <c r="B62" s="952">
        <f>H62&lt;first_year+PERIOD_LENGTH</f>
        <v>0</v>
      </c>
      <c r="E62" s="794">
        <v>17.1</v>
      </c>
      <c r="F62" s="944" cm="1" t="str">
        <f t="array" ref="F62:F62">F61</f>
        <v>0</v>
      </c>
      <c r="H62" s="225">
        <f>first_year+32</f>
        <v>2058</v>
      </c>
      <c r="T62" s="805" cm="1" t="str">
        <f t="array" ref="T62:T62">T61</f>
        <v>false</v>
      </c>
      <c r="AB62" s="330" t="str">
        <f>H62&amp;" год"</f>
        <v>2058 год</v>
      </c>
      <c r="AC62" s="462"/>
      <c r="AD62" s="148"/>
      <c r="AE62" s="148"/>
      <c r="AF62" s="147"/>
      <c r="AG62" s="147"/>
      <c r="AH62" s="148"/>
      <c r="AI62" s="147"/>
      <c r="AJ62" s="147"/>
      <c r="AK62" s="149"/>
      <c r="AN62" s="1231" cm="1" t="str">
        <f t="array" ref="AN62:AN62">H62</f>
        <v>2058</v>
      </c>
    </row>
    <row s="227" customFormat="1" customHeight="1" ht="16.672500000000003" hidden="1">
      <c r="B63" s="952">
        <f>H63&lt;first_year+PERIOD_LENGTH</f>
        <v>0</v>
      </c>
      <c r="E63" s="794">
        <v>17.1</v>
      </c>
      <c r="F63" s="944" cm="1" t="str">
        <f t="array" ref="F63:F63">F62</f>
        <v>0</v>
      </c>
      <c r="H63" s="225">
        <f>first_year+33</f>
        <v>2059</v>
      </c>
      <c r="T63" s="805" cm="1" t="str">
        <f t="array" ref="T63:T63">T62</f>
        <v>false</v>
      </c>
      <c r="AB63" s="330" t="str">
        <f>H63&amp;" год"</f>
        <v>2059 год</v>
      </c>
      <c r="AC63" s="462"/>
      <c r="AD63" s="148"/>
      <c r="AE63" s="148"/>
      <c r="AF63" s="147"/>
      <c r="AG63" s="147"/>
      <c r="AH63" s="148"/>
      <c r="AI63" s="147"/>
      <c r="AJ63" s="147"/>
      <c r="AK63" s="149"/>
      <c r="AN63" s="1231" cm="1" t="str">
        <f t="array" ref="AN63:AN63">H63</f>
        <v>2059</v>
      </c>
    </row>
    <row s="227" customFormat="1" customHeight="1" ht="16.672500000000003" hidden="1">
      <c r="B64" s="952">
        <f>H64&lt;first_year+PERIOD_LENGTH</f>
        <v>0</v>
      </c>
      <c r="E64" s="794">
        <v>17.1</v>
      </c>
      <c r="F64" s="944" cm="1" t="str">
        <f t="array" ref="F64:F64">F63</f>
        <v>0</v>
      </c>
      <c r="H64" s="225">
        <f>first_year+34</f>
        <v>2060</v>
      </c>
      <c r="T64" s="805" cm="1" t="str">
        <f t="array" ref="T64:T64">T63</f>
        <v>false</v>
      </c>
      <c r="AB64" s="330" t="str">
        <f>H64&amp;" год"</f>
        <v>2060 год</v>
      </c>
      <c r="AC64" s="462"/>
      <c r="AD64" s="148"/>
      <c r="AE64" s="148"/>
      <c r="AF64" s="147"/>
      <c r="AG64" s="147"/>
      <c r="AH64" s="148"/>
      <c r="AI64" s="147"/>
      <c r="AJ64" s="147"/>
      <c r="AK64" s="149"/>
      <c r="AN64" s="1231" cm="1" t="str">
        <f t="array" ref="AN64:AN64">H64</f>
        <v>2060</v>
      </c>
    </row>
    <row s="227" customFormat="1" customHeight="1" ht="16.672500000000003" hidden="1">
      <c r="B65" s="952">
        <f>H65&lt;first_year+PERIOD_LENGTH</f>
        <v>0</v>
      </c>
      <c r="E65" s="794">
        <v>17.1</v>
      </c>
      <c r="F65" s="944" cm="1" t="str">
        <f t="array" ref="F65:F65">F64</f>
        <v>0</v>
      </c>
      <c r="H65" s="225">
        <f>first_year+35</f>
        <v>2061</v>
      </c>
      <c r="T65" s="805" cm="1" t="str">
        <f t="array" ref="T65:T65">T64</f>
        <v>false</v>
      </c>
      <c r="AB65" s="330" t="str">
        <f>H65&amp;" год"</f>
        <v>2061 год</v>
      </c>
      <c r="AC65" s="462"/>
      <c r="AD65" s="148"/>
      <c r="AE65" s="148"/>
      <c r="AF65" s="147"/>
      <c r="AG65" s="147"/>
      <c r="AH65" s="148"/>
      <c r="AI65" s="147"/>
      <c r="AJ65" s="147"/>
      <c r="AK65" s="149"/>
      <c r="AN65" s="1231" cm="1" t="str">
        <f t="array" ref="AN65:AN65">H65</f>
        <v>2061</v>
      </c>
    </row>
    <row s="227" customFormat="1" customHeight="1" ht="16.672500000000003" hidden="1">
      <c r="B66" s="952">
        <f>H66&lt;first_year+PERIOD_LENGTH</f>
        <v>0</v>
      </c>
      <c r="E66" s="794">
        <v>17.1</v>
      </c>
      <c r="F66" s="944" cm="1" t="str">
        <f t="array" ref="F66:F66">F65</f>
        <v>0</v>
      </c>
      <c r="H66" s="225">
        <f>first_year+36</f>
        <v>2062</v>
      </c>
      <c r="T66" s="805" cm="1" t="str">
        <f t="array" ref="T66:T66">T65</f>
        <v>false</v>
      </c>
      <c r="AB66" s="330" t="str">
        <f>H66&amp;" год"</f>
        <v>2062 год</v>
      </c>
      <c r="AC66" s="462"/>
      <c r="AD66" s="148"/>
      <c r="AE66" s="148"/>
      <c r="AF66" s="147"/>
      <c r="AG66" s="147"/>
      <c r="AH66" s="148"/>
      <c r="AI66" s="147"/>
      <c r="AJ66" s="147"/>
      <c r="AK66" s="149"/>
      <c r="AN66" s="1231" cm="1" t="str">
        <f t="array" ref="AN66:AN66">H66</f>
        <v>2062</v>
      </c>
    </row>
    <row s="227" customFormat="1" customHeight="1" ht="16.672500000000003" hidden="1">
      <c r="B67" s="952">
        <f>H67&lt;first_year+PERIOD_LENGTH</f>
        <v>0</v>
      </c>
      <c r="E67" s="794">
        <v>17.1</v>
      </c>
      <c r="F67" s="944" cm="1" t="str">
        <f t="array" ref="F67:F67">F66</f>
        <v>0</v>
      </c>
      <c r="H67" s="225">
        <f>first_year+37</f>
        <v>2063</v>
      </c>
      <c r="T67" s="805" cm="1" t="str">
        <f t="array" ref="T67:T67">T66</f>
        <v>false</v>
      </c>
      <c r="AB67" s="330" t="str">
        <f>H67&amp;" год"</f>
        <v>2063 год</v>
      </c>
      <c r="AC67" s="462"/>
      <c r="AD67" s="148"/>
      <c r="AE67" s="148"/>
      <c r="AF67" s="147"/>
      <c r="AG67" s="147"/>
      <c r="AH67" s="148"/>
      <c r="AI67" s="147"/>
      <c r="AJ67" s="147"/>
      <c r="AK67" s="149"/>
      <c r="AN67" s="1231" cm="1" t="str">
        <f t="array" ref="AN67:AN67">H67</f>
        <v>2063</v>
      </c>
    </row>
    <row s="227" customFormat="1" customHeight="1" ht="16.672500000000003" hidden="1">
      <c r="B68" s="952">
        <f>H68&lt;first_year+PERIOD_LENGTH</f>
        <v>0</v>
      </c>
      <c r="E68" s="794">
        <v>17.1</v>
      </c>
      <c r="F68" s="944" cm="1" t="str">
        <f t="array" ref="F68:F68">F67</f>
        <v>0</v>
      </c>
      <c r="H68" s="225">
        <f>first_year+38</f>
        <v>2064</v>
      </c>
      <c r="T68" s="805" cm="1" t="str">
        <f t="array" ref="T68:T68">T67</f>
        <v>false</v>
      </c>
      <c r="AB68" s="330" t="str">
        <f>H68&amp;" год"</f>
        <v>2064 год</v>
      </c>
      <c r="AC68" s="462"/>
      <c r="AD68" s="148"/>
      <c r="AE68" s="148"/>
      <c r="AF68" s="147"/>
      <c r="AG68" s="147"/>
      <c r="AH68" s="148"/>
      <c r="AI68" s="147"/>
      <c r="AJ68" s="147"/>
      <c r="AK68" s="149"/>
      <c r="AN68" s="1231" cm="1" t="str">
        <f t="array" ref="AN68:AN68">H68</f>
        <v>2064</v>
      </c>
    </row>
    <row s="227" customFormat="1" customHeight="1" ht="16.672500000000003" hidden="1">
      <c r="B69" s="952">
        <f>H69&lt;first_year+PERIOD_LENGTH</f>
        <v>0</v>
      </c>
      <c r="E69" s="794">
        <v>17.1</v>
      </c>
      <c r="F69" s="944" cm="1" t="str">
        <f t="array" ref="F69:F69">F68</f>
        <v>0</v>
      </c>
      <c r="H69" s="225">
        <f>first_year+39</f>
        <v>2065</v>
      </c>
      <c r="T69" s="805" cm="1" t="str">
        <f t="array" ref="T69:T69">T68</f>
        <v>false</v>
      </c>
      <c r="AB69" s="330" t="str">
        <f>H69&amp;" год"</f>
        <v>2065 год</v>
      </c>
      <c r="AC69" s="462"/>
      <c r="AD69" s="148"/>
      <c r="AE69" s="148"/>
      <c r="AF69" s="147"/>
      <c r="AG69" s="147"/>
      <c r="AH69" s="148"/>
      <c r="AI69" s="147"/>
      <c r="AJ69" s="147"/>
      <c r="AK69" s="149"/>
      <c r="AN69" s="1231" cm="1" t="str">
        <f t="array" ref="AN69:AN69">H69</f>
        <v>2065</v>
      </c>
    </row>
    <row s="227" customFormat="1" customHeight="1" ht="16.672500000000003" hidden="1">
      <c r="B70" s="952">
        <f>H70&lt;first_year+PERIOD_LENGTH</f>
        <v>0</v>
      </c>
      <c r="E70" s="794">
        <v>17.1</v>
      </c>
      <c r="F70" s="944" cm="1" t="str">
        <f t="array" ref="F70:F70">F69</f>
        <v>0</v>
      </c>
      <c r="H70" s="225">
        <f>first_year+40</f>
        <v>2066</v>
      </c>
      <c r="T70" s="805" cm="1" t="str">
        <f t="array" ref="T70:T70">T69</f>
        <v>false</v>
      </c>
      <c r="AB70" s="330" t="str">
        <f>H70&amp;" год"</f>
        <v>2066 год</v>
      </c>
      <c r="AC70" s="462"/>
      <c r="AD70" s="148"/>
      <c r="AE70" s="148"/>
      <c r="AF70" s="147"/>
      <c r="AG70" s="147"/>
      <c r="AH70" s="148"/>
      <c r="AI70" s="147"/>
      <c r="AJ70" s="147"/>
      <c r="AK70" s="149"/>
      <c r="AN70" s="1231" cm="1" t="str">
        <f t="array" ref="AN70:AN70">H70</f>
        <v>2066</v>
      </c>
    </row>
    <row s="227" customFormat="1" customHeight="1" ht="16.672500000000003" hidden="1">
      <c r="B71" s="952">
        <f>H71&lt;first_year+PERIOD_LENGTH</f>
        <v>0</v>
      </c>
      <c r="E71" s="794">
        <v>17.1</v>
      </c>
      <c r="F71" s="944" cm="1" t="str">
        <f t="array" ref="F71:F71">F70</f>
        <v>0</v>
      </c>
      <c r="H71" s="225">
        <f>first_year+41</f>
        <v>2067</v>
      </c>
      <c r="T71" s="805" cm="1" t="str">
        <f t="array" ref="T71:T71">T70</f>
        <v>false</v>
      </c>
      <c r="AB71" s="330" t="str">
        <f>H71&amp;" год"</f>
        <v>2067 год</v>
      </c>
      <c r="AC71" s="462"/>
      <c r="AD71" s="148"/>
      <c r="AE71" s="148"/>
      <c r="AF71" s="147"/>
      <c r="AG71" s="147"/>
      <c r="AH71" s="148"/>
      <c r="AI71" s="147"/>
      <c r="AJ71" s="147"/>
      <c r="AK71" s="149"/>
      <c r="AN71" s="1231" cm="1" t="str">
        <f t="array" ref="AN71:AN71">H71</f>
        <v>2067</v>
      </c>
    </row>
    <row s="227" customFormat="1" customHeight="1" ht="16.672500000000003" hidden="1">
      <c r="B72" s="952">
        <f>H72&lt;first_year+PERIOD_LENGTH</f>
        <v>0</v>
      </c>
      <c r="E72" s="794">
        <v>17.1</v>
      </c>
      <c r="F72" s="944" cm="1" t="str">
        <f t="array" ref="F72:F72">F71</f>
        <v>0</v>
      </c>
      <c r="H72" s="225">
        <f>first_year+42</f>
        <v>2068</v>
      </c>
      <c r="T72" s="805" cm="1" t="str">
        <f t="array" ref="T72:T72">T71</f>
        <v>false</v>
      </c>
      <c r="AB72" s="330" t="str">
        <f>H72&amp;" год"</f>
        <v>2068 год</v>
      </c>
      <c r="AC72" s="462"/>
      <c r="AD72" s="148"/>
      <c r="AE72" s="148"/>
      <c r="AF72" s="147"/>
      <c r="AG72" s="147"/>
      <c r="AH72" s="148"/>
      <c r="AI72" s="147"/>
      <c r="AJ72" s="147"/>
      <c r="AK72" s="149"/>
      <c r="AN72" s="1231" cm="1" t="str">
        <f t="array" ref="AN72:AN72">H72</f>
        <v>2068</v>
      </c>
    </row>
    <row s="227" customFormat="1" customHeight="1" ht="16.672500000000003" hidden="1">
      <c r="B73" s="952">
        <f>H73&lt;first_year+PERIOD_LENGTH</f>
        <v>0</v>
      </c>
      <c r="E73" s="794">
        <v>17.1</v>
      </c>
      <c r="F73" s="944" cm="1" t="str">
        <f t="array" ref="F73:F73">F72</f>
        <v>0</v>
      </c>
      <c r="H73" s="225">
        <f>first_year+43</f>
        <v>2069</v>
      </c>
      <c r="T73" s="805" cm="1" t="str">
        <f t="array" ref="T73:T73">T72</f>
        <v>false</v>
      </c>
      <c r="AB73" s="330" t="str">
        <f>H73&amp;" год"</f>
        <v>2069 год</v>
      </c>
      <c r="AC73" s="462"/>
      <c r="AD73" s="148"/>
      <c r="AE73" s="148"/>
      <c r="AF73" s="147"/>
      <c r="AG73" s="147"/>
      <c r="AH73" s="148"/>
      <c r="AI73" s="147"/>
      <c r="AJ73" s="147"/>
      <c r="AK73" s="149"/>
      <c r="AN73" s="1231" cm="1" t="str">
        <f t="array" ref="AN73:AN73">H73</f>
        <v>2069</v>
      </c>
    </row>
    <row s="227" customFormat="1" customHeight="1" ht="16.672500000000003" hidden="1">
      <c r="B74" s="952">
        <f>H74&lt;first_year+PERIOD_LENGTH</f>
        <v>0</v>
      </c>
      <c r="E74" s="794">
        <v>17.1</v>
      </c>
      <c r="F74" s="944" cm="1" t="str">
        <f t="array" ref="F74:F74">F73</f>
        <v>0</v>
      </c>
      <c r="H74" s="225">
        <f>first_year+44</f>
        <v>2070</v>
      </c>
      <c r="T74" s="805" cm="1" t="str">
        <f t="array" ref="T74:T74">T73</f>
        <v>false</v>
      </c>
      <c r="AB74" s="330" t="str">
        <f>H74&amp;" год"</f>
        <v>2070 год</v>
      </c>
      <c r="AC74" s="462"/>
      <c r="AD74" s="148"/>
      <c r="AE74" s="148"/>
      <c r="AF74" s="147"/>
      <c r="AG74" s="147"/>
      <c r="AH74" s="148"/>
      <c r="AI74" s="147"/>
      <c r="AJ74" s="147"/>
      <c r="AK74" s="149"/>
      <c r="AN74" s="1231" cm="1" t="str">
        <f t="array" ref="AN74:AN74">H74</f>
        <v>2070</v>
      </c>
    </row>
    <row s="227" customFormat="1" customHeight="1" ht="16.672500000000003" hidden="1">
      <c r="B75" s="952">
        <f>H75&lt;first_year+PERIOD_LENGTH</f>
        <v>0</v>
      </c>
      <c r="E75" s="794">
        <v>17.1</v>
      </c>
      <c r="F75" s="944" cm="1" t="str">
        <f t="array" ref="F75:F75">F74</f>
        <v>0</v>
      </c>
      <c r="H75" s="225">
        <f>first_year+45</f>
        <v>2071</v>
      </c>
      <c r="T75" s="805" cm="1" t="str">
        <f t="array" ref="T75:T75">T74</f>
        <v>false</v>
      </c>
      <c r="AB75" s="330" t="str">
        <f>H75&amp;" год"</f>
        <v>2071 год</v>
      </c>
      <c r="AC75" s="462"/>
      <c r="AD75" s="148"/>
      <c r="AE75" s="148"/>
      <c r="AF75" s="147"/>
      <c r="AG75" s="147"/>
      <c r="AH75" s="148"/>
      <c r="AI75" s="147"/>
      <c r="AJ75" s="147"/>
      <c r="AK75" s="149"/>
      <c r="AN75" s="1231" cm="1" t="str">
        <f t="array" ref="AN75:AN75">H75</f>
        <v>2071</v>
      </c>
    </row>
    <row s="227" customFormat="1" customHeight="1" ht="16.672500000000003" hidden="1">
      <c r="B76" s="952">
        <f>H76&lt;first_year+PERIOD_LENGTH</f>
        <v>0</v>
      </c>
      <c r="E76" s="794">
        <v>17.1</v>
      </c>
      <c r="F76" s="944" cm="1" t="str">
        <f t="array" ref="F76:F76">F75</f>
        <v>0</v>
      </c>
      <c r="H76" s="225">
        <f>first_year+46</f>
        <v>2072</v>
      </c>
      <c r="T76" s="805" cm="1" t="str">
        <f t="array" ref="T76:T76">T75</f>
        <v>false</v>
      </c>
      <c r="AB76" s="330" t="str">
        <f>H76&amp;" год"</f>
        <v>2072 год</v>
      </c>
      <c r="AC76" s="462"/>
      <c r="AD76" s="148"/>
      <c r="AE76" s="148"/>
      <c r="AF76" s="147"/>
      <c r="AG76" s="147"/>
      <c r="AH76" s="148"/>
      <c r="AI76" s="147"/>
      <c r="AJ76" s="147"/>
      <c r="AK76" s="149"/>
      <c r="AN76" s="1231" cm="1" t="str">
        <f t="array" ref="AN76:AN76">H76</f>
        <v>2072</v>
      </c>
    </row>
    <row s="227" customFormat="1" customHeight="1" ht="16.672500000000003" hidden="1">
      <c r="B77" s="952">
        <f>H77&lt;first_year+PERIOD_LENGTH</f>
        <v>0</v>
      </c>
      <c r="E77" s="794">
        <v>17.1</v>
      </c>
      <c r="F77" s="944" cm="1" t="str">
        <f t="array" ref="F77:F77">F76</f>
        <v>0</v>
      </c>
      <c r="H77" s="225">
        <f>first_year+47</f>
        <v>2073</v>
      </c>
      <c r="T77" s="805" cm="1" t="str">
        <f t="array" ref="T77:T77">T76</f>
        <v>false</v>
      </c>
      <c r="AB77" s="330" t="str">
        <f>H77&amp;" год"</f>
        <v>2073 год</v>
      </c>
      <c r="AC77" s="462"/>
      <c r="AD77" s="148"/>
      <c r="AE77" s="148"/>
      <c r="AF77" s="147"/>
      <c r="AG77" s="147"/>
      <c r="AH77" s="148"/>
      <c r="AI77" s="147"/>
      <c r="AJ77" s="147"/>
      <c r="AK77" s="149"/>
      <c r="AN77" s="1231" cm="1" t="str">
        <f t="array" ref="AN77:AN77">H77</f>
        <v>2073</v>
      </c>
    </row>
    <row s="227" customFormat="1" customHeight="1" ht="16.672500000000003" hidden="1">
      <c r="B78" s="952">
        <f>H78&lt;first_year+PERIOD_LENGTH</f>
        <v>0</v>
      </c>
      <c r="E78" s="794">
        <v>17.1</v>
      </c>
      <c r="F78" s="944" cm="1" t="str">
        <f t="array" ref="F78:F78">F77</f>
        <v>0</v>
      </c>
      <c r="H78" s="225">
        <f>first_year+48</f>
        <v>2074</v>
      </c>
      <c r="T78" s="805" cm="1" t="str">
        <f t="array" ref="T78:T78">T77</f>
        <v>false</v>
      </c>
      <c r="AB78" s="330" t="str">
        <f>H78&amp;" год"</f>
        <v>2074 год</v>
      </c>
      <c r="AC78" s="462"/>
      <c r="AD78" s="148"/>
      <c r="AE78" s="148"/>
      <c r="AF78" s="147"/>
      <c r="AG78" s="147"/>
      <c r="AH78" s="148"/>
      <c r="AI78" s="147"/>
      <c r="AJ78" s="147"/>
      <c r="AK78" s="149"/>
      <c r="AN78" s="1231" cm="1" t="str">
        <f t="array" ref="AN78:AN78">H78</f>
        <v>2074</v>
      </c>
    </row>
    <row s="227" customFormat="1" customHeight="1" ht="16.672500000000003" hidden="1">
      <c r="B79" s="952">
        <f>H79&lt;first_year+PERIOD_LENGTH</f>
        <v>0</v>
      </c>
      <c r="E79" s="794">
        <v>17.1</v>
      </c>
      <c r="F79" s="944" cm="1" t="str">
        <f t="array" ref="F79:F79">F78</f>
        <v>0</v>
      </c>
      <c r="H79" s="225">
        <f>first_year+49</f>
        <v>2075</v>
      </c>
      <c r="T79" s="805" cm="1" t="str">
        <f t="array" ref="T79:T79">T78</f>
        <v>false</v>
      </c>
      <c r="AB79" s="330" t="str">
        <f>H79&amp;" год"</f>
        <v>2075 год</v>
      </c>
      <c r="AC79" s="462"/>
      <c r="AD79" s="148"/>
      <c r="AE79" s="148"/>
      <c r="AF79" s="147"/>
      <c r="AG79" s="147"/>
      <c r="AH79" s="148"/>
      <c r="AI79" s="147"/>
      <c r="AJ79" s="147"/>
      <c r="AK79" s="149"/>
      <c r="AN79" s="1231" cm="1" t="str">
        <f t="array" ref="AN79:AN79">H79</f>
        <v>2075</v>
      </c>
    </row>
    <row s="2076"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 на тепловую энергию (мощность), поставляемую потребителям (Тариф: Носитель - горячая вода (Т); Носитель - горячая вода (Т))</v>
      </c>
      <c r="W80" s="217"/>
      <c r="X80" s="172" t="s">
        <v>335</v>
      </c>
      <c r="Y80" s="217"/>
      <c r="Z80" s="217"/>
      <c r="AA80" s="217"/>
      <c r="AB80" s="317" cm="1" t="str">
        <f t="array" ref="AB80:AB80">IF(ISBLANK(ТМ!$AB$74),"",ТМ!$AB$74)</f>
        <v>Тариф 1 (Теплоснабжение) - Тариф на тепловую энергию (мощность), поставляемую потребителям (Тариф: Носитель - горячая вода (Т); Носитель - горячая вода (Т))</v>
      </c>
      <c r="AC80" s="318"/>
      <c r="AD80" s="318"/>
      <c r="AE80" s="318"/>
      <c r="AF80" s="318"/>
      <c r="AG80" s="318"/>
      <c r="AH80" s="318"/>
      <c r="AI80" s="318"/>
      <c r="AJ80" s="318"/>
      <c r="AK80" s="531"/>
      <c r="AL80" s="217"/>
      <c r="AM80" s="217"/>
      <c r="AN80" s="1154"/>
    </row>
    <row s="2077" customFormat="1" customHeight="1" ht="16.5">
      <c r="A81" s="227"/>
      <c r="B81" s="952">
        <f>H81&lt;first_year+PERIOD_LENGTH</f>
        <v>1</v>
      </c>
      <c r="C81" s="227"/>
      <c r="D81" s="227"/>
      <c r="E81" s="794">
        <v>17.1</v>
      </c>
      <c r="F81" s="944" cm="1" t="str">
        <f t="array" ref="F81:F81">F80</f>
        <v>1</v>
      </c>
      <c r="G81" s="190" t="s">
        <v>1292</v>
      </c>
      <c r="H81" s="225" cm="1" t="str">
        <f t="array" ref="H81:H81">first_year</f>
        <v>2026</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2026 год</v>
      </c>
      <c r="AC81" s="2078">
        <f>IF(god=first_year,_xlfn.SUMIFS('Калькуляция (5.9)'!AT$26:AT$192,'Калькуляция (5.9)'!$F$26:$F$192,$F81,'Калькуляция (5.9)'!$G$26:$G$192,$G81),"")</f>
        <v>1635.99992</v>
      </c>
      <c r="AD81" s="1725"/>
      <c r="AE81" s="2079"/>
      <c r="AF81" s="2078"/>
      <c r="AG81" s="2078"/>
      <c r="AH81" s="2079"/>
      <c r="AI81" s="2078"/>
      <c r="AJ81" s="2078"/>
      <c r="AK81" s="149"/>
      <c r="AL81" s="227"/>
      <c r="AM81" s="227"/>
      <c r="AN81" s="1231" cm="1" t="str">
        <f t="array" ref="AN81:AN81">H81</f>
        <v>2026</v>
      </c>
    </row>
    <row s="2080" customFormat="1" customHeight="1" ht="16.5">
      <c r="A82" s="227"/>
      <c r="B82" s="952">
        <f>H82&lt;first_year+PERIOD_LENGTH</f>
        <v>1</v>
      </c>
      <c r="C82" s="227"/>
      <c r="D82" s="227"/>
      <c r="E82" s="794">
        <v>17.1</v>
      </c>
      <c r="F82" s="944" cm="1" t="str">
        <f t="array" ref="F82:F82">F81</f>
        <v>1</v>
      </c>
      <c r="G82" s="227"/>
      <c r="H82" s="225">
        <f>first_year+1</f>
        <v>2027</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2027 год</v>
      </c>
      <c r="AC82" s="462"/>
      <c r="AD82" s="1725">
        <f>_xlfn.IFERROR(_xlfn.SUMIFS(INDEX('Операционные (5.2)'!$AT$26:$BC$54,,MATCH($H82,'Операционные (5.2)'!$AT$6:$BC$6,0)),'Операционные (5.2)'!$F$26:$F$54,$F82,'Операционные (5.2)'!$G$26:$G$54,"ИОР"),0)</f>
        <v>1</v>
      </c>
      <c r="AE82" s="2079"/>
      <c r="AF82" s="2078"/>
      <c r="AG82" s="2078"/>
      <c r="AH82" s="2079"/>
      <c r="AI82" s="2078"/>
      <c r="AJ82" s="2078"/>
      <c r="AK82" s="149"/>
      <c r="AL82" s="227"/>
      <c r="AM82" s="227"/>
      <c r="AN82" s="1231" cm="1" t="str">
        <f t="array" ref="AN82:AN82">H82</f>
        <v>2027</v>
      </c>
    </row>
    <row s="2081" customFormat="1" customHeight="1" ht="16.5">
      <c r="A83" s="227"/>
      <c r="B83" s="952">
        <f>H83&lt;first_year+PERIOD_LENGTH</f>
        <v>1</v>
      </c>
      <c r="C83" s="227"/>
      <c r="D83" s="227"/>
      <c r="E83" s="794">
        <v>17.1</v>
      </c>
      <c r="F83" s="944" cm="1" t="str">
        <f t="array" ref="F83:F83">F82</f>
        <v>1</v>
      </c>
      <c r="G83" s="227"/>
      <c r="H83" s="225">
        <f>first_year+2</f>
        <v>2028</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2028 год</v>
      </c>
      <c r="AC83" s="462"/>
      <c r="AD83" s="1725">
        <f>_xlfn.IFERROR(_xlfn.SUMIFS(INDEX('Операционные (5.2)'!$AT$26:$BC$54,,MATCH($H83,'Операционные (5.2)'!$AT$6:$BC$6,0)),'Операционные (5.2)'!$F$26:$F$54,$F83,'Операционные (5.2)'!$G$26:$G$54,"ИОР"),0)</f>
        <v>1</v>
      </c>
      <c r="AE83" s="2079"/>
      <c r="AF83" s="2078"/>
      <c r="AG83" s="2078"/>
      <c r="AH83" s="2079"/>
      <c r="AI83" s="2078"/>
      <c r="AJ83" s="2078"/>
      <c r="AK83" s="149"/>
      <c r="AL83" s="227"/>
      <c r="AM83" s="227"/>
      <c r="AN83" s="1231" cm="1" t="str">
        <f t="array" ref="AN83:AN83">H83</f>
        <v>2028</v>
      </c>
    </row>
    <row s="2082" customFormat="1" customHeight="1" ht="16.5">
      <c r="A84" s="227"/>
      <c r="B84" s="952">
        <f>H84&lt;first_year+PERIOD_LENGTH</f>
        <v>1</v>
      </c>
      <c r="C84" s="227"/>
      <c r="D84" s="227"/>
      <c r="E84" s="794">
        <v>17.1</v>
      </c>
      <c r="F84" s="944" cm="1" t="str">
        <f t="array" ref="F84:F84">F83</f>
        <v>1</v>
      </c>
      <c r="G84" s="227"/>
      <c r="H84" s="225">
        <f>first_year+3</f>
        <v>2029</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2029 год</v>
      </c>
      <c r="AC84" s="462"/>
      <c r="AD84" s="1725">
        <f>_xlfn.IFERROR(_xlfn.SUMIFS(INDEX('Операционные (5.2)'!$AT$26:$BC$54,,MATCH($H84,'Операционные (5.2)'!$AT$6:$BC$6,0)),'Операционные (5.2)'!$F$26:$F$54,$F84,'Операционные (5.2)'!$G$26:$G$54,"ИОР"),0)</f>
        <v>1</v>
      </c>
      <c r="AE84" s="2079"/>
      <c r="AF84" s="2078"/>
      <c r="AG84" s="2078"/>
      <c r="AH84" s="2079"/>
      <c r="AI84" s="2078"/>
      <c r="AJ84" s="2078"/>
      <c r="AK84" s="149"/>
      <c r="AL84" s="227"/>
      <c r="AM84" s="227"/>
      <c r="AN84" s="1231" cm="1" t="str">
        <f t="array" ref="AN84:AN84">H84</f>
        <v>2029</v>
      </c>
    </row>
    <row s="2083" customFormat="1" customHeight="1" ht="16.5">
      <c r="A85" s="227"/>
      <c r="B85" s="952">
        <f>H85&lt;first_year+PERIOD_LENGTH</f>
        <v>1</v>
      </c>
      <c r="C85" s="227"/>
      <c r="D85" s="227"/>
      <c r="E85" s="794">
        <v>17.1</v>
      </c>
      <c r="F85" s="944" cm="1" t="str">
        <f t="array" ref="F85:F85">F84</f>
        <v>1</v>
      </c>
      <c r="G85" s="227"/>
      <c r="H85" s="225">
        <f>first_year+4</f>
        <v>2030</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2030 год</v>
      </c>
      <c r="AC85" s="462"/>
      <c r="AD85" s="1725">
        <f>_xlfn.IFERROR(_xlfn.SUMIFS(INDEX('Операционные (5.2)'!$AT$26:$BC$54,,MATCH($H85,'Операционные (5.2)'!$AT$6:$BC$6,0)),'Операционные (5.2)'!$F$26:$F$54,$F85,'Операционные (5.2)'!$G$26:$G$54,"ИОР"),0)</f>
        <v>1</v>
      </c>
      <c r="AE85" s="2079"/>
      <c r="AF85" s="2078"/>
      <c r="AG85" s="2078"/>
      <c r="AH85" s="2079"/>
      <c r="AI85" s="2078"/>
      <c r="AJ85" s="2078"/>
      <c r="AK85" s="149"/>
      <c r="AL85" s="227"/>
      <c r="AM85" s="227"/>
      <c r="AN85" s="1231" cm="1" t="str">
        <f t="array" ref="AN85:AN85">H85</f>
        <v>2030</v>
      </c>
    </row>
    <row s="2084" customFormat="1" customHeight="1" ht="16.5" hidden="1">
      <c r="A86" s="227"/>
      <c r="B86" s="952">
        <f>H86&lt;first_year+PERIOD_LENGTH</f>
        <v>0</v>
      </c>
      <c r="C86" s="227"/>
      <c r="D86" s="227"/>
      <c r="E86" s="794">
        <v>17.1</v>
      </c>
      <c r="F86" s="944" cm="1" t="str">
        <f t="array" ref="F86:F86">F85</f>
        <v>1</v>
      </c>
      <c r="G86" s="227"/>
      <c r="H86" s="225">
        <f>first_year+5</f>
        <v>2031</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2031 год</v>
      </c>
      <c r="AC86" s="462"/>
      <c r="AD86" s="71">
        <f>_xlfn.IFERROR(_xlfn.SUMIFS(INDEX('Операционные (5.2)'!$AT$26:$BC$54,,MATCH($H86,'Операционные (5.2)'!$AT$6:$BC$6,0)),'Операционные (5.2)'!$F$26:$F$54,$F86,'Операционные (5.2)'!$G$26:$G$54,"ИОР"),0)</f>
        <v>1</v>
      </c>
      <c r="AE86" s="148"/>
      <c r="AF86" s="147"/>
      <c r="AG86" s="147"/>
      <c r="AH86" s="148"/>
      <c r="AI86" s="147"/>
      <c r="AJ86" s="147"/>
      <c r="AK86" s="149">
        <f>_xlfn.IFERROR(_xlfn.SUMIFS(INDEX('Баланс Пр'!$AE$26:$BB$232,,MATCH($H86&amp;"Принято органом регулирования",'Баланс Пр'!$AE$8:$BB$8,0)),'Баланс Пр'!$Q$26:$Q$232,$F86,'Баланс Пр'!$AC$26:$AC$232,"Уровень потерь воды"),0)</f>
        <v>0</v>
      </c>
      <c r="AL86" s="227"/>
      <c r="AM86" s="227"/>
      <c r="AN86" s="1231" cm="1" t="str">
        <f t="array" ref="AN86:AN86">H86</f>
        <v>2031</v>
      </c>
    </row>
    <row s="2085" customFormat="1" customHeight="1" ht="16.5" hidden="1">
      <c r="A87" s="227"/>
      <c r="B87" s="952">
        <f>H87&lt;first_year+PERIOD_LENGTH</f>
        <v>0</v>
      </c>
      <c r="C87" s="227"/>
      <c r="D87" s="227"/>
      <c r="E87" s="794">
        <v>17.1</v>
      </c>
      <c r="F87" s="944" cm="1" t="str">
        <f t="array" ref="F87:F87">F86</f>
        <v>1</v>
      </c>
      <c r="G87" s="227"/>
      <c r="H87" s="225">
        <f>first_year+6</f>
        <v>2032</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2032 год</v>
      </c>
      <c r="AC87" s="462"/>
      <c r="AD87" s="71">
        <f>_xlfn.IFERROR(_xlfn.SUMIFS(INDEX('Операционные (5.2)'!$AT$26:$BC$54,,MATCH($H87,'Операционные (5.2)'!$AT$6:$BC$6,0)),'Операционные (5.2)'!$F$26:$F$54,$F87,'Операционные (5.2)'!$G$26:$G$54,"ИОР"),0)</f>
        <v>1</v>
      </c>
      <c r="AE87" s="148"/>
      <c r="AF87" s="147"/>
      <c r="AG87" s="147"/>
      <c r="AH87" s="148"/>
      <c r="AI87" s="147"/>
      <c r="AJ87" s="147"/>
      <c r="AK87" s="149">
        <f>_xlfn.IFERROR(_xlfn.SUMIFS(INDEX('Баланс Пр'!$AE$26:$BB$232,,MATCH($H87&amp;"Принято органом регулирования",'Баланс Пр'!$AE$8:$BB$8,0)),'Баланс Пр'!$Q$26:$Q$232,$F87,'Баланс Пр'!$AC$26:$AC$232,"Уровень потерь воды"),0)</f>
        <v>0</v>
      </c>
      <c r="AL87" s="227"/>
      <c r="AM87" s="227"/>
      <c r="AN87" s="1231" cm="1" t="str">
        <f t="array" ref="AN87:AN87">H87</f>
        <v>2032</v>
      </c>
    </row>
    <row s="2086" customFormat="1" customHeight="1" ht="16.5" hidden="1">
      <c r="A88" s="227"/>
      <c r="B88" s="952">
        <f>H88&lt;first_year+PERIOD_LENGTH</f>
        <v>0</v>
      </c>
      <c r="C88" s="227"/>
      <c r="D88" s="227"/>
      <c r="E88" s="794">
        <v>17.1</v>
      </c>
      <c r="F88" s="944" cm="1" t="str">
        <f t="array" ref="F88:F88">F87</f>
        <v>1</v>
      </c>
      <c r="G88" s="227"/>
      <c r="H88" s="225">
        <f>first_year+7</f>
        <v>2033</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2033 год</v>
      </c>
      <c r="AC88" s="462"/>
      <c r="AD88" s="71">
        <f>_xlfn.IFERROR(_xlfn.SUMIFS(INDEX('Операционные (5.2)'!$AT$26:$BC$54,,MATCH($H88,'Операционные (5.2)'!$AT$6:$BC$6,0)),'Операционные (5.2)'!$F$26:$F$54,$F88,'Операционные (5.2)'!$G$26:$G$54,"ИОР"),0)</f>
        <v>1</v>
      </c>
      <c r="AE88" s="148"/>
      <c r="AF88" s="147"/>
      <c r="AG88" s="147"/>
      <c r="AH88" s="148"/>
      <c r="AI88" s="147"/>
      <c r="AJ88" s="147"/>
      <c r="AK88" s="149">
        <f>_xlfn.IFERROR(_xlfn.SUMIFS(INDEX('Баланс Пр'!$AE$26:$BB$232,,MATCH($H88&amp;"Принято органом регулирования",'Баланс Пр'!$AE$8:$BB$8,0)),'Баланс Пр'!$Q$26:$Q$232,$F88,'Баланс Пр'!$AC$26:$AC$232,"Уровень потерь воды"),0)</f>
        <v>0</v>
      </c>
      <c r="AL88" s="227"/>
      <c r="AM88" s="227"/>
      <c r="AN88" s="1231" cm="1" t="str">
        <f t="array" ref="AN88:AN88">H88</f>
        <v>2033</v>
      </c>
    </row>
    <row s="2087" customFormat="1" customHeight="1" ht="16.5" hidden="1">
      <c r="A89" s="227"/>
      <c r="B89" s="952">
        <f>H89&lt;first_year+PERIOD_LENGTH</f>
        <v>0</v>
      </c>
      <c r="C89" s="227"/>
      <c r="D89" s="227"/>
      <c r="E89" s="794">
        <v>17.1</v>
      </c>
      <c r="F89" s="944" cm="1" t="str">
        <f t="array" ref="F89:F89">F88</f>
        <v>1</v>
      </c>
      <c r="G89" s="227"/>
      <c r="H89" s="225">
        <f>first_year+8</f>
        <v>2034</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2034 год</v>
      </c>
      <c r="AC89" s="462"/>
      <c r="AD89" s="71">
        <f>_xlfn.IFERROR(_xlfn.SUMIFS(INDEX('Операционные (5.2)'!$AT$26:$BC$54,,MATCH($H89,'Операционные (5.2)'!$AT$6:$BC$6,0)),'Операционные (5.2)'!$F$26:$F$54,$F89,'Операционные (5.2)'!$G$26:$G$54,"ИОР"),0)</f>
        <v>1</v>
      </c>
      <c r="AE89" s="148"/>
      <c r="AF89" s="147"/>
      <c r="AG89" s="147"/>
      <c r="AH89" s="148"/>
      <c r="AI89" s="147"/>
      <c r="AJ89" s="147"/>
      <c r="AK89" s="149">
        <f>_xlfn.IFERROR(_xlfn.SUMIFS(INDEX('Баланс Пр'!$AE$26:$BB$232,,MATCH($H89&amp;"Принято органом регулирования",'Баланс Пр'!$AE$8:$BB$8,0)),'Баланс Пр'!$Q$26:$Q$232,$F89,'Баланс Пр'!$AC$26:$AC$232,"Уровень потерь воды"),0)</f>
        <v>0</v>
      </c>
      <c r="AL89" s="227"/>
      <c r="AM89" s="227"/>
      <c r="AN89" s="1231" cm="1" t="str">
        <f t="array" ref="AN89:AN89">H89</f>
        <v>2034</v>
      </c>
    </row>
    <row s="2088" customFormat="1" customHeight="1" ht="16.5" hidden="1">
      <c r="A90" s="227"/>
      <c r="B90" s="952">
        <f>H90&lt;first_year+PERIOD_LENGTH</f>
        <v>0</v>
      </c>
      <c r="C90" s="227"/>
      <c r="D90" s="227"/>
      <c r="E90" s="794">
        <v>17.1</v>
      </c>
      <c r="F90" s="944" cm="1" t="str">
        <f t="array" ref="F90:F90">F89</f>
        <v>1</v>
      </c>
      <c r="G90" s="227"/>
      <c r="H90" s="225">
        <f>first_year+9</f>
        <v>2035</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2035 год</v>
      </c>
      <c r="AC90" s="462"/>
      <c r="AD90" s="71">
        <f>_xlfn.IFERROR(_xlfn.SUMIFS(INDEX('Операционные (5.2)'!$AT$26:$BC$54,,MATCH($H90,'Операционные (5.2)'!$AT$6:$BC$6,0)),'Операционные (5.2)'!$F$26:$F$54,$F90,'Операционные (5.2)'!$G$26:$G$54,"ИОР"),0)</f>
        <v>1</v>
      </c>
      <c r="AE90" s="148"/>
      <c r="AF90" s="147"/>
      <c r="AG90" s="147"/>
      <c r="AH90" s="148"/>
      <c r="AI90" s="147"/>
      <c r="AJ90" s="147"/>
      <c r="AK90" s="149">
        <f>_xlfn.IFERROR(_xlfn.SUMIFS(INDEX('Баланс Пр'!$AE$26:$BB$232,,MATCH($H90&amp;"Принято органом регулирования",'Баланс Пр'!$AE$8:$BB$8,0)),'Баланс Пр'!$Q$26:$Q$232,$F90,'Баланс Пр'!$AC$26:$AC$232,"Уровень потерь воды"),0)</f>
        <v>0</v>
      </c>
      <c r="AL90" s="227"/>
      <c r="AM90" s="227"/>
      <c r="AN90" s="1231" cm="1" t="str">
        <f t="array" ref="AN90:AN90">H90</f>
        <v>2035</v>
      </c>
    </row>
    <row s="2089" customFormat="1" customHeight="1" ht="16.5" hidden="1">
      <c r="A91" s="227"/>
      <c r="B91" s="952">
        <f>H91&lt;first_year+PERIOD_LENGTH</f>
        <v>0</v>
      </c>
      <c r="C91" s="227"/>
      <c r="D91" s="227"/>
      <c r="E91" s="794">
        <v>17.1</v>
      </c>
      <c r="F91" s="944" cm="1" t="str">
        <f t="array" ref="F91:F91">F90</f>
        <v>1</v>
      </c>
      <c r="G91" s="227"/>
      <c r="H91" s="225">
        <f>first_year+10</f>
        <v>2036</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2036 год</v>
      </c>
      <c r="AC91" s="462"/>
      <c r="AD91" s="148"/>
      <c r="AE91" s="148"/>
      <c r="AF91" s="147"/>
      <c r="AG91" s="147"/>
      <c r="AH91" s="148"/>
      <c r="AI91" s="147"/>
      <c r="AJ91" s="147"/>
      <c r="AK91" s="149"/>
      <c r="AL91" s="227"/>
      <c r="AM91" s="227"/>
      <c r="AN91" s="1231" cm="1" t="str">
        <f t="array" ref="AN91:AN91">H91</f>
        <v>2036</v>
      </c>
    </row>
    <row s="2090" customFormat="1" customHeight="1" ht="16.5" hidden="1">
      <c r="A92" s="227"/>
      <c r="B92" s="952">
        <f>H92&lt;first_year+PERIOD_LENGTH</f>
        <v>0</v>
      </c>
      <c r="C92" s="227"/>
      <c r="D92" s="227"/>
      <c r="E92" s="794">
        <v>17.1</v>
      </c>
      <c r="F92" s="944" cm="1" t="str">
        <f t="array" ref="F92:F92">F91</f>
        <v>1</v>
      </c>
      <c r="G92" s="227"/>
      <c r="H92" s="225">
        <f>first_year+11</f>
        <v>2037</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2037 год</v>
      </c>
      <c r="AC92" s="462"/>
      <c r="AD92" s="148"/>
      <c r="AE92" s="148"/>
      <c r="AF92" s="147"/>
      <c r="AG92" s="147"/>
      <c r="AH92" s="148"/>
      <c r="AI92" s="147"/>
      <c r="AJ92" s="147"/>
      <c r="AK92" s="149"/>
      <c r="AL92" s="227"/>
      <c r="AM92" s="227"/>
      <c r="AN92" s="1231" cm="1" t="str">
        <f t="array" ref="AN92:AN92">H92</f>
        <v>2037</v>
      </c>
    </row>
    <row s="2091" customFormat="1" customHeight="1" ht="16.5" hidden="1">
      <c r="A93" s="227"/>
      <c r="B93" s="952">
        <f>H93&lt;first_year+PERIOD_LENGTH</f>
        <v>0</v>
      </c>
      <c r="C93" s="227"/>
      <c r="D93" s="227"/>
      <c r="E93" s="794">
        <v>17.1</v>
      </c>
      <c r="F93" s="944" cm="1" t="str">
        <f t="array" ref="F93:F93">F92</f>
        <v>1</v>
      </c>
      <c r="G93" s="227"/>
      <c r="H93" s="225">
        <f>first_year+12</f>
        <v>2038</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2038 год</v>
      </c>
      <c r="AC93" s="462"/>
      <c r="AD93" s="148"/>
      <c r="AE93" s="148"/>
      <c r="AF93" s="147"/>
      <c r="AG93" s="147"/>
      <c r="AH93" s="148"/>
      <c r="AI93" s="147"/>
      <c r="AJ93" s="147"/>
      <c r="AK93" s="149"/>
      <c r="AL93" s="227"/>
      <c r="AM93" s="227"/>
      <c r="AN93" s="1231" cm="1" t="str">
        <f t="array" ref="AN93:AN93">H93</f>
        <v>2038</v>
      </c>
    </row>
    <row s="2092" customFormat="1" customHeight="1" ht="16.5" hidden="1">
      <c r="A94" s="227"/>
      <c r="B94" s="952">
        <f>H94&lt;first_year+PERIOD_LENGTH</f>
        <v>0</v>
      </c>
      <c r="C94" s="227"/>
      <c r="D94" s="227"/>
      <c r="E94" s="794">
        <v>17.1</v>
      </c>
      <c r="F94" s="944" cm="1" t="str">
        <f t="array" ref="F94:F94">F93</f>
        <v>1</v>
      </c>
      <c r="G94" s="227"/>
      <c r="H94" s="225">
        <f>first_year+13</f>
        <v>2039</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2039 год</v>
      </c>
      <c r="AC94" s="462"/>
      <c r="AD94" s="148"/>
      <c r="AE94" s="148"/>
      <c r="AF94" s="147"/>
      <c r="AG94" s="147"/>
      <c r="AH94" s="148"/>
      <c r="AI94" s="147"/>
      <c r="AJ94" s="147"/>
      <c r="AK94" s="149"/>
      <c r="AL94" s="227"/>
      <c r="AM94" s="227"/>
      <c r="AN94" s="1231" cm="1" t="str">
        <f t="array" ref="AN94:AN94">H94</f>
        <v>2039</v>
      </c>
    </row>
    <row s="2093" customFormat="1" customHeight="1" ht="16.5" hidden="1">
      <c r="A95" s="227"/>
      <c r="B95" s="952">
        <f>H95&lt;first_year+PERIOD_LENGTH</f>
        <v>0</v>
      </c>
      <c r="C95" s="227"/>
      <c r="D95" s="227"/>
      <c r="E95" s="794">
        <v>17.1</v>
      </c>
      <c r="F95" s="944" cm="1" t="str">
        <f t="array" ref="F95:F95">F94</f>
        <v>1</v>
      </c>
      <c r="G95" s="227"/>
      <c r="H95" s="225">
        <f>first_year+14</f>
        <v>2040</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2040 год</v>
      </c>
      <c r="AC95" s="462"/>
      <c r="AD95" s="148"/>
      <c r="AE95" s="148"/>
      <c r="AF95" s="147"/>
      <c r="AG95" s="147"/>
      <c r="AH95" s="148"/>
      <c r="AI95" s="147"/>
      <c r="AJ95" s="147"/>
      <c r="AK95" s="149"/>
      <c r="AL95" s="227"/>
      <c r="AM95" s="227"/>
      <c r="AN95" s="1231" cm="1" t="str">
        <f t="array" ref="AN95:AN95">H95</f>
        <v>2040</v>
      </c>
    </row>
    <row s="2094" customFormat="1" customHeight="1" ht="16.5" hidden="1">
      <c r="A96" s="227"/>
      <c r="B96" s="952">
        <f>H96&lt;first_year+PERIOD_LENGTH</f>
        <v>0</v>
      </c>
      <c r="C96" s="227"/>
      <c r="D96" s="227"/>
      <c r="E96" s="794">
        <v>17.1</v>
      </c>
      <c r="F96" s="944" cm="1" t="str">
        <f t="array" ref="F96:F96">F95</f>
        <v>1</v>
      </c>
      <c r="G96" s="227"/>
      <c r="H96" s="225">
        <f>first_year+15</f>
        <v>2041</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2041 год</v>
      </c>
      <c r="AC96" s="462"/>
      <c r="AD96" s="148"/>
      <c r="AE96" s="148"/>
      <c r="AF96" s="147"/>
      <c r="AG96" s="147"/>
      <c r="AH96" s="148"/>
      <c r="AI96" s="147"/>
      <c r="AJ96" s="147"/>
      <c r="AK96" s="149"/>
      <c r="AL96" s="227"/>
      <c r="AM96" s="227"/>
      <c r="AN96" s="1231" cm="1" t="str">
        <f t="array" ref="AN96:AN96">H96</f>
        <v>2041</v>
      </c>
    </row>
    <row s="2095" customFormat="1" customHeight="1" ht="16.5" hidden="1">
      <c r="A97" s="227"/>
      <c r="B97" s="952">
        <f>H97&lt;first_year+PERIOD_LENGTH</f>
        <v>0</v>
      </c>
      <c r="C97" s="227"/>
      <c r="D97" s="227"/>
      <c r="E97" s="794">
        <v>17.1</v>
      </c>
      <c r="F97" s="944" cm="1" t="str">
        <f t="array" ref="F97:F97">F96</f>
        <v>1</v>
      </c>
      <c r="G97" s="227"/>
      <c r="H97" s="225">
        <f>first_year+16</f>
        <v>2042</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2042 год</v>
      </c>
      <c r="AC97" s="462"/>
      <c r="AD97" s="148"/>
      <c r="AE97" s="148"/>
      <c r="AF97" s="147"/>
      <c r="AG97" s="147"/>
      <c r="AH97" s="148"/>
      <c r="AI97" s="147"/>
      <c r="AJ97" s="147"/>
      <c r="AK97" s="149"/>
      <c r="AL97" s="227"/>
      <c r="AM97" s="227"/>
      <c r="AN97" s="1231" cm="1" t="str">
        <f t="array" ref="AN97:AN97">H97</f>
        <v>2042</v>
      </c>
    </row>
    <row s="2096" customFormat="1" customHeight="1" ht="16.5" hidden="1">
      <c r="A98" s="227"/>
      <c r="B98" s="952">
        <f>H98&lt;first_year+PERIOD_LENGTH</f>
        <v>0</v>
      </c>
      <c r="C98" s="227"/>
      <c r="D98" s="227"/>
      <c r="E98" s="794">
        <v>17.1</v>
      </c>
      <c r="F98" s="944" cm="1" t="str">
        <f t="array" ref="F98:F98">F97</f>
        <v>1</v>
      </c>
      <c r="G98" s="227"/>
      <c r="H98" s="225">
        <f>first_year+17</f>
        <v>2043</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2043 год</v>
      </c>
      <c r="AC98" s="462"/>
      <c r="AD98" s="148"/>
      <c r="AE98" s="148"/>
      <c r="AF98" s="147"/>
      <c r="AG98" s="147"/>
      <c r="AH98" s="148"/>
      <c r="AI98" s="147"/>
      <c r="AJ98" s="147"/>
      <c r="AK98" s="149"/>
      <c r="AL98" s="227"/>
      <c r="AM98" s="227"/>
      <c r="AN98" s="1231" cm="1" t="str">
        <f t="array" ref="AN98:AN98">H98</f>
        <v>2043</v>
      </c>
    </row>
    <row s="2097" customFormat="1" customHeight="1" ht="16.5" hidden="1">
      <c r="A99" s="227"/>
      <c r="B99" s="952">
        <f>H99&lt;first_year+PERIOD_LENGTH</f>
        <v>0</v>
      </c>
      <c r="C99" s="227"/>
      <c r="D99" s="227"/>
      <c r="E99" s="794">
        <v>17.1</v>
      </c>
      <c r="F99" s="944" cm="1" t="str">
        <f t="array" ref="F99:F99">F98</f>
        <v>1</v>
      </c>
      <c r="G99" s="227"/>
      <c r="H99" s="225">
        <f>first_year+18</f>
        <v>2044</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2044 год</v>
      </c>
      <c r="AC99" s="462"/>
      <c r="AD99" s="148"/>
      <c r="AE99" s="148"/>
      <c r="AF99" s="147"/>
      <c r="AG99" s="147"/>
      <c r="AH99" s="148"/>
      <c r="AI99" s="147"/>
      <c r="AJ99" s="147"/>
      <c r="AK99" s="149"/>
      <c r="AL99" s="227"/>
      <c r="AM99" s="227"/>
      <c r="AN99" s="1231" cm="1" t="str">
        <f t="array" ref="AN99:AN99">H99</f>
        <v>2044</v>
      </c>
    </row>
    <row s="2098" customFormat="1" customHeight="1" ht="16.5" hidden="1">
      <c r="A100" s="227"/>
      <c r="B100" s="952">
        <f>H100&lt;first_year+PERIOD_LENGTH</f>
        <v>0</v>
      </c>
      <c r="C100" s="227"/>
      <c r="D100" s="227"/>
      <c r="E100" s="794">
        <v>17.1</v>
      </c>
      <c r="F100" s="944" cm="1" t="str">
        <f t="array" ref="F100:F100">F99</f>
        <v>1</v>
      </c>
      <c r="G100" s="227"/>
      <c r="H100" s="225">
        <f>first_year+19</f>
        <v>2045</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2045 год</v>
      </c>
      <c r="AC100" s="462"/>
      <c r="AD100" s="148"/>
      <c r="AE100" s="148"/>
      <c r="AF100" s="147"/>
      <c r="AG100" s="147"/>
      <c r="AH100" s="148"/>
      <c r="AI100" s="147"/>
      <c r="AJ100" s="147"/>
      <c r="AK100" s="149"/>
      <c r="AL100" s="227"/>
      <c r="AM100" s="227"/>
      <c r="AN100" s="1231" cm="1" t="str">
        <f t="array" ref="AN100:AN100">H100</f>
        <v>2045</v>
      </c>
    </row>
    <row s="2099" customFormat="1" customHeight="1" ht="16.5" hidden="1">
      <c r="A101" s="227"/>
      <c r="B101" s="952">
        <f>H101&lt;first_year+PERIOD_LENGTH</f>
        <v>0</v>
      </c>
      <c r="C101" s="227"/>
      <c r="D101" s="227"/>
      <c r="E101" s="794">
        <v>17.1</v>
      </c>
      <c r="F101" s="944" cm="1" t="str">
        <f t="array" ref="F101:F101">F100</f>
        <v>1</v>
      </c>
      <c r="G101" s="227"/>
      <c r="H101" s="225">
        <f>first_year+20</f>
        <v>2046</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2046 год</v>
      </c>
      <c r="AC101" s="462"/>
      <c r="AD101" s="148"/>
      <c r="AE101" s="148"/>
      <c r="AF101" s="147"/>
      <c r="AG101" s="147"/>
      <c r="AH101" s="148"/>
      <c r="AI101" s="147"/>
      <c r="AJ101" s="147"/>
      <c r="AK101" s="149"/>
      <c r="AL101" s="227"/>
      <c r="AM101" s="227"/>
      <c r="AN101" s="1231" cm="1" t="str">
        <f t="array" ref="AN101:AN101">H101</f>
        <v>2046</v>
      </c>
    </row>
    <row s="2100" customFormat="1" customHeight="1" ht="16.5" hidden="1">
      <c r="A102" s="227"/>
      <c r="B102" s="952">
        <f>H102&lt;first_year+PERIOD_LENGTH</f>
        <v>0</v>
      </c>
      <c r="C102" s="227"/>
      <c r="D102" s="227"/>
      <c r="E102" s="794">
        <v>17.1</v>
      </c>
      <c r="F102" s="944" cm="1" t="str">
        <f t="array" ref="F102:F102">F101</f>
        <v>1</v>
      </c>
      <c r="G102" s="227"/>
      <c r="H102" s="225">
        <f>first_year+21</f>
        <v>2047</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2047 год</v>
      </c>
      <c r="AC102" s="462"/>
      <c r="AD102" s="148"/>
      <c r="AE102" s="148"/>
      <c r="AF102" s="147"/>
      <c r="AG102" s="147"/>
      <c r="AH102" s="148"/>
      <c r="AI102" s="147"/>
      <c r="AJ102" s="147"/>
      <c r="AK102" s="149"/>
      <c r="AL102" s="227"/>
      <c r="AM102" s="227"/>
      <c r="AN102" s="1231" cm="1" t="str">
        <f t="array" ref="AN102:AN102">H102</f>
        <v>2047</v>
      </c>
    </row>
    <row s="2101" customFormat="1" customHeight="1" ht="16.5" hidden="1">
      <c r="A103" s="227"/>
      <c r="B103" s="952">
        <f>H103&lt;first_year+PERIOD_LENGTH</f>
        <v>0</v>
      </c>
      <c r="C103" s="227"/>
      <c r="D103" s="227"/>
      <c r="E103" s="794">
        <v>17.1</v>
      </c>
      <c r="F103" s="944" cm="1" t="str">
        <f t="array" ref="F103:F103">F102</f>
        <v>1</v>
      </c>
      <c r="G103" s="227"/>
      <c r="H103" s="225">
        <f>first_year+22</f>
        <v>2048</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2048 год</v>
      </c>
      <c r="AC103" s="462"/>
      <c r="AD103" s="148"/>
      <c r="AE103" s="148"/>
      <c r="AF103" s="147"/>
      <c r="AG103" s="147"/>
      <c r="AH103" s="148"/>
      <c r="AI103" s="147"/>
      <c r="AJ103" s="147"/>
      <c r="AK103" s="149"/>
      <c r="AL103" s="227"/>
      <c r="AM103" s="227"/>
      <c r="AN103" s="1231" cm="1" t="str">
        <f t="array" ref="AN103:AN103">H103</f>
        <v>2048</v>
      </c>
    </row>
    <row s="2102" customFormat="1" customHeight="1" ht="16.5" hidden="1">
      <c r="A104" s="227"/>
      <c r="B104" s="952">
        <f>H104&lt;first_year+PERIOD_LENGTH</f>
        <v>0</v>
      </c>
      <c r="C104" s="227"/>
      <c r="D104" s="227"/>
      <c r="E104" s="794">
        <v>17.1</v>
      </c>
      <c r="F104" s="944" cm="1" t="str">
        <f t="array" ref="F104:F104">F103</f>
        <v>1</v>
      </c>
      <c r="G104" s="227"/>
      <c r="H104" s="225">
        <f>first_year+23</f>
        <v>2049</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2049 год</v>
      </c>
      <c r="AC104" s="462"/>
      <c r="AD104" s="148"/>
      <c r="AE104" s="148"/>
      <c r="AF104" s="147"/>
      <c r="AG104" s="147"/>
      <c r="AH104" s="148"/>
      <c r="AI104" s="147"/>
      <c r="AJ104" s="147"/>
      <c r="AK104" s="149"/>
      <c r="AL104" s="227"/>
      <c r="AM104" s="227"/>
      <c r="AN104" s="1231" cm="1" t="str">
        <f t="array" ref="AN104:AN104">H104</f>
        <v>2049</v>
      </c>
    </row>
    <row s="2103" customFormat="1" customHeight="1" ht="16.5" hidden="1">
      <c r="A105" s="227"/>
      <c r="B105" s="952">
        <f>H105&lt;first_year+PERIOD_LENGTH</f>
        <v>0</v>
      </c>
      <c r="C105" s="227"/>
      <c r="D105" s="227"/>
      <c r="E105" s="794">
        <v>17.1</v>
      </c>
      <c r="F105" s="944" cm="1" t="str">
        <f t="array" ref="F105:F105">F104</f>
        <v>1</v>
      </c>
      <c r="G105" s="227"/>
      <c r="H105" s="225">
        <f>first_year+24</f>
        <v>2050</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2050 год</v>
      </c>
      <c r="AC105" s="462"/>
      <c r="AD105" s="148"/>
      <c r="AE105" s="148"/>
      <c r="AF105" s="147"/>
      <c r="AG105" s="147"/>
      <c r="AH105" s="148"/>
      <c r="AI105" s="147"/>
      <c r="AJ105" s="147"/>
      <c r="AK105" s="149"/>
      <c r="AL105" s="227"/>
      <c r="AM105" s="227"/>
      <c r="AN105" s="1231" cm="1" t="str">
        <f t="array" ref="AN105:AN105">H105</f>
        <v>2050</v>
      </c>
    </row>
    <row s="2104" customFormat="1" customHeight="1" ht="16.5" hidden="1">
      <c r="A106" s="227"/>
      <c r="B106" s="952">
        <f>H106&lt;first_year+PERIOD_LENGTH</f>
        <v>0</v>
      </c>
      <c r="C106" s="227"/>
      <c r="D106" s="227"/>
      <c r="E106" s="794">
        <v>17.1</v>
      </c>
      <c r="F106" s="944" cm="1" t="str">
        <f t="array" ref="F106:F106">F105</f>
        <v>1</v>
      </c>
      <c r="G106" s="227"/>
      <c r="H106" s="225">
        <f>first_year+25</f>
        <v>2051</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2051 год</v>
      </c>
      <c r="AC106" s="462"/>
      <c r="AD106" s="148"/>
      <c r="AE106" s="148"/>
      <c r="AF106" s="147"/>
      <c r="AG106" s="147"/>
      <c r="AH106" s="148"/>
      <c r="AI106" s="147"/>
      <c r="AJ106" s="147"/>
      <c r="AK106" s="149"/>
      <c r="AL106" s="227"/>
      <c r="AM106" s="227"/>
      <c r="AN106" s="1231" cm="1" t="str">
        <f t="array" ref="AN106:AN106">H106</f>
        <v>2051</v>
      </c>
    </row>
    <row s="2105" customFormat="1" customHeight="1" ht="16.5" hidden="1">
      <c r="A107" s="227"/>
      <c r="B107" s="952">
        <f>H107&lt;first_year+PERIOD_LENGTH</f>
        <v>0</v>
      </c>
      <c r="C107" s="227"/>
      <c r="D107" s="227"/>
      <c r="E107" s="794">
        <v>17.1</v>
      </c>
      <c r="F107" s="944" cm="1" t="str">
        <f t="array" ref="F107:F107">F106</f>
        <v>1</v>
      </c>
      <c r="G107" s="227"/>
      <c r="H107" s="225">
        <f>first_year+26</f>
        <v>2052</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2052 год</v>
      </c>
      <c r="AC107" s="462"/>
      <c r="AD107" s="148"/>
      <c r="AE107" s="148"/>
      <c r="AF107" s="147"/>
      <c r="AG107" s="147"/>
      <c r="AH107" s="148"/>
      <c r="AI107" s="147"/>
      <c r="AJ107" s="147"/>
      <c r="AK107" s="149"/>
      <c r="AL107" s="227"/>
      <c r="AM107" s="227"/>
      <c r="AN107" s="1231" cm="1" t="str">
        <f t="array" ref="AN107:AN107">H107</f>
        <v>2052</v>
      </c>
    </row>
    <row s="2106" customFormat="1" customHeight="1" ht="16.5" hidden="1">
      <c r="A108" s="227"/>
      <c r="B108" s="952">
        <f>H108&lt;first_year+PERIOD_LENGTH</f>
        <v>0</v>
      </c>
      <c r="C108" s="227"/>
      <c r="D108" s="227"/>
      <c r="E108" s="794">
        <v>17.1</v>
      </c>
      <c r="F108" s="944" cm="1" t="str">
        <f t="array" ref="F108:F108">F107</f>
        <v>1</v>
      </c>
      <c r="G108" s="227"/>
      <c r="H108" s="225">
        <f>first_year+27</f>
        <v>2053</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2053 год</v>
      </c>
      <c r="AC108" s="462"/>
      <c r="AD108" s="148"/>
      <c r="AE108" s="148"/>
      <c r="AF108" s="147"/>
      <c r="AG108" s="147"/>
      <c r="AH108" s="148"/>
      <c r="AI108" s="147"/>
      <c r="AJ108" s="147"/>
      <c r="AK108" s="149"/>
      <c r="AL108" s="227"/>
      <c r="AM108" s="227"/>
      <c r="AN108" s="1231" cm="1" t="str">
        <f t="array" ref="AN108:AN108">H108</f>
        <v>2053</v>
      </c>
    </row>
    <row s="2107" customFormat="1" customHeight="1" ht="16.5" hidden="1">
      <c r="A109" s="227"/>
      <c r="B109" s="952">
        <f>H109&lt;first_year+PERIOD_LENGTH</f>
        <v>0</v>
      </c>
      <c r="C109" s="227"/>
      <c r="D109" s="227"/>
      <c r="E109" s="794">
        <v>17.1</v>
      </c>
      <c r="F109" s="944" cm="1" t="str">
        <f t="array" ref="F109:F109">F108</f>
        <v>1</v>
      </c>
      <c r="G109" s="227"/>
      <c r="H109" s="225">
        <f>first_year+28</f>
        <v>2054</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2054 год</v>
      </c>
      <c r="AC109" s="462"/>
      <c r="AD109" s="148"/>
      <c r="AE109" s="148"/>
      <c r="AF109" s="147"/>
      <c r="AG109" s="147"/>
      <c r="AH109" s="148"/>
      <c r="AI109" s="147"/>
      <c r="AJ109" s="147"/>
      <c r="AK109" s="149"/>
      <c r="AL109" s="227"/>
      <c r="AM109" s="227"/>
      <c r="AN109" s="1231" cm="1" t="str">
        <f t="array" ref="AN109:AN109">H109</f>
        <v>2054</v>
      </c>
    </row>
    <row s="2108" customFormat="1" customHeight="1" ht="16.5" hidden="1">
      <c r="A110" s="227"/>
      <c r="B110" s="952">
        <f>H110&lt;first_year+PERIOD_LENGTH</f>
        <v>0</v>
      </c>
      <c r="C110" s="227"/>
      <c r="D110" s="227"/>
      <c r="E110" s="794">
        <v>17.1</v>
      </c>
      <c r="F110" s="944" cm="1" t="str">
        <f t="array" ref="F110:F110">F109</f>
        <v>1</v>
      </c>
      <c r="G110" s="227"/>
      <c r="H110" s="225">
        <f>first_year+29</f>
        <v>2055</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2055 год</v>
      </c>
      <c r="AC110" s="462"/>
      <c r="AD110" s="148"/>
      <c r="AE110" s="148"/>
      <c r="AF110" s="147"/>
      <c r="AG110" s="147"/>
      <c r="AH110" s="148"/>
      <c r="AI110" s="147"/>
      <c r="AJ110" s="147"/>
      <c r="AK110" s="149"/>
      <c r="AL110" s="227"/>
      <c r="AM110" s="227"/>
      <c r="AN110" s="1231" cm="1" t="str">
        <f t="array" ref="AN110:AN110">H110</f>
        <v>2055</v>
      </c>
    </row>
    <row s="2109" customFormat="1" customHeight="1" ht="16.5" hidden="1">
      <c r="A111" s="227"/>
      <c r="B111" s="952">
        <f>H111&lt;first_year+PERIOD_LENGTH</f>
        <v>0</v>
      </c>
      <c r="C111" s="227"/>
      <c r="D111" s="227"/>
      <c r="E111" s="794">
        <v>17.1</v>
      </c>
      <c r="F111" s="944" cm="1" t="str">
        <f t="array" ref="F111:F111">F110</f>
        <v>1</v>
      </c>
      <c r="G111" s="227"/>
      <c r="H111" s="225">
        <f>first_year+30</f>
        <v>2056</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2056 год</v>
      </c>
      <c r="AC111" s="462"/>
      <c r="AD111" s="148"/>
      <c r="AE111" s="148"/>
      <c r="AF111" s="147"/>
      <c r="AG111" s="147"/>
      <c r="AH111" s="148"/>
      <c r="AI111" s="147"/>
      <c r="AJ111" s="147"/>
      <c r="AK111" s="149"/>
      <c r="AL111" s="227"/>
      <c r="AM111" s="227"/>
      <c r="AN111" s="1231" cm="1" t="str">
        <f t="array" ref="AN111:AN111">H111</f>
        <v>2056</v>
      </c>
    </row>
    <row s="2110" customFormat="1" customHeight="1" ht="16.5" hidden="1">
      <c r="A112" s="227"/>
      <c r="B112" s="952">
        <f>H112&lt;first_year+PERIOD_LENGTH</f>
        <v>0</v>
      </c>
      <c r="C112" s="227"/>
      <c r="D112" s="227"/>
      <c r="E112" s="794">
        <v>17.1</v>
      </c>
      <c r="F112" s="944" cm="1" t="str">
        <f t="array" ref="F112:F112">F111</f>
        <v>1</v>
      </c>
      <c r="G112" s="227"/>
      <c r="H112" s="225">
        <f>first_year+31</f>
        <v>2057</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2057 год</v>
      </c>
      <c r="AC112" s="462"/>
      <c r="AD112" s="148"/>
      <c r="AE112" s="148"/>
      <c r="AF112" s="147"/>
      <c r="AG112" s="147"/>
      <c r="AH112" s="148"/>
      <c r="AI112" s="147"/>
      <c r="AJ112" s="147"/>
      <c r="AK112" s="149"/>
      <c r="AL112" s="227"/>
      <c r="AM112" s="227"/>
      <c r="AN112" s="1231" cm="1" t="str">
        <f t="array" ref="AN112:AN112">H112</f>
        <v>2057</v>
      </c>
    </row>
    <row s="2111" customFormat="1" customHeight="1" ht="16.5" hidden="1">
      <c r="A113" s="227"/>
      <c r="B113" s="952">
        <f>H113&lt;first_year+PERIOD_LENGTH</f>
        <v>0</v>
      </c>
      <c r="C113" s="227"/>
      <c r="D113" s="227"/>
      <c r="E113" s="794">
        <v>17.1</v>
      </c>
      <c r="F113" s="944" cm="1" t="str">
        <f t="array" ref="F113:F113">F112</f>
        <v>1</v>
      </c>
      <c r="G113" s="227"/>
      <c r="H113" s="225">
        <f>first_year+32</f>
        <v>2058</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2058 год</v>
      </c>
      <c r="AC113" s="462"/>
      <c r="AD113" s="148"/>
      <c r="AE113" s="148"/>
      <c r="AF113" s="147"/>
      <c r="AG113" s="147"/>
      <c r="AH113" s="148"/>
      <c r="AI113" s="147"/>
      <c r="AJ113" s="147"/>
      <c r="AK113" s="149"/>
      <c r="AL113" s="227"/>
      <c r="AM113" s="227"/>
      <c r="AN113" s="1231" cm="1" t="str">
        <f t="array" ref="AN113:AN113">H113</f>
        <v>2058</v>
      </c>
    </row>
    <row s="2112" customFormat="1" customHeight="1" ht="16.5" hidden="1">
      <c r="A114" s="227"/>
      <c r="B114" s="952">
        <f>H114&lt;first_year+PERIOD_LENGTH</f>
        <v>0</v>
      </c>
      <c r="C114" s="227"/>
      <c r="D114" s="227"/>
      <c r="E114" s="794">
        <v>17.1</v>
      </c>
      <c r="F114" s="944" cm="1" t="str">
        <f t="array" ref="F114:F114">F113</f>
        <v>1</v>
      </c>
      <c r="G114" s="227"/>
      <c r="H114" s="225">
        <f>first_year+33</f>
        <v>2059</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2059 год</v>
      </c>
      <c r="AC114" s="462"/>
      <c r="AD114" s="148"/>
      <c r="AE114" s="148"/>
      <c r="AF114" s="147"/>
      <c r="AG114" s="147"/>
      <c r="AH114" s="148"/>
      <c r="AI114" s="147"/>
      <c r="AJ114" s="147"/>
      <c r="AK114" s="149"/>
      <c r="AL114" s="227"/>
      <c r="AM114" s="227"/>
      <c r="AN114" s="1231" cm="1" t="str">
        <f t="array" ref="AN114:AN114">H114</f>
        <v>2059</v>
      </c>
    </row>
    <row s="2113" customFormat="1" customHeight="1" ht="16.5" hidden="1">
      <c r="A115" s="227"/>
      <c r="B115" s="952">
        <f>H115&lt;first_year+PERIOD_LENGTH</f>
        <v>0</v>
      </c>
      <c r="C115" s="227"/>
      <c r="D115" s="227"/>
      <c r="E115" s="794">
        <v>17.1</v>
      </c>
      <c r="F115" s="944" cm="1" t="str">
        <f t="array" ref="F115:F115">F114</f>
        <v>1</v>
      </c>
      <c r="G115" s="227"/>
      <c r="H115" s="225">
        <f>first_year+34</f>
        <v>2060</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2060 год</v>
      </c>
      <c r="AC115" s="462"/>
      <c r="AD115" s="148"/>
      <c r="AE115" s="148"/>
      <c r="AF115" s="147"/>
      <c r="AG115" s="147"/>
      <c r="AH115" s="148"/>
      <c r="AI115" s="147"/>
      <c r="AJ115" s="147"/>
      <c r="AK115" s="149"/>
      <c r="AL115" s="227"/>
      <c r="AM115" s="227"/>
      <c r="AN115" s="1231" cm="1" t="str">
        <f t="array" ref="AN115:AN115">H115</f>
        <v>2060</v>
      </c>
    </row>
    <row s="2114" customFormat="1" customHeight="1" ht="16.5" hidden="1">
      <c r="A116" s="227"/>
      <c r="B116" s="952">
        <f>H116&lt;first_year+PERIOD_LENGTH</f>
        <v>0</v>
      </c>
      <c r="C116" s="227"/>
      <c r="D116" s="227"/>
      <c r="E116" s="794">
        <v>17.1</v>
      </c>
      <c r="F116" s="944" cm="1" t="str">
        <f t="array" ref="F116:F116">F115</f>
        <v>1</v>
      </c>
      <c r="G116" s="227"/>
      <c r="H116" s="225">
        <f>first_year+35</f>
        <v>2061</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2061 год</v>
      </c>
      <c r="AC116" s="462"/>
      <c r="AD116" s="148"/>
      <c r="AE116" s="148"/>
      <c r="AF116" s="147"/>
      <c r="AG116" s="147"/>
      <c r="AH116" s="148"/>
      <c r="AI116" s="147"/>
      <c r="AJ116" s="147"/>
      <c r="AK116" s="149"/>
      <c r="AL116" s="227"/>
      <c r="AM116" s="227"/>
      <c r="AN116" s="1231" cm="1" t="str">
        <f t="array" ref="AN116:AN116">H116</f>
        <v>2061</v>
      </c>
    </row>
    <row s="2115" customFormat="1" customHeight="1" ht="16.5" hidden="1">
      <c r="A117" s="227"/>
      <c r="B117" s="952">
        <f>H117&lt;first_year+PERIOD_LENGTH</f>
        <v>0</v>
      </c>
      <c r="C117" s="227"/>
      <c r="D117" s="227"/>
      <c r="E117" s="794">
        <v>17.1</v>
      </c>
      <c r="F117" s="944" cm="1" t="str">
        <f t="array" ref="F117:F117">F116</f>
        <v>1</v>
      </c>
      <c r="G117" s="227"/>
      <c r="H117" s="225">
        <f>first_year+36</f>
        <v>2062</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2062 год</v>
      </c>
      <c r="AC117" s="462"/>
      <c r="AD117" s="148"/>
      <c r="AE117" s="148"/>
      <c r="AF117" s="147"/>
      <c r="AG117" s="147"/>
      <c r="AH117" s="148"/>
      <c r="AI117" s="147"/>
      <c r="AJ117" s="147"/>
      <c r="AK117" s="149"/>
      <c r="AL117" s="227"/>
      <c r="AM117" s="227"/>
      <c r="AN117" s="1231" cm="1" t="str">
        <f t="array" ref="AN117:AN117">H117</f>
        <v>2062</v>
      </c>
    </row>
    <row s="2116" customFormat="1" customHeight="1" ht="16.5" hidden="1">
      <c r="A118" s="227"/>
      <c r="B118" s="952">
        <f>H118&lt;first_year+PERIOD_LENGTH</f>
        <v>0</v>
      </c>
      <c r="C118" s="227"/>
      <c r="D118" s="227"/>
      <c r="E118" s="794">
        <v>17.1</v>
      </c>
      <c r="F118" s="944" cm="1" t="str">
        <f t="array" ref="F118:F118">F117</f>
        <v>1</v>
      </c>
      <c r="G118" s="227"/>
      <c r="H118" s="225">
        <f>first_year+37</f>
        <v>2063</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2063 год</v>
      </c>
      <c r="AC118" s="462"/>
      <c r="AD118" s="148"/>
      <c r="AE118" s="148"/>
      <c r="AF118" s="147"/>
      <c r="AG118" s="147"/>
      <c r="AH118" s="148"/>
      <c r="AI118" s="147"/>
      <c r="AJ118" s="147"/>
      <c r="AK118" s="149"/>
      <c r="AL118" s="227"/>
      <c r="AM118" s="227"/>
      <c r="AN118" s="1231" cm="1" t="str">
        <f t="array" ref="AN118:AN118">H118</f>
        <v>2063</v>
      </c>
    </row>
    <row s="2117" customFormat="1" customHeight="1" ht="16.5" hidden="1">
      <c r="A119" s="227"/>
      <c r="B119" s="952">
        <f>H119&lt;first_year+PERIOD_LENGTH</f>
        <v>0</v>
      </c>
      <c r="C119" s="227"/>
      <c r="D119" s="227"/>
      <c r="E119" s="794">
        <v>17.1</v>
      </c>
      <c r="F119" s="944" cm="1" t="str">
        <f t="array" ref="F119:F119">F118</f>
        <v>1</v>
      </c>
      <c r="G119" s="227"/>
      <c r="H119" s="225">
        <f>first_year+38</f>
        <v>2064</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2064 год</v>
      </c>
      <c r="AC119" s="462"/>
      <c r="AD119" s="148"/>
      <c r="AE119" s="148"/>
      <c r="AF119" s="147"/>
      <c r="AG119" s="147"/>
      <c r="AH119" s="148"/>
      <c r="AI119" s="147"/>
      <c r="AJ119" s="147"/>
      <c r="AK119" s="149"/>
      <c r="AL119" s="227"/>
      <c r="AM119" s="227"/>
      <c r="AN119" s="1231" cm="1" t="str">
        <f t="array" ref="AN119:AN119">H119</f>
        <v>2064</v>
      </c>
    </row>
    <row s="2118" customFormat="1" customHeight="1" ht="16.5" hidden="1">
      <c r="A120" s="227"/>
      <c r="B120" s="952">
        <f>H120&lt;first_year+PERIOD_LENGTH</f>
        <v>0</v>
      </c>
      <c r="C120" s="227"/>
      <c r="D120" s="227"/>
      <c r="E120" s="794">
        <v>17.1</v>
      </c>
      <c r="F120" s="944" cm="1" t="str">
        <f t="array" ref="F120:F120">F119</f>
        <v>1</v>
      </c>
      <c r="G120" s="227"/>
      <c r="H120" s="225">
        <f>first_year+39</f>
        <v>2065</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2065 год</v>
      </c>
      <c r="AC120" s="462"/>
      <c r="AD120" s="148"/>
      <c r="AE120" s="148"/>
      <c r="AF120" s="147"/>
      <c r="AG120" s="147"/>
      <c r="AH120" s="148"/>
      <c r="AI120" s="147"/>
      <c r="AJ120" s="147"/>
      <c r="AK120" s="149"/>
      <c r="AL120" s="227"/>
      <c r="AM120" s="227"/>
      <c r="AN120" s="1231" cm="1" t="str">
        <f t="array" ref="AN120:AN120">H120</f>
        <v>2065</v>
      </c>
    </row>
    <row s="2119" customFormat="1" customHeight="1" ht="16.5" hidden="1">
      <c r="A121" s="227"/>
      <c r="B121" s="952">
        <f>H121&lt;first_year+PERIOD_LENGTH</f>
        <v>0</v>
      </c>
      <c r="C121" s="227"/>
      <c r="D121" s="227"/>
      <c r="E121" s="794">
        <v>17.1</v>
      </c>
      <c r="F121" s="944" cm="1" t="str">
        <f t="array" ref="F121:F121">F120</f>
        <v>1</v>
      </c>
      <c r="G121" s="227"/>
      <c r="H121" s="225">
        <f>first_year+40</f>
        <v>2066</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2066 год</v>
      </c>
      <c r="AC121" s="462"/>
      <c r="AD121" s="148"/>
      <c r="AE121" s="148"/>
      <c r="AF121" s="147"/>
      <c r="AG121" s="147"/>
      <c r="AH121" s="148"/>
      <c r="AI121" s="147"/>
      <c r="AJ121" s="147"/>
      <c r="AK121" s="149"/>
      <c r="AL121" s="227"/>
      <c r="AM121" s="227"/>
      <c r="AN121" s="1231" cm="1" t="str">
        <f t="array" ref="AN121:AN121">H121</f>
        <v>2066</v>
      </c>
    </row>
    <row s="2120" customFormat="1" customHeight="1" ht="16.5" hidden="1">
      <c r="A122" s="227"/>
      <c r="B122" s="952">
        <f>H122&lt;first_year+PERIOD_LENGTH</f>
        <v>0</v>
      </c>
      <c r="C122" s="227"/>
      <c r="D122" s="227"/>
      <c r="E122" s="794">
        <v>17.1</v>
      </c>
      <c r="F122" s="944" cm="1" t="str">
        <f t="array" ref="F122:F122">F121</f>
        <v>1</v>
      </c>
      <c r="G122" s="227"/>
      <c r="H122" s="225">
        <f>first_year+41</f>
        <v>2067</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2067 год</v>
      </c>
      <c r="AC122" s="462"/>
      <c r="AD122" s="148"/>
      <c r="AE122" s="148"/>
      <c r="AF122" s="147"/>
      <c r="AG122" s="147"/>
      <c r="AH122" s="148"/>
      <c r="AI122" s="147"/>
      <c r="AJ122" s="147"/>
      <c r="AK122" s="149"/>
      <c r="AL122" s="227"/>
      <c r="AM122" s="227"/>
      <c r="AN122" s="1231" cm="1" t="str">
        <f t="array" ref="AN122:AN122">H122</f>
        <v>2067</v>
      </c>
    </row>
    <row s="2121" customFormat="1" customHeight="1" ht="16.5" hidden="1">
      <c r="A123" s="227"/>
      <c r="B123" s="952">
        <f>H123&lt;first_year+PERIOD_LENGTH</f>
        <v>0</v>
      </c>
      <c r="C123" s="227"/>
      <c r="D123" s="227"/>
      <c r="E123" s="794">
        <v>17.1</v>
      </c>
      <c r="F123" s="944" cm="1" t="str">
        <f t="array" ref="F123:F123">F122</f>
        <v>1</v>
      </c>
      <c r="G123" s="227"/>
      <c r="H123" s="225">
        <f>first_year+42</f>
        <v>2068</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2068 год</v>
      </c>
      <c r="AC123" s="462"/>
      <c r="AD123" s="148"/>
      <c r="AE123" s="148"/>
      <c r="AF123" s="147"/>
      <c r="AG123" s="147"/>
      <c r="AH123" s="148"/>
      <c r="AI123" s="147"/>
      <c r="AJ123" s="147"/>
      <c r="AK123" s="149"/>
      <c r="AL123" s="227"/>
      <c r="AM123" s="227"/>
      <c r="AN123" s="1231" cm="1" t="str">
        <f t="array" ref="AN123:AN123">H123</f>
        <v>2068</v>
      </c>
    </row>
    <row s="2122" customFormat="1" customHeight="1" ht="16.5" hidden="1">
      <c r="A124" s="227"/>
      <c r="B124" s="952">
        <f>H124&lt;first_year+PERIOD_LENGTH</f>
        <v>0</v>
      </c>
      <c r="C124" s="227"/>
      <c r="D124" s="227"/>
      <c r="E124" s="794">
        <v>17.1</v>
      </c>
      <c r="F124" s="944" cm="1" t="str">
        <f t="array" ref="F124:F124">F123</f>
        <v>1</v>
      </c>
      <c r="G124" s="227"/>
      <c r="H124" s="225">
        <f>first_year+43</f>
        <v>2069</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2069 год</v>
      </c>
      <c r="AC124" s="462"/>
      <c r="AD124" s="148"/>
      <c r="AE124" s="148"/>
      <c r="AF124" s="147"/>
      <c r="AG124" s="147"/>
      <c r="AH124" s="148"/>
      <c r="AI124" s="147"/>
      <c r="AJ124" s="147"/>
      <c r="AK124" s="149"/>
      <c r="AL124" s="227"/>
      <c r="AM124" s="227"/>
      <c r="AN124" s="1231" cm="1" t="str">
        <f t="array" ref="AN124:AN124">H124</f>
        <v>2069</v>
      </c>
    </row>
    <row s="2123" customFormat="1" customHeight="1" ht="16.5" hidden="1">
      <c r="A125" s="227"/>
      <c r="B125" s="952">
        <f>H125&lt;first_year+PERIOD_LENGTH</f>
        <v>0</v>
      </c>
      <c r="C125" s="227"/>
      <c r="D125" s="227"/>
      <c r="E125" s="794">
        <v>17.1</v>
      </c>
      <c r="F125" s="944" cm="1" t="str">
        <f t="array" ref="F125:F125">F124</f>
        <v>1</v>
      </c>
      <c r="G125" s="227"/>
      <c r="H125" s="225">
        <f>first_year+44</f>
        <v>2070</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2070 год</v>
      </c>
      <c r="AC125" s="462"/>
      <c r="AD125" s="148"/>
      <c r="AE125" s="148"/>
      <c r="AF125" s="147"/>
      <c r="AG125" s="147"/>
      <c r="AH125" s="148"/>
      <c r="AI125" s="147"/>
      <c r="AJ125" s="147"/>
      <c r="AK125" s="149"/>
      <c r="AL125" s="227"/>
      <c r="AM125" s="227"/>
      <c r="AN125" s="1231" cm="1" t="str">
        <f t="array" ref="AN125:AN125">H125</f>
        <v>2070</v>
      </c>
    </row>
    <row s="2124" customFormat="1" customHeight="1" ht="16.5" hidden="1">
      <c r="A126" s="227"/>
      <c r="B126" s="952">
        <f>H126&lt;first_year+PERIOD_LENGTH</f>
        <v>0</v>
      </c>
      <c r="C126" s="227"/>
      <c r="D126" s="227"/>
      <c r="E126" s="794">
        <v>17.1</v>
      </c>
      <c r="F126" s="944" cm="1" t="str">
        <f t="array" ref="F126:F126">F125</f>
        <v>1</v>
      </c>
      <c r="G126" s="227"/>
      <c r="H126" s="225">
        <f>first_year+45</f>
        <v>2071</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2071 год</v>
      </c>
      <c r="AC126" s="462"/>
      <c r="AD126" s="148"/>
      <c r="AE126" s="148"/>
      <c r="AF126" s="147"/>
      <c r="AG126" s="147"/>
      <c r="AH126" s="148"/>
      <c r="AI126" s="147"/>
      <c r="AJ126" s="147"/>
      <c r="AK126" s="149"/>
      <c r="AL126" s="227"/>
      <c r="AM126" s="227"/>
      <c r="AN126" s="1231" cm="1" t="str">
        <f t="array" ref="AN126:AN126">H126</f>
        <v>2071</v>
      </c>
    </row>
    <row s="2125" customFormat="1" customHeight="1" ht="16.5" hidden="1">
      <c r="A127" s="227"/>
      <c r="B127" s="952">
        <f>H127&lt;first_year+PERIOD_LENGTH</f>
        <v>0</v>
      </c>
      <c r="C127" s="227"/>
      <c r="D127" s="227"/>
      <c r="E127" s="794">
        <v>17.1</v>
      </c>
      <c r="F127" s="944" cm="1" t="str">
        <f t="array" ref="F127:F127">F126</f>
        <v>1</v>
      </c>
      <c r="G127" s="227"/>
      <c r="H127" s="225">
        <f>first_year+46</f>
        <v>2072</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2072 год</v>
      </c>
      <c r="AC127" s="462"/>
      <c r="AD127" s="148"/>
      <c r="AE127" s="148"/>
      <c r="AF127" s="147"/>
      <c r="AG127" s="147"/>
      <c r="AH127" s="148"/>
      <c r="AI127" s="147"/>
      <c r="AJ127" s="147"/>
      <c r="AK127" s="149"/>
      <c r="AL127" s="227"/>
      <c r="AM127" s="227"/>
      <c r="AN127" s="1231" cm="1" t="str">
        <f t="array" ref="AN127:AN127">H127</f>
        <v>2072</v>
      </c>
    </row>
    <row s="2126" customFormat="1" customHeight="1" ht="16.5" hidden="1">
      <c r="A128" s="227"/>
      <c r="B128" s="952">
        <f>H128&lt;first_year+PERIOD_LENGTH</f>
        <v>0</v>
      </c>
      <c r="C128" s="227"/>
      <c r="D128" s="227"/>
      <c r="E128" s="794">
        <v>17.1</v>
      </c>
      <c r="F128" s="944" cm="1" t="str">
        <f t="array" ref="F128:F128">F127</f>
        <v>1</v>
      </c>
      <c r="G128" s="227"/>
      <c r="H128" s="225">
        <f>first_year+47</f>
        <v>2073</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2073 год</v>
      </c>
      <c r="AC128" s="462"/>
      <c r="AD128" s="148"/>
      <c r="AE128" s="148"/>
      <c r="AF128" s="147"/>
      <c r="AG128" s="147"/>
      <c r="AH128" s="148"/>
      <c r="AI128" s="147"/>
      <c r="AJ128" s="147"/>
      <c r="AK128" s="149"/>
      <c r="AL128" s="227"/>
      <c r="AM128" s="227"/>
      <c r="AN128" s="1231" cm="1" t="str">
        <f t="array" ref="AN128:AN128">H128</f>
        <v>2073</v>
      </c>
    </row>
    <row s="2127" customFormat="1" customHeight="1" ht="16.5" hidden="1">
      <c r="A129" s="227"/>
      <c r="B129" s="952">
        <f>H129&lt;first_year+PERIOD_LENGTH</f>
        <v>0</v>
      </c>
      <c r="C129" s="227"/>
      <c r="D129" s="227"/>
      <c r="E129" s="794">
        <v>17.1</v>
      </c>
      <c r="F129" s="944" cm="1" t="str">
        <f t="array" ref="F129:F129">F128</f>
        <v>1</v>
      </c>
      <c r="G129" s="227"/>
      <c r="H129" s="225">
        <f>first_year+48</f>
        <v>2074</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2074 год</v>
      </c>
      <c r="AC129" s="462"/>
      <c r="AD129" s="148"/>
      <c r="AE129" s="148"/>
      <c r="AF129" s="147"/>
      <c r="AG129" s="147"/>
      <c r="AH129" s="148"/>
      <c r="AI129" s="147"/>
      <c r="AJ129" s="147"/>
      <c r="AK129" s="149"/>
      <c r="AL129" s="227"/>
      <c r="AM129" s="227"/>
      <c r="AN129" s="1231" cm="1" t="str">
        <f t="array" ref="AN129:AN129">H129</f>
        <v>2074</v>
      </c>
    </row>
    <row s="2128" customFormat="1" customHeight="1" ht="16.5" hidden="1">
      <c r="A130" s="227"/>
      <c r="B130" s="952">
        <f>H130&lt;first_year+PERIOD_LENGTH</f>
        <v>0</v>
      </c>
      <c r="C130" s="227"/>
      <c r="D130" s="227"/>
      <c r="E130" s="794">
        <v>17.1</v>
      </c>
      <c r="F130" s="944" cm="1" t="str">
        <f t="array" ref="F130:F130">F129</f>
        <v>1</v>
      </c>
      <c r="G130" s="227"/>
      <c r="H130" s="225">
        <f>first_year+49</f>
        <v>2075</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2075 год</v>
      </c>
      <c r="AC130" s="462"/>
      <c r="AD130" s="148"/>
      <c r="AE130" s="148"/>
      <c r="AF130" s="147"/>
      <c r="AG130" s="147"/>
      <c r="AH130" s="148"/>
      <c r="AI130" s="147"/>
      <c r="AJ130" s="147"/>
      <c r="AK130" s="149"/>
      <c r="AL130" s="227"/>
      <c r="AM130" s="227"/>
      <c r="AN130" s="1231" cm="1" t="str">
        <f t="array" ref="AN130:AN130">H130</f>
        <v>2075</v>
      </c>
    </row>
    <row s="2129" customFormat="1" customHeight="1" ht="16.5">
      <c r="A131" s="217"/>
      <c r="B131" s="217"/>
      <c r="C131" s="217"/>
      <c r="D131" s="217"/>
      <c r="E131" s="794">
        <v>17.1</v>
      </c>
      <c r="F131" s="919" cm="1" t="str">
        <f t="array" ref="F131:F131">X131</f>
        <v>2</v>
      </c>
      <c r="G131" s="217"/>
      <c r="H131" s="217"/>
      <c r="I131" s="217"/>
      <c r="J131" s="217"/>
      <c r="K131" s="217"/>
      <c r="L131" s="217"/>
      <c r="M131" s="217"/>
      <c r="N131" s="217"/>
      <c r="O131" s="217"/>
      <c r="P131" s="217"/>
      <c r="Q131" s="217"/>
      <c r="R131" s="217"/>
      <c r="S131" s="217"/>
      <c r="T131" s="805">
        <f>X131&gt;0</f>
        <v>1</v>
      </c>
      <c r="U131" s="217"/>
      <c r="V131" s="172" cm="1" t="str">
        <f t="array" ref="V131:V131">ТМ!$AB$120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W131" s="217"/>
      <c r="X131" s="172" t="s">
        <v>343</v>
      </c>
      <c r="Y131" s="217"/>
      <c r="Z131" s="217"/>
      <c r="AA131" s="217"/>
      <c r="AB131" s="317" cm="1" t="str">
        <f t="array" ref="AB131:AB131">IF(ISBLANK(ТМ!$AB$120),"",ТМ!$AB$120)</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131" s="318"/>
      <c r="AD131" s="318"/>
      <c r="AE131" s="318"/>
      <c r="AF131" s="318"/>
      <c r="AG131" s="318"/>
      <c r="AH131" s="318"/>
      <c r="AI131" s="318"/>
      <c r="AJ131" s="318"/>
      <c r="AK131" s="531"/>
      <c r="AL131" s="217"/>
      <c r="AM131" s="217"/>
      <c r="AN131" s="1154"/>
    </row>
    <row s="2130" customFormat="1" customHeight="1" ht="16.5">
      <c r="A132" s="227"/>
      <c r="B132" s="952">
        <f>H132&lt;first_year+PERIOD_LENGTH</f>
        <v>1</v>
      </c>
      <c r="C132" s="227"/>
      <c r="D132" s="227"/>
      <c r="E132" s="794">
        <v>17.1</v>
      </c>
      <c r="F132" s="944" cm="1" t="str">
        <f t="array" ref="F132:F132">F131</f>
        <v>2</v>
      </c>
      <c r="G132" s="190" t="s">
        <v>1292</v>
      </c>
      <c r="H132" s="225" cm="1" t="str">
        <f t="array" ref="H132:H132">first_year</f>
        <v>2026</v>
      </c>
      <c r="I132" s="227"/>
      <c r="J132" s="227"/>
      <c r="K132" s="227"/>
      <c r="L132" s="227"/>
      <c r="M132" s="227"/>
      <c r="N132" s="227"/>
      <c r="O132" s="227"/>
      <c r="P132" s="227"/>
      <c r="Q132" s="227"/>
      <c r="R132" s="227"/>
      <c r="S132" s="227"/>
      <c r="T132" s="805" cm="1" t="str">
        <f t="array" ref="T132:T132">T131</f>
        <v>true</v>
      </c>
      <c r="U132" s="227"/>
      <c r="V132" s="227"/>
      <c r="W132" s="227"/>
      <c r="X132" s="227"/>
      <c r="Y132" s="227"/>
      <c r="Z132" s="227"/>
      <c r="AA132" s="227"/>
      <c r="AB132" s="330" t="str">
        <f>H132&amp;" год"</f>
        <v>2026 год</v>
      </c>
      <c r="AC132" s="2078">
        <f>IF(god=first_year,_xlfn.SUMIFS('Калькуляция (5.9)'!AT$26:AT$192,'Калькуляция (5.9)'!$F$26:$F$192,$F132,'Калькуляция (5.9)'!$G$26:$G$192,$G132),"")</f>
        <v>1635.99992</v>
      </c>
      <c r="AD132" s="1725"/>
      <c r="AE132" s="2079"/>
      <c r="AF132" s="2078"/>
      <c r="AG132" s="2078"/>
      <c r="AH132" s="2079"/>
      <c r="AI132" s="2078"/>
      <c r="AJ132" s="2078"/>
      <c r="AK132" s="149"/>
      <c r="AL132" s="227"/>
      <c r="AM132" s="227"/>
      <c r="AN132" s="1231" cm="1" t="str">
        <f t="array" ref="AN132:AN132">H132</f>
        <v>2026</v>
      </c>
    </row>
    <row s="2131" customFormat="1" customHeight="1" ht="16.5">
      <c r="A133" s="227"/>
      <c r="B133" s="952">
        <f>H133&lt;first_year+PERIOD_LENGTH</f>
        <v>1</v>
      </c>
      <c r="C133" s="227"/>
      <c r="D133" s="227"/>
      <c r="E133" s="794">
        <v>17.1</v>
      </c>
      <c r="F133" s="944" cm="1" t="str">
        <f t="array" ref="F133:F133">F132</f>
        <v>2</v>
      </c>
      <c r="G133" s="227"/>
      <c r="H133" s="225">
        <f>first_year+1</f>
        <v>2027</v>
      </c>
      <c r="I133" s="227"/>
      <c r="J133" s="227"/>
      <c r="K133" s="227"/>
      <c r="L133" s="227"/>
      <c r="M133" s="227"/>
      <c r="N133" s="227"/>
      <c r="O133" s="227"/>
      <c r="P133" s="227"/>
      <c r="Q133" s="227"/>
      <c r="R133" s="227"/>
      <c r="S133" s="227"/>
      <c r="T133" s="805" cm="1" t="str">
        <f t="array" ref="T133:T133">T132</f>
        <v>true</v>
      </c>
      <c r="U133" s="227"/>
      <c r="V133" s="227"/>
      <c r="W133" s="227"/>
      <c r="X133" s="227"/>
      <c r="Y133" s="227"/>
      <c r="Z133" s="227"/>
      <c r="AA133" s="227"/>
      <c r="AB133" s="330" t="str">
        <f>H133&amp;" год"</f>
        <v>2027 год</v>
      </c>
      <c r="AC133" s="462"/>
      <c r="AD133" s="1725">
        <f>_xlfn.IFERROR(_xlfn.SUMIFS(INDEX('Операционные (5.2)'!$AT$26:$BC$54,,MATCH($H133,'Операционные (5.2)'!$AT$6:$BC$6,0)),'Операционные (5.2)'!$F$26:$F$54,$F133,'Операционные (5.2)'!$G$26:$G$54,"ИОР"),0)</f>
        <v>1</v>
      </c>
      <c r="AE133" s="2079"/>
      <c r="AF133" s="2078"/>
      <c r="AG133" s="2078"/>
      <c r="AH133" s="2079"/>
      <c r="AI133" s="2078"/>
      <c r="AJ133" s="2078"/>
      <c r="AK133" s="149"/>
      <c r="AL133" s="227"/>
      <c r="AM133" s="227"/>
      <c r="AN133" s="1231" cm="1" t="str">
        <f t="array" ref="AN133:AN133">H133</f>
        <v>2027</v>
      </c>
    </row>
    <row s="2132" customFormat="1" customHeight="1" ht="16.5">
      <c r="A134" s="227"/>
      <c r="B134" s="952">
        <f>H134&lt;first_year+PERIOD_LENGTH</f>
        <v>1</v>
      </c>
      <c r="C134" s="227"/>
      <c r="D134" s="227"/>
      <c r="E134" s="794">
        <v>17.1</v>
      </c>
      <c r="F134" s="944" cm="1" t="str">
        <f t="array" ref="F134:F134">F133</f>
        <v>2</v>
      </c>
      <c r="G134" s="227"/>
      <c r="H134" s="225">
        <f>first_year+2</f>
        <v>2028</v>
      </c>
      <c r="I134" s="227"/>
      <c r="J134" s="227"/>
      <c r="K134" s="227"/>
      <c r="L134" s="227"/>
      <c r="M134" s="227"/>
      <c r="N134" s="227"/>
      <c r="O134" s="227"/>
      <c r="P134" s="227"/>
      <c r="Q134" s="227"/>
      <c r="R134" s="227"/>
      <c r="S134" s="227"/>
      <c r="T134" s="805" cm="1" t="str">
        <f t="array" ref="T134:T134">T133</f>
        <v>true</v>
      </c>
      <c r="U134" s="227"/>
      <c r="V134" s="227"/>
      <c r="W134" s="227"/>
      <c r="X134" s="227"/>
      <c r="Y134" s="227"/>
      <c r="Z134" s="227"/>
      <c r="AA134" s="227"/>
      <c r="AB134" s="330" t="str">
        <f>H134&amp;" год"</f>
        <v>2028 год</v>
      </c>
      <c r="AC134" s="462"/>
      <c r="AD134" s="1725">
        <f>_xlfn.IFERROR(_xlfn.SUMIFS(INDEX('Операционные (5.2)'!$AT$26:$BC$54,,MATCH($H134,'Операционные (5.2)'!$AT$6:$BC$6,0)),'Операционные (5.2)'!$F$26:$F$54,$F134,'Операционные (5.2)'!$G$26:$G$54,"ИОР"),0)</f>
        <v>1</v>
      </c>
      <c r="AE134" s="2079"/>
      <c r="AF134" s="2078"/>
      <c r="AG134" s="2078"/>
      <c r="AH134" s="2079"/>
      <c r="AI134" s="2078"/>
      <c r="AJ134" s="2078"/>
      <c r="AK134" s="149"/>
      <c r="AL134" s="227"/>
      <c r="AM134" s="227"/>
      <c r="AN134" s="1231" cm="1" t="str">
        <f t="array" ref="AN134:AN134">H134</f>
        <v>2028</v>
      </c>
    </row>
    <row s="2133" customFormat="1" customHeight="1" ht="16.5">
      <c r="A135" s="227"/>
      <c r="B135" s="952">
        <f>H135&lt;first_year+PERIOD_LENGTH</f>
        <v>1</v>
      </c>
      <c r="C135" s="227"/>
      <c r="D135" s="227"/>
      <c r="E135" s="794">
        <v>17.1</v>
      </c>
      <c r="F135" s="944" cm="1" t="str">
        <f t="array" ref="F135:F135">F134</f>
        <v>2</v>
      </c>
      <c r="G135" s="227"/>
      <c r="H135" s="225">
        <f>first_year+3</f>
        <v>2029</v>
      </c>
      <c r="I135" s="227"/>
      <c r="J135" s="227"/>
      <c r="K135" s="227"/>
      <c r="L135" s="227"/>
      <c r="M135" s="227"/>
      <c r="N135" s="227"/>
      <c r="O135" s="227"/>
      <c r="P135" s="227"/>
      <c r="Q135" s="227"/>
      <c r="R135" s="227"/>
      <c r="S135" s="227"/>
      <c r="T135" s="805" cm="1" t="str">
        <f t="array" ref="T135:T135">T134</f>
        <v>true</v>
      </c>
      <c r="U135" s="227"/>
      <c r="V135" s="227"/>
      <c r="W135" s="227"/>
      <c r="X135" s="227"/>
      <c r="Y135" s="227"/>
      <c r="Z135" s="227"/>
      <c r="AA135" s="227"/>
      <c r="AB135" s="330" t="str">
        <f>H135&amp;" год"</f>
        <v>2029 год</v>
      </c>
      <c r="AC135" s="462"/>
      <c r="AD135" s="1725">
        <f>_xlfn.IFERROR(_xlfn.SUMIFS(INDEX('Операционные (5.2)'!$AT$26:$BC$54,,MATCH($H135,'Операционные (5.2)'!$AT$6:$BC$6,0)),'Операционные (5.2)'!$F$26:$F$54,$F135,'Операционные (5.2)'!$G$26:$G$54,"ИОР"),0)</f>
        <v>1</v>
      </c>
      <c r="AE135" s="2079"/>
      <c r="AF135" s="2078"/>
      <c r="AG135" s="2078"/>
      <c r="AH135" s="2079"/>
      <c r="AI135" s="2078"/>
      <c r="AJ135" s="2078"/>
      <c r="AK135" s="149"/>
      <c r="AL135" s="227"/>
      <c r="AM135" s="227"/>
      <c r="AN135" s="1231" cm="1" t="str">
        <f t="array" ref="AN135:AN135">H135</f>
        <v>2029</v>
      </c>
    </row>
    <row s="2134" customFormat="1" customHeight="1" ht="16.5">
      <c r="A136" s="227"/>
      <c r="B136" s="952">
        <f>H136&lt;first_year+PERIOD_LENGTH</f>
        <v>1</v>
      </c>
      <c r="C136" s="227"/>
      <c r="D136" s="227"/>
      <c r="E136" s="794">
        <v>17.1</v>
      </c>
      <c r="F136" s="944" cm="1" t="str">
        <f t="array" ref="F136:F136">F135</f>
        <v>2</v>
      </c>
      <c r="G136" s="227"/>
      <c r="H136" s="225">
        <f>first_year+4</f>
        <v>2030</v>
      </c>
      <c r="I136" s="227"/>
      <c r="J136" s="227"/>
      <c r="K136" s="227"/>
      <c r="L136" s="227"/>
      <c r="M136" s="227"/>
      <c r="N136" s="227"/>
      <c r="O136" s="227"/>
      <c r="P136" s="227"/>
      <c r="Q136" s="227"/>
      <c r="R136" s="227"/>
      <c r="S136" s="227"/>
      <c r="T136" s="805" cm="1" t="str">
        <f t="array" ref="T136:T136">T135</f>
        <v>true</v>
      </c>
      <c r="U136" s="227"/>
      <c r="V136" s="227"/>
      <c r="W136" s="227"/>
      <c r="X136" s="227"/>
      <c r="Y136" s="227"/>
      <c r="Z136" s="227"/>
      <c r="AA136" s="227"/>
      <c r="AB136" s="330" t="str">
        <f>H136&amp;" год"</f>
        <v>2030 год</v>
      </c>
      <c r="AC136" s="462"/>
      <c r="AD136" s="1725">
        <f>_xlfn.IFERROR(_xlfn.SUMIFS(INDEX('Операционные (5.2)'!$AT$26:$BC$54,,MATCH($H136,'Операционные (5.2)'!$AT$6:$BC$6,0)),'Операционные (5.2)'!$F$26:$F$54,$F136,'Операционные (5.2)'!$G$26:$G$54,"ИОР"),0)</f>
        <v>1</v>
      </c>
      <c r="AE136" s="2079"/>
      <c r="AF136" s="2078"/>
      <c r="AG136" s="2078"/>
      <c r="AH136" s="2079"/>
      <c r="AI136" s="2078"/>
      <c r="AJ136" s="2078"/>
      <c r="AK136" s="149"/>
      <c r="AL136" s="227"/>
      <c r="AM136" s="227"/>
      <c r="AN136" s="1231" cm="1" t="str">
        <f t="array" ref="AN136:AN136">H136</f>
        <v>2030</v>
      </c>
    </row>
    <row s="2135" customFormat="1" customHeight="1" ht="16.5" hidden="1">
      <c r="A137" s="227"/>
      <c r="B137" s="952">
        <f>H137&lt;first_year+PERIOD_LENGTH</f>
        <v>0</v>
      </c>
      <c r="C137" s="227"/>
      <c r="D137" s="227"/>
      <c r="E137" s="794">
        <v>17.1</v>
      </c>
      <c r="F137" s="944" cm="1" t="str">
        <f t="array" ref="F137:F137">F136</f>
        <v>2</v>
      </c>
      <c r="G137" s="227"/>
      <c r="H137" s="225">
        <f>first_year+5</f>
        <v>2031</v>
      </c>
      <c r="I137" s="227"/>
      <c r="J137" s="227"/>
      <c r="K137" s="227"/>
      <c r="L137" s="227"/>
      <c r="M137" s="227"/>
      <c r="N137" s="227"/>
      <c r="O137" s="227"/>
      <c r="P137" s="227"/>
      <c r="Q137" s="227"/>
      <c r="R137" s="227"/>
      <c r="S137" s="227"/>
      <c r="T137" s="805" cm="1" t="str">
        <f t="array" ref="T137:T137">T136</f>
        <v>true</v>
      </c>
      <c r="U137" s="227"/>
      <c r="V137" s="227"/>
      <c r="W137" s="227"/>
      <c r="X137" s="227"/>
      <c r="Y137" s="227"/>
      <c r="Z137" s="227"/>
      <c r="AA137" s="227"/>
      <c r="AB137" s="330" t="str">
        <f>H137&amp;" год"</f>
        <v>2031 год</v>
      </c>
      <c r="AC137" s="462"/>
      <c r="AD137" s="71">
        <f>_xlfn.IFERROR(_xlfn.SUMIFS(INDEX('Операционные (5.2)'!$AT$26:$BC$54,,MATCH($H137,'Операционные (5.2)'!$AT$6:$BC$6,0)),'Операционные (5.2)'!$F$26:$F$54,$F137,'Операционные (5.2)'!$G$26:$G$54,"ИОР"),0)</f>
        <v>1</v>
      </c>
      <c r="AE137" s="148"/>
      <c r="AF137" s="147"/>
      <c r="AG137" s="147"/>
      <c r="AH137" s="148"/>
      <c r="AI137" s="147"/>
      <c r="AJ137" s="147"/>
      <c r="AK137" s="149">
        <f>_xlfn.IFERROR(_xlfn.SUMIFS(INDEX('Баланс Пр'!$AE$26:$BB$232,,MATCH($H137&amp;"Принято органом регулирования",'Баланс Пр'!$AE$8:$BB$8,0)),'Баланс Пр'!$Q$26:$Q$232,$F137,'Баланс Пр'!$AC$26:$AC$232,"Уровень потерь воды"),0)</f>
        <v>0</v>
      </c>
      <c r="AL137" s="227"/>
      <c r="AM137" s="227"/>
      <c r="AN137" s="1231" cm="1" t="str">
        <f t="array" ref="AN137:AN137">H137</f>
        <v>2031</v>
      </c>
    </row>
    <row s="2136" customFormat="1" customHeight="1" ht="16.5" hidden="1">
      <c r="A138" s="227"/>
      <c r="B138" s="952">
        <f>H138&lt;first_year+PERIOD_LENGTH</f>
        <v>0</v>
      </c>
      <c r="C138" s="227"/>
      <c r="D138" s="227"/>
      <c r="E138" s="794">
        <v>17.1</v>
      </c>
      <c r="F138" s="944" cm="1" t="str">
        <f t="array" ref="F138:F138">F137</f>
        <v>2</v>
      </c>
      <c r="G138" s="227"/>
      <c r="H138" s="225">
        <f>first_year+6</f>
        <v>2032</v>
      </c>
      <c r="I138" s="227"/>
      <c r="J138" s="227"/>
      <c r="K138" s="227"/>
      <c r="L138" s="227"/>
      <c r="M138" s="227"/>
      <c r="N138" s="227"/>
      <c r="O138" s="227"/>
      <c r="P138" s="227"/>
      <c r="Q138" s="227"/>
      <c r="R138" s="227"/>
      <c r="S138" s="227"/>
      <c r="T138" s="805" cm="1" t="str">
        <f t="array" ref="T138:T138">T137</f>
        <v>true</v>
      </c>
      <c r="U138" s="227"/>
      <c r="V138" s="227"/>
      <c r="W138" s="227"/>
      <c r="X138" s="227"/>
      <c r="Y138" s="227"/>
      <c r="Z138" s="227"/>
      <c r="AA138" s="227"/>
      <c r="AB138" s="330" t="str">
        <f>H138&amp;" год"</f>
        <v>2032 год</v>
      </c>
      <c r="AC138" s="462"/>
      <c r="AD138" s="71">
        <f>_xlfn.IFERROR(_xlfn.SUMIFS(INDEX('Операционные (5.2)'!$AT$26:$BC$54,,MATCH($H138,'Операционные (5.2)'!$AT$6:$BC$6,0)),'Операционные (5.2)'!$F$26:$F$54,$F138,'Операционные (5.2)'!$G$26:$G$54,"ИОР"),0)</f>
        <v>1</v>
      </c>
      <c r="AE138" s="148"/>
      <c r="AF138" s="147"/>
      <c r="AG138" s="147"/>
      <c r="AH138" s="148"/>
      <c r="AI138" s="147"/>
      <c r="AJ138" s="147"/>
      <c r="AK138" s="149">
        <f>_xlfn.IFERROR(_xlfn.SUMIFS(INDEX('Баланс Пр'!$AE$26:$BB$232,,MATCH($H138&amp;"Принято органом регулирования",'Баланс Пр'!$AE$8:$BB$8,0)),'Баланс Пр'!$Q$26:$Q$232,$F138,'Баланс Пр'!$AC$26:$AC$232,"Уровень потерь воды"),0)</f>
        <v>0</v>
      </c>
      <c r="AL138" s="227"/>
      <c r="AM138" s="227"/>
      <c r="AN138" s="1231" cm="1" t="str">
        <f t="array" ref="AN138:AN138">H138</f>
        <v>2032</v>
      </c>
    </row>
    <row s="2137" customFormat="1" customHeight="1" ht="16.5" hidden="1">
      <c r="A139" s="227"/>
      <c r="B139" s="952">
        <f>H139&lt;first_year+PERIOD_LENGTH</f>
        <v>0</v>
      </c>
      <c r="C139" s="227"/>
      <c r="D139" s="227"/>
      <c r="E139" s="794">
        <v>17.1</v>
      </c>
      <c r="F139" s="944" cm="1" t="str">
        <f t="array" ref="F139:F139">F138</f>
        <v>2</v>
      </c>
      <c r="G139" s="227"/>
      <c r="H139" s="225">
        <f>first_year+7</f>
        <v>2033</v>
      </c>
      <c r="I139" s="227"/>
      <c r="J139" s="227"/>
      <c r="K139" s="227"/>
      <c r="L139" s="227"/>
      <c r="M139" s="227"/>
      <c r="N139" s="227"/>
      <c r="O139" s="227"/>
      <c r="P139" s="227"/>
      <c r="Q139" s="227"/>
      <c r="R139" s="227"/>
      <c r="S139" s="227"/>
      <c r="T139" s="805" cm="1" t="str">
        <f t="array" ref="T139:T139">T138</f>
        <v>true</v>
      </c>
      <c r="U139" s="227"/>
      <c r="V139" s="227"/>
      <c r="W139" s="227"/>
      <c r="X139" s="227"/>
      <c r="Y139" s="227"/>
      <c r="Z139" s="227"/>
      <c r="AA139" s="227"/>
      <c r="AB139" s="330" t="str">
        <f>H139&amp;" год"</f>
        <v>2033 год</v>
      </c>
      <c r="AC139" s="462"/>
      <c r="AD139" s="71">
        <f>_xlfn.IFERROR(_xlfn.SUMIFS(INDEX('Операционные (5.2)'!$AT$26:$BC$54,,MATCH($H139,'Операционные (5.2)'!$AT$6:$BC$6,0)),'Операционные (5.2)'!$F$26:$F$54,$F139,'Операционные (5.2)'!$G$26:$G$54,"ИОР"),0)</f>
        <v>1</v>
      </c>
      <c r="AE139" s="148"/>
      <c r="AF139" s="147"/>
      <c r="AG139" s="147"/>
      <c r="AH139" s="148"/>
      <c r="AI139" s="147"/>
      <c r="AJ139" s="147"/>
      <c r="AK139" s="149">
        <f>_xlfn.IFERROR(_xlfn.SUMIFS(INDEX('Баланс Пр'!$AE$26:$BB$232,,MATCH($H139&amp;"Принято органом регулирования",'Баланс Пр'!$AE$8:$BB$8,0)),'Баланс Пр'!$Q$26:$Q$232,$F139,'Баланс Пр'!$AC$26:$AC$232,"Уровень потерь воды"),0)</f>
        <v>0</v>
      </c>
      <c r="AL139" s="227"/>
      <c r="AM139" s="227"/>
      <c r="AN139" s="1231" cm="1" t="str">
        <f t="array" ref="AN139:AN139">H139</f>
        <v>2033</v>
      </c>
    </row>
    <row s="2138" customFormat="1" customHeight="1" ht="16.5" hidden="1">
      <c r="A140" s="227"/>
      <c r="B140" s="952">
        <f>H140&lt;first_year+PERIOD_LENGTH</f>
        <v>0</v>
      </c>
      <c r="C140" s="227"/>
      <c r="D140" s="227"/>
      <c r="E140" s="794">
        <v>17.1</v>
      </c>
      <c r="F140" s="944" cm="1" t="str">
        <f t="array" ref="F140:F140">F139</f>
        <v>2</v>
      </c>
      <c r="G140" s="227"/>
      <c r="H140" s="225">
        <f>first_year+8</f>
        <v>2034</v>
      </c>
      <c r="I140" s="227"/>
      <c r="J140" s="227"/>
      <c r="K140" s="227"/>
      <c r="L140" s="227"/>
      <c r="M140" s="227"/>
      <c r="N140" s="227"/>
      <c r="O140" s="227"/>
      <c r="P140" s="227"/>
      <c r="Q140" s="227"/>
      <c r="R140" s="227"/>
      <c r="S140" s="227"/>
      <c r="T140" s="805" cm="1" t="str">
        <f t="array" ref="T140:T140">T139</f>
        <v>true</v>
      </c>
      <c r="U140" s="227"/>
      <c r="V140" s="227"/>
      <c r="W140" s="227"/>
      <c r="X140" s="227"/>
      <c r="Y140" s="227"/>
      <c r="Z140" s="227"/>
      <c r="AA140" s="227"/>
      <c r="AB140" s="330" t="str">
        <f>H140&amp;" год"</f>
        <v>2034 год</v>
      </c>
      <c r="AC140" s="462"/>
      <c r="AD140" s="71">
        <f>_xlfn.IFERROR(_xlfn.SUMIFS(INDEX('Операционные (5.2)'!$AT$26:$BC$54,,MATCH($H140,'Операционные (5.2)'!$AT$6:$BC$6,0)),'Операционные (5.2)'!$F$26:$F$54,$F140,'Операционные (5.2)'!$G$26:$G$54,"ИОР"),0)</f>
        <v>1</v>
      </c>
      <c r="AE140" s="148"/>
      <c r="AF140" s="147"/>
      <c r="AG140" s="147"/>
      <c r="AH140" s="148"/>
      <c r="AI140" s="147"/>
      <c r="AJ140" s="147"/>
      <c r="AK140" s="149">
        <f>_xlfn.IFERROR(_xlfn.SUMIFS(INDEX('Баланс Пр'!$AE$26:$BB$232,,MATCH($H140&amp;"Принято органом регулирования",'Баланс Пр'!$AE$8:$BB$8,0)),'Баланс Пр'!$Q$26:$Q$232,$F140,'Баланс Пр'!$AC$26:$AC$232,"Уровень потерь воды"),0)</f>
        <v>0</v>
      </c>
      <c r="AL140" s="227"/>
      <c r="AM140" s="227"/>
      <c r="AN140" s="1231" cm="1" t="str">
        <f t="array" ref="AN140:AN140">H140</f>
        <v>2034</v>
      </c>
    </row>
    <row s="2139" customFormat="1" customHeight="1" ht="16.5" hidden="1">
      <c r="A141" s="227"/>
      <c r="B141" s="952">
        <f>H141&lt;first_year+PERIOD_LENGTH</f>
        <v>0</v>
      </c>
      <c r="C141" s="227"/>
      <c r="D141" s="227"/>
      <c r="E141" s="794">
        <v>17.1</v>
      </c>
      <c r="F141" s="944" cm="1" t="str">
        <f t="array" ref="F141:F141">F140</f>
        <v>2</v>
      </c>
      <c r="G141" s="227"/>
      <c r="H141" s="225">
        <f>first_year+9</f>
        <v>2035</v>
      </c>
      <c r="I141" s="227"/>
      <c r="J141" s="227"/>
      <c r="K141" s="227"/>
      <c r="L141" s="227"/>
      <c r="M141" s="227"/>
      <c r="N141" s="227"/>
      <c r="O141" s="227"/>
      <c r="P141" s="227"/>
      <c r="Q141" s="227"/>
      <c r="R141" s="227"/>
      <c r="S141" s="227"/>
      <c r="T141" s="805" cm="1" t="str">
        <f t="array" ref="T141:T141">T140</f>
        <v>true</v>
      </c>
      <c r="U141" s="227"/>
      <c r="V141" s="227"/>
      <c r="W141" s="227"/>
      <c r="X141" s="227"/>
      <c r="Y141" s="227"/>
      <c r="Z141" s="227"/>
      <c r="AA141" s="227"/>
      <c r="AB141" s="330" t="str">
        <f>H141&amp;" год"</f>
        <v>2035 год</v>
      </c>
      <c r="AC141" s="462"/>
      <c r="AD141" s="71">
        <f>_xlfn.IFERROR(_xlfn.SUMIFS(INDEX('Операционные (5.2)'!$AT$26:$BC$54,,MATCH($H141,'Операционные (5.2)'!$AT$6:$BC$6,0)),'Операционные (5.2)'!$F$26:$F$54,$F141,'Операционные (5.2)'!$G$26:$G$54,"ИОР"),0)</f>
        <v>1</v>
      </c>
      <c r="AE141" s="148"/>
      <c r="AF141" s="147"/>
      <c r="AG141" s="147"/>
      <c r="AH141" s="148"/>
      <c r="AI141" s="147"/>
      <c r="AJ141" s="147"/>
      <c r="AK141" s="149">
        <f>_xlfn.IFERROR(_xlfn.SUMIFS(INDEX('Баланс Пр'!$AE$26:$BB$232,,MATCH($H141&amp;"Принято органом регулирования",'Баланс Пр'!$AE$8:$BB$8,0)),'Баланс Пр'!$Q$26:$Q$232,$F141,'Баланс Пр'!$AC$26:$AC$232,"Уровень потерь воды"),0)</f>
        <v>0</v>
      </c>
      <c r="AL141" s="227"/>
      <c r="AM141" s="227"/>
      <c r="AN141" s="1231" cm="1" t="str">
        <f t="array" ref="AN141:AN141">H141</f>
        <v>2035</v>
      </c>
    </row>
    <row s="2140" customFormat="1" customHeight="1" ht="16.5" hidden="1">
      <c r="A142" s="227"/>
      <c r="B142" s="952">
        <f>H142&lt;first_year+PERIOD_LENGTH</f>
        <v>0</v>
      </c>
      <c r="C142" s="227"/>
      <c r="D142" s="227"/>
      <c r="E142" s="794">
        <v>17.1</v>
      </c>
      <c r="F142" s="944" cm="1" t="str">
        <f t="array" ref="F142:F142">F141</f>
        <v>2</v>
      </c>
      <c r="G142" s="227"/>
      <c r="H142" s="225">
        <f>first_year+10</f>
        <v>2036</v>
      </c>
      <c r="I142" s="227"/>
      <c r="J142" s="227"/>
      <c r="K142" s="227"/>
      <c r="L142" s="227"/>
      <c r="M142" s="227"/>
      <c r="N142" s="227"/>
      <c r="O142" s="227"/>
      <c r="P142" s="227"/>
      <c r="Q142" s="227"/>
      <c r="R142" s="227"/>
      <c r="S142" s="227"/>
      <c r="T142" s="805" cm="1" t="str">
        <f t="array" ref="T142:T142">T141</f>
        <v>true</v>
      </c>
      <c r="U142" s="227"/>
      <c r="V142" s="227"/>
      <c r="W142" s="227"/>
      <c r="X142" s="227"/>
      <c r="Y142" s="227"/>
      <c r="Z142" s="227"/>
      <c r="AA142" s="227"/>
      <c r="AB142" s="330" t="str">
        <f>H142&amp;" год"</f>
        <v>2036 год</v>
      </c>
      <c r="AC142" s="462"/>
      <c r="AD142" s="148"/>
      <c r="AE142" s="148"/>
      <c r="AF142" s="147"/>
      <c r="AG142" s="147"/>
      <c r="AH142" s="148"/>
      <c r="AI142" s="147"/>
      <c r="AJ142" s="147"/>
      <c r="AK142" s="149"/>
      <c r="AL142" s="227"/>
      <c r="AM142" s="227"/>
      <c r="AN142" s="1231" cm="1" t="str">
        <f t="array" ref="AN142:AN142">H142</f>
        <v>2036</v>
      </c>
    </row>
    <row s="2141" customFormat="1" customHeight="1" ht="16.5" hidden="1">
      <c r="A143" s="227"/>
      <c r="B143" s="952">
        <f>H143&lt;first_year+PERIOD_LENGTH</f>
        <v>0</v>
      </c>
      <c r="C143" s="227"/>
      <c r="D143" s="227"/>
      <c r="E143" s="794">
        <v>17.1</v>
      </c>
      <c r="F143" s="944" cm="1" t="str">
        <f t="array" ref="F143:F143">F142</f>
        <v>2</v>
      </c>
      <c r="G143" s="227"/>
      <c r="H143" s="225">
        <f>first_year+11</f>
        <v>2037</v>
      </c>
      <c r="I143" s="227"/>
      <c r="J143" s="227"/>
      <c r="K143" s="227"/>
      <c r="L143" s="227"/>
      <c r="M143" s="227"/>
      <c r="N143" s="227"/>
      <c r="O143" s="227"/>
      <c r="P143" s="227"/>
      <c r="Q143" s="227"/>
      <c r="R143" s="227"/>
      <c r="S143" s="227"/>
      <c r="T143" s="805" cm="1" t="str">
        <f t="array" ref="T143:T143">T142</f>
        <v>true</v>
      </c>
      <c r="U143" s="227"/>
      <c r="V143" s="227"/>
      <c r="W143" s="227"/>
      <c r="X143" s="227"/>
      <c r="Y143" s="227"/>
      <c r="Z143" s="227"/>
      <c r="AA143" s="227"/>
      <c r="AB143" s="330" t="str">
        <f>H143&amp;" год"</f>
        <v>2037 год</v>
      </c>
      <c r="AC143" s="462"/>
      <c r="AD143" s="148"/>
      <c r="AE143" s="148"/>
      <c r="AF143" s="147"/>
      <c r="AG143" s="147"/>
      <c r="AH143" s="148"/>
      <c r="AI143" s="147"/>
      <c r="AJ143" s="147"/>
      <c r="AK143" s="149"/>
      <c r="AL143" s="227"/>
      <c r="AM143" s="227"/>
      <c r="AN143" s="1231" cm="1" t="str">
        <f t="array" ref="AN143:AN143">H143</f>
        <v>2037</v>
      </c>
    </row>
    <row s="2142" customFormat="1" customHeight="1" ht="16.5" hidden="1">
      <c r="A144" s="227"/>
      <c r="B144" s="952">
        <f>H144&lt;first_year+PERIOD_LENGTH</f>
        <v>0</v>
      </c>
      <c r="C144" s="227"/>
      <c r="D144" s="227"/>
      <c r="E144" s="794">
        <v>17.1</v>
      </c>
      <c r="F144" s="944" cm="1" t="str">
        <f t="array" ref="F144:F144">F143</f>
        <v>2</v>
      </c>
      <c r="G144" s="227"/>
      <c r="H144" s="225">
        <f>first_year+12</f>
        <v>2038</v>
      </c>
      <c r="I144" s="227"/>
      <c r="J144" s="227"/>
      <c r="K144" s="227"/>
      <c r="L144" s="227"/>
      <c r="M144" s="227"/>
      <c r="N144" s="227"/>
      <c r="O144" s="227"/>
      <c r="P144" s="227"/>
      <c r="Q144" s="227"/>
      <c r="R144" s="227"/>
      <c r="S144" s="227"/>
      <c r="T144" s="805" cm="1" t="str">
        <f t="array" ref="T144:T144">T143</f>
        <v>true</v>
      </c>
      <c r="U144" s="227"/>
      <c r="V144" s="227"/>
      <c r="W144" s="227"/>
      <c r="X144" s="227"/>
      <c r="Y144" s="227"/>
      <c r="Z144" s="227"/>
      <c r="AA144" s="227"/>
      <c r="AB144" s="330" t="str">
        <f>H144&amp;" год"</f>
        <v>2038 год</v>
      </c>
      <c r="AC144" s="462"/>
      <c r="AD144" s="148"/>
      <c r="AE144" s="148"/>
      <c r="AF144" s="147"/>
      <c r="AG144" s="147"/>
      <c r="AH144" s="148"/>
      <c r="AI144" s="147"/>
      <c r="AJ144" s="147"/>
      <c r="AK144" s="149"/>
      <c r="AL144" s="227"/>
      <c r="AM144" s="227"/>
      <c r="AN144" s="1231" cm="1" t="str">
        <f t="array" ref="AN144:AN144">H144</f>
        <v>2038</v>
      </c>
    </row>
    <row s="2143" customFormat="1" customHeight="1" ht="16.5" hidden="1">
      <c r="A145" s="227"/>
      <c r="B145" s="952">
        <f>H145&lt;first_year+PERIOD_LENGTH</f>
        <v>0</v>
      </c>
      <c r="C145" s="227"/>
      <c r="D145" s="227"/>
      <c r="E145" s="794">
        <v>17.1</v>
      </c>
      <c r="F145" s="944" cm="1" t="str">
        <f t="array" ref="F145:F145">F144</f>
        <v>2</v>
      </c>
      <c r="G145" s="227"/>
      <c r="H145" s="225">
        <f>first_year+13</f>
        <v>2039</v>
      </c>
      <c r="I145" s="227"/>
      <c r="J145" s="227"/>
      <c r="K145" s="227"/>
      <c r="L145" s="227"/>
      <c r="M145" s="227"/>
      <c r="N145" s="227"/>
      <c r="O145" s="227"/>
      <c r="P145" s="227"/>
      <c r="Q145" s="227"/>
      <c r="R145" s="227"/>
      <c r="S145" s="227"/>
      <c r="T145" s="805" cm="1" t="str">
        <f t="array" ref="T145:T145">T144</f>
        <v>true</v>
      </c>
      <c r="U145" s="227"/>
      <c r="V145" s="227"/>
      <c r="W145" s="227"/>
      <c r="X145" s="227"/>
      <c r="Y145" s="227"/>
      <c r="Z145" s="227"/>
      <c r="AA145" s="227"/>
      <c r="AB145" s="330" t="str">
        <f>H145&amp;" год"</f>
        <v>2039 год</v>
      </c>
      <c r="AC145" s="462"/>
      <c r="AD145" s="148"/>
      <c r="AE145" s="148"/>
      <c r="AF145" s="147"/>
      <c r="AG145" s="147"/>
      <c r="AH145" s="148"/>
      <c r="AI145" s="147"/>
      <c r="AJ145" s="147"/>
      <c r="AK145" s="149"/>
      <c r="AL145" s="227"/>
      <c r="AM145" s="227"/>
      <c r="AN145" s="1231" cm="1" t="str">
        <f t="array" ref="AN145:AN145">H145</f>
        <v>2039</v>
      </c>
    </row>
    <row s="2144" customFormat="1" customHeight="1" ht="16.5" hidden="1">
      <c r="A146" s="227"/>
      <c r="B146" s="952">
        <f>H146&lt;first_year+PERIOD_LENGTH</f>
        <v>0</v>
      </c>
      <c r="C146" s="227"/>
      <c r="D146" s="227"/>
      <c r="E146" s="794">
        <v>17.1</v>
      </c>
      <c r="F146" s="944" cm="1" t="str">
        <f t="array" ref="F146:F146">F145</f>
        <v>2</v>
      </c>
      <c r="G146" s="227"/>
      <c r="H146" s="225">
        <f>first_year+14</f>
        <v>2040</v>
      </c>
      <c r="I146" s="227"/>
      <c r="J146" s="227"/>
      <c r="K146" s="227"/>
      <c r="L146" s="227"/>
      <c r="M146" s="227"/>
      <c r="N146" s="227"/>
      <c r="O146" s="227"/>
      <c r="P146" s="227"/>
      <c r="Q146" s="227"/>
      <c r="R146" s="227"/>
      <c r="S146" s="227"/>
      <c r="T146" s="805" cm="1" t="str">
        <f t="array" ref="T146:T146">T145</f>
        <v>true</v>
      </c>
      <c r="U146" s="227"/>
      <c r="V146" s="227"/>
      <c r="W146" s="227"/>
      <c r="X146" s="227"/>
      <c r="Y146" s="227"/>
      <c r="Z146" s="227"/>
      <c r="AA146" s="227"/>
      <c r="AB146" s="330" t="str">
        <f>H146&amp;" год"</f>
        <v>2040 год</v>
      </c>
      <c r="AC146" s="462"/>
      <c r="AD146" s="148"/>
      <c r="AE146" s="148"/>
      <c r="AF146" s="147"/>
      <c r="AG146" s="147"/>
      <c r="AH146" s="148"/>
      <c r="AI146" s="147"/>
      <c r="AJ146" s="147"/>
      <c r="AK146" s="149"/>
      <c r="AL146" s="227"/>
      <c r="AM146" s="227"/>
      <c r="AN146" s="1231" cm="1" t="str">
        <f t="array" ref="AN146:AN146">H146</f>
        <v>2040</v>
      </c>
    </row>
    <row s="2145" customFormat="1" customHeight="1" ht="16.5" hidden="1">
      <c r="A147" s="227"/>
      <c r="B147" s="952">
        <f>H147&lt;first_year+PERIOD_LENGTH</f>
        <v>0</v>
      </c>
      <c r="C147" s="227"/>
      <c r="D147" s="227"/>
      <c r="E147" s="794">
        <v>17.1</v>
      </c>
      <c r="F147" s="944" cm="1" t="str">
        <f t="array" ref="F147:F147">F146</f>
        <v>2</v>
      </c>
      <c r="G147" s="227"/>
      <c r="H147" s="225">
        <f>first_year+15</f>
        <v>2041</v>
      </c>
      <c r="I147" s="227"/>
      <c r="J147" s="227"/>
      <c r="K147" s="227"/>
      <c r="L147" s="227"/>
      <c r="M147" s="227"/>
      <c r="N147" s="227"/>
      <c r="O147" s="227"/>
      <c r="P147" s="227"/>
      <c r="Q147" s="227"/>
      <c r="R147" s="227"/>
      <c r="S147" s="227"/>
      <c r="T147" s="805" cm="1" t="str">
        <f t="array" ref="T147:T147">T146</f>
        <v>true</v>
      </c>
      <c r="U147" s="227"/>
      <c r="V147" s="227"/>
      <c r="W147" s="227"/>
      <c r="X147" s="227"/>
      <c r="Y147" s="227"/>
      <c r="Z147" s="227"/>
      <c r="AA147" s="227"/>
      <c r="AB147" s="330" t="str">
        <f>H147&amp;" год"</f>
        <v>2041 год</v>
      </c>
      <c r="AC147" s="462"/>
      <c r="AD147" s="148"/>
      <c r="AE147" s="148"/>
      <c r="AF147" s="147"/>
      <c r="AG147" s="147"/>
      <c r="AH147" s="148"/>
      <c r="AI147" s="147"/>
      <c r="AJ147" s="147"/>
      <c r="AK147" s="149"/>
      <c r="AL147" s="227"/>
      <c r="AM147" s="227"/>
      <c r="AN147" s="1231" cm="1" t="str">
        <f t="array" ref="AN147:AN147">H147</f>
        <v>2041</v>
      </c>
    </row>
    <row s="2146" customFormat="1" customHeight="1" ht="16.5" hidden="1">
      <c r="A148" s="227"/>
      <c r="B148" s="952">
        <f>H148&lt;first_year+PERIOD_LENGTH</f>
        <v>0</v>
      </c>
      <c r="C148" s="227"/>
      <c r="D148" s="227"/>
      <c r="E148" s="794">
        <v>17.1</v>
      </c>
      <c r="F148" s="944" cm="1" t="str">
        <f t="array" ref="F148:F148">F147</f>
        <v>2</v>
      </c>
      <c r="G148" s="227"/>
      <c r="H148" s="225">
        <f>first_year+16</f>
        <v>2042</v>
      </c>
      <c r="I148" s="227"/>
      <c r="J148" s="227"/>
      <c r="K148" s="227"/>
      <c r="L148" s="227"/>
      <c r="M148" s="227"/>
      <c r="N148" s="227"/>
      <c r="O148" s="227"/>
      <c r="P148" s="227"/>
      <c r="Q148" s="227"/>
      <c r="R148" s="227"/>
      <c r="S148" s="227"/>
      <c r="T148" s="805" cm="1" t="str">
        <f t="array" ref="T148:T148">T147</f>
        <v>true</v>
      </c>
      <c r="U148" s="227"/>
      <c r="V148" s="227"/>
      <c r="W148" s="227"/>
      <c r="X148" s="227"/>
      <c r="Y148" s="227"/>
      <c r="Z148" s="227"/>
      <c r="AA148" s="227"/>
      <c r="AB148" s="330" t="str">
        <f>H148&amp;" год"</f>
        <v>2042 год</v>
      </c>
      <c r="AC148" s="462"/>
      <c r="AD148" s="148"/>
      <c r="AE148" s="148"/>
      <c r="AF148" s="147"/>
      <c r="AG148" s="147"/>
      <c r="AH148" s="148"/>
      <c r="AI148" s="147"/>
      <c r="AJ148" s="147"/>
      <c r="AK148" s="149"/>
      <c r="AL148" s="227"/>
      <c r="AM148" s="227"/>
      <c r="AN148" s="1231" cm="1" t="str">
        <f t="array" ref="AN148:AN148">H148</f>
        <v>2042</v>
      </c>
    </row>
    <row s="2147" customFormat="1" customHeight="1" ht="16.5" hidden="1">
      <c r="A149" s="227"/>
      <c r="B149" s="952">
        <f>H149&lt;first_year+PERIOD_LENGTH</f>
        <v>0</v>
      </c>
      <c r="C149" s="227"/>
      <c r="D149" s="227"/>
      <c r="E149" s="794">
        <v>17.1</v>
      </c>
      <c r="F149" s="944" cm="1" t="str">
        <f t="array" ref="F149:F149">F148</f>
        <v>2</v>
      </c>
      <c r="G149" s="227"/>
      <c r="H149" s="225">
        <f>first_year+17</f>
        <v>2043</v>
      </c>
      <c r="I149" s="227"/>
      <c r="J149" s="227"/>
      <c r="K149" s="227"/>
      <c r="L149" s="227"/>
      <c r="M149" s="227"/>
      <c r="N149" s="227"/>
      <c r="O149" s="227"/>
      <c r="P149" s="227"/>
      <c r="Q149" s="227"/>
      <c r="R149" s="227"/>
      <c r="S149" s="227"/>
      <c r="T149" s="805" cm="1" t="str">
        <f t="array" ref="T149:T149">T148</f>
        <v>true</v>
      </c>
      <c r="U149" s="227"/>
      <c r="V149" s="227"/>
      <c r="W149" s="227"/>
      <c r="X149" s="227"/>
      <c r="Y149" s="227"/>
      <c r="Z149" s="227"/>
      <c r="AA149" s="227"/>
      <c r="AB149" s="330" t="str">
        <f>H149&amp;" год"</f>
        <v>2043 год</v>
      </c>
      <c r="AC149" s="462"/>
      <c r="AD149" s="148"/>
      <c r="AE149" s="148"/>
      <c r="AF149" s="147"/>
      <c r="AG149" s="147"/>
      <c r="AH149" s="148"/>
      <c r="AI149" s="147"/>
      <c r="AJ149" s="147"/>
      <c r="AK149" s="149"/>
      <c r="AL149" s="227"/>
      <c r="AM149" s="227"/>
      <c r="AN149" s="1231" cm="1" t="str">
        <f t="array" ref="AN149:AN149">H149</f>
        <v>2043</v>
      </c>
    </row>
    <row s="2148" customFormat="1" customHeight="1" ht="16.5" hidden="1">
      <c r="A150" s="227"/>
      <c r="B150" s="952">
        <f>H150&lt;first_year+PERIOD_LENGTH</f>
        <v>0</v>
      </c>
      <c r="C150" s="227"/>
      <c r="D150" s="227"/>
      <c r="E150" s="794">
        <v>17.1</v>
      </c>
      <c r="F150" s="944" cm="1" t="str">
        <f t="array" ref="F150:F150">F149</f>
        <v>2</v>
      </c>
      <c r="G150" s="227"/>
      <c r="H150" s="225">
        <f>first_year+18</f>
        <v>2044</v>
      </c>
      <c r="I150" s="227"/>
      <c r="J150" s="227"/>
      <c r="K150" s="227"/>
      <c r="L150" s="227"/>
      <c r="M150" s="227"/>
      <c r="N150" s="227"/>
      <c r="O150" s="227"/>
      <c r="P150" s="227"/>
      <c r="Q150" s="227"/>
      <c r="R150" s="227"/>
      <c r="S150" s="227"/>
      <c r="T150" s="805" cm="1" t="str">
        <f t="array" ref="T150:T150">T149</f>
        <v>true</v>
      </c>
      <c r="U150" s="227"/>
      <c r="V150" s="227"/>
      <c r="W150" s="227"/>
      <c r="X150" s="227"/>
      <c r="Y150" s="227"/>
      <c r="Z150" s="227"/>
      <c r="AA150" s="227"/>
      <c r="AB150" s="330" t="str">
        <f>H150&amp;" год"</f>
        <v>2044 год</v>
      </c>
      <c r="AC150" s="462"/>
      <c r="AD150" s="148"/>
      <c r="AE150" s="148"/>
      <c r="AF150" s="147"/>
      <c r="AG150" s="147"/>
      <c r="AH150" s="148"/>
      <c r="AI150" s="147"/>
      <c r="AJ150" s="147"/>
      <c r="AK150" s="149"/>
      <c r="AL150" s="227"/>
      <c r="AM150" s="227"/>
      <c r="AN150" s="1231" cm="1" t="str">
        <f t="array" ref="AN150:AN150">H150</f>
        <v>2044</v>
      </c>
    </row>
    <row s="2149" customFormat="1" customHeight="1" ht="16.5" hidden="1">
      <c r="A151" s="227"/>
      <c r="B151" s="952">
        <f>H151&lt;first_year+PERIOD_LENGTH</f>
        <v>0</v>
      </c>
      <c r="C151" s="227"/>
      <c r="D151" s="227"/>
      <c r="E151" s="794">
        <v>17.1</v>
      </c>
      <c r="F151" s="944" cm="1" t="str">
        <f t="array" ref="F151:F151">F150</f>
        <v>2</v>
      </c>
      <c r="G151" s="227"/>
      <c r="H151" s="225">
        <f>first_year+19</f>
        <v>2045</v>
      </c>
      <c r="I151" s="227"/>
      <c r="J151" s="227"/>
      <c r="K151" s="227"/>
      <c r="L151" s="227"/>
      <c r="M151" s="227"/>
      <c r="N151" s="227"/>
      <c r="O151" s="227"/>
      <c r="P151" s="227"/>
      <c r="Q151" s="227"/>
      <c r="R151" s="227"/>
      <c r="S151" s="227"/>
      <c r="T151" s="805" cm="1" t="str">
        <f t="array" ref="T151:T151">T150</f>
        <v>true</v>
      </c>
      <c r="U151" s="227"/>
      <c r="V151" s="227"/>
      <c r="W151" s="227"/>
      <c r="X151" s="227"/>
      <c r="Y151" s="227"/>
      <c r="Z151" s="227"/>
      <c r="AA151" s="227"/>
      <c r="AB151" s="330" t="str">
        <f>H151&amp;" год"</f>
        <v>2045 год</v>
      </c>
      <c r="AC151" s="462"/>
      <c r="AD151" s="148"/>
      <c r="AE151" s="148"/>
      <c r="AF151" s="147"/>
      <c r="AG151" s="147"/>
      <c r="AH151" s="148"/>
      <c r="AI151" s="147"/>
      <c r="AJ151" s="147"/>
      <c r="AK151" s="149"/>
      <c r="AL151" s="227"/>
      <c r="AM151" s="227"/>
      <c r="AN151" s="1231" cm="1" t="str">
        <f t="array" ref="AN151:AN151">H151</f>
        <v>2045</v>
      </c>
    </row>
    <row s="2150" customFormat="1" customHeight="1" ht="16.5" hidden="1">
      <c r="A152" s="227"/>
      <c r="B152" s="952">
        <f>H152&lt;first_year+PERIOD_LENGTH</f>
        <v>0</v>
      </c>
      <c r="C152" s="227"/>
      <c r="D152" s="227"/>
      <c r="E152" s="794">
        <v>17.1</v>
      </c>
      <c r="F152" s="944" cm="1" t="str">
        <f t="array" ref="F152:F152">F151</f>
        <v>2</v>
      </c>
      <c r="G152" s="227"/>
      <c r="H152" s="225">
        <f>first_year+20</f>
        <v>2046</v>
      </c>
      <c r="I152" s="227"/>
      <c r="J152" s="227"/>
      <c r="K152" s="227"/>
      <c r="L152" s="227"/>
      <c r="M152" s="227"/>
      <c r="N152" s="227"/>
      <c r="O152" s="227"/>
      <c r="P152" s="227"/>
      <c r="Q152" s="227"/>
      <c r="R152" s="227"/>
      <c r="S152" s="227"/>
      <c r="T152" s="805" cm="1" t="str">
        <f t="array" ref="T152:T152">T151</f>
        <v>true</v>
      </c>
      <c r="U152" s="227"/>
      <c r="V152" s="227"/>
      <c r="W152" s="227"/>
      <c r="X152" s="227"/>
      <c r="Y152" s="227"/>
      <c r="Z152" s="227"/>
      <c r="AA152" s="227"/>
      <c r="AB152" s="330" t="str">
        <f>H152&amp;" год"</f>
        <v>2046 год</v>
      </c>
      <c r="AC152" s="462"/>
      <c r="AD152" s="148"/>
      <c r="AE152" s="148"/>
      <c r="AF152" s="147"/>
      <c r="AG152" s="147"/>
      <c r="AH152" s="148"/>
      <c r="AI152" s="147"/>
      <c r="AJ152" s="147"/>
      <c r="AK152" s="149"/>
      <c r="AL152" s="227"/>
      <c r="AM152" s="227"/>
      <c r="AN152" s="1231" cm="1" t="str">
        <f t="array" ref="AN152:AN152">H152</f>
        <v>2046</v>
      </c>
    </row>
    <row s="2151" customFormat="1" customHeight="1" ht="16.5" hidden="1">
      <c r="A153" s="227"/>
      <c r="B153" s="952">
        <f>H153&lt;first_year+PERIOD_LENGTH</f>
        <v>0</v>
      </c>
      <c r="C153" s="227"/>
      <c r="D153" s="227"/>
      <c r="E153" s="794">
        <v>17.1</v>
      </c>
      <c r="F153" s="944" cm="1" t="str">
        <f t="array" ref="F153:F153">F152</f>
        <v>2</v>
      </c>
      <c r="G153" s="227"/>
      <c r="H153" s="225">
        <f>first_year+21</f>
        <v>2047</v>
      </c>
      <c r="I153" s="227"/>
      <c r="J153" s="227"/>
      <c r="K153" s="227"/>
      <c r="L153" s="227"/>
      <c r="M153" s="227"/>
      <c r="N153" s="227"/>
      <c r="O153" s="227"/>
      <c r="P153" s="227"/>
      <c r="Q153" s="227"/>
      <c r="R153" s="227"/>
      <c r="S153" s="227"/>
      <c r="T153" s="805" cm="1" t="str">
        <f t="array" ref="T153:T153">T152</f>
        <v>true</v>
      </c>
      <c r="U153" s="227"/>
      <c r="V153" s="227"/>
      <c r="W153" s="227"/>
      <c r="X153" s="227"/>
      <c r="Y153" s="227"/>
      <c r="Z153" s="227"/>
      <c r="AA153" s="227"/>
      <c r="AB153" s="330" t="str">
        <f>H153&amp;" год"</f>
        <v>2047 год</v>
      </c>
      <c r="AC153" s="462"/>
      <c r="AD153" s="148"/>
      <c r="AE153" s="148"/>
      <c r="AF153" s="147"/>
      <c r="AG153" s="147"/>
      <c r="AH153" s="148"/>
      <c r="AI153" s="147"/>
      <c r="AJ153" s="147"/>
      <c r="AK153" s="149"/>
      <c r="AL153" s="227"/>
      <c r="AM153" s="227"/>
      <c r="AN153" s="1231" cm="1" t="str">
        <f t="array" ref="AN153:AN153">H153</f>
        <v>2047</v>
      </c>
    </row>
    <row s="2152" customFormat="1" customHeight="1" ht="16.5" hidden="1">
      <c r="A154" s="227"/>
      <c r="B154" s="952">
        <f>H154&lt;first_year+PERIOD_LENGTH</f>
        <v>0</v>
      </c>
      <c r="C154" s="227"/>
      <c r="D154" s="227"/>
      <c r="E154" s="794">
        <v>17.1</v>
      </c>
      <c r="F154" s="944" cm="1" t="str">
        <f t="array" ref="F154:F154">F153</f>
        <v>2</v>
      </c>
      <c r="G154" s="227"/>
      <c r="H154" s="225">
        <f>first_year+22</f>
        <v>2048</v>
      </c>
      <c r="I154" s="227"/>
      <c r="J154" s="227"/>
      <c r="K154" s="227"/>
      <c r="L154" s="227"/>
      <c r="M154" s="227"/>
      <c r="N154" s="227"/>
      <c r="O154" s="227"/>
      <c r="P154" s="227"/>
      <c r="Q154" s="227"/>
      <c r="R154" s="227"/>
      <c r="S154" s="227"/>
      <c r="T154" s="805" cm="1" t="str">
        <f t="array" ref="T154:T154">T153</f>
        <v>true</v>
      </c>
      <c r="U154" s="227"/>
      <c r="V154" s="227"/>
      <c r="W154" s="227"/>
      <c r="X154" s="227"/>
      <c r="Y154" s="227"/>
      <c r="Z154" s="227"/>
      <c r="AA154" s="227"/>
      <c r="AB154" s="330" t="str">
        <f>H154&amp;" год"</f>
        <v>2048 год</v>
      </c>
      <c r="AC154" s="462"/>
      <c r="AD154" s="148"/>
      <c r="AE154" s="148"/>
      <c r="AF154" s="147"/>
      <c r="AG154" s="147"/>
      <c r="AH154" s="148"/>
      <c r="AI154" s="147"/>
      <c r="AJ154" s="147"/>
      <c r="AK154" s="149"/>
      <c r="AL154" s="227"/>
      <c r="AM154" s="227"/>
      <c r="AN154" s="1231" cm="1" t="str">
        <f t="array" ref="AN154:AN154">H154</f>
        <v>2048</v>
      </c>
    </row>
    <row s="2153" customFormat="1" customHeight="1" ht="16.5" hidden="1">
      <c r="A155" s="227"/>
      <c r="B155" s="952">
        <f>H155&lt;first_year+PERIOD_LENGTH</f>
        <v>0</v>
      </c>
      <c r="C155" s="227"/>
      <c r="D155" s="227"/>
      <c r="E155" s="794">
        <v>17.1</v>
      </c>
      <c r="F155" s="944" cm="1" t="str">
        <f t="array" ref="F155:F155">F154</f>
        <v>2</v>
      </c>
      <c r="G155" s="227"/>
      <c r="H155" s="225">
        <f>first_year+23</f>
        <v>2049</v>
      </c>
      <c r="I155" s="227"/>
      <c r="J155" s="227"/>
      <c r="K155" s="227"/>
      <c r="L155" s="227"/>
      <c r="M155" s="227"/>
      <c r="N155" s="227"/>
      <c r="O155" s="227"/>
      <c r="P155" s="227"/>
      <c r="Q155" s="227"/>
      <c r="R155" s="227"/>
      <c r="S155" s="227"/>
      <c r="T155" s="805" cm="1" t="str">
        <f t="array" ref="T155:T155">T154</f>
        <v>true</v>
      </c>
      <c r="U155" s="227"/>
      <c r="V155" s="227"/>
      <c r="W155" s="227"/>
      <c r="X155" s="227"/>
      <c r="Y155" s="227"/>
      <c r="Z155" s="227"/>
      <c r="AA155" s="227"/>
      <c r="AB155" s="330" t="str">
        <f>H155&amp;" год"</f>
        <v>2049 год</v>
      </c>
      <c r="AC155" s="462"/>
      <c r="AD155" s="148"/>
      <c r="AE155" s="148"/>
      <c r="AF155" s="147"/>
      <c r="AG155" s="147"/>
      <c r="AH155" s="148"/>
      <c r="AI155" s="147"/>
      <c r="AJ155" s="147"/>
      <c r="AK155" s="149"/>
      <c r="AL155" s="227"/>
      <c r="AM155" s="227"/>
      <c r="AN155" s="1231" cm="1" t="str">
        <f t="array" ref="AN155:AN155">H155</f>
        <v>2049</v>
      </c>
    </row>
    <row s="2154" customFormat="1" customHeight="1" ht="16.5" hidden="1">
      <c r="A156" s="227"/>
      <c r="B156" s="952">
        <f>H156&lt;first_year+PERIOD_LENGTH</f>
        <v>0</v>
      </c>
      <c r="C156" s="227"/>
      <c r="D156" s="227"/>
      <c r="E156" s="794">
        <v>17.1</v>
      </c>
      <c r="F156" s="944" cm="1" t="str">
        <f t="array" ref="F156:F156">F155</f>
        <v>2</v>
      </c>
      <c r="G156" s="227"/>
      <c r="H156" s="225">
        <f>first_year+24</f>
        <v>2050</v>
      </c>
      <c r="I156" s="227"/>
      <c r="J156" s="227"/>
      <c r="K156" s="227"/>
      <c r="L156" s="227"/>
      <c r="M156" s="227"/>
      <c r="N156" s="227"/>
      <c r="O156" s="227"/>
      <c r="P156" s="227"/>
      <c r="Q156" s="227"/>
      <c r="R156" s="227"/>
      <c r="S156" s="227"/>
      <c r="T156" s="805" cm="1" t="str">
        <f t="array" ref="T156:T156">T155</f>
        <v>true</v>
      </c>
      <c r="U156" s="227"/>
      <c r="V156" s="227"/>
      <c r="W156" s="227"/>
      <c r="X156" s="227"/>
      <c r="Y156" s="227"/>
      <c r="Z156" s="227"/>
      <c r="AA156" s="227"/>
      <c r="AB156" s="330" t="str">
        <f>H156&amp;" год"</f>
        <v>2050 год</v>
      </c>
      <c r="AC156" s="462"/>
      <c r="AD156" s="148"/>
      <c r="AE156" s="148"/>
      <c r="AF156" s="147"/>
      <c r="AG156" s="147"/>
      <c r="AH156" s="148"/>
      <c r="AI156" s="147"/>
      <c r="AJ156" s="147"/>
      <c r="AK156" s="149"/>
      <c r="AL156" s="227"/>
      <c r="AM156" s="227"/>
      <c r="AN156" s="1231" cm="1" t="str">
        <f t="array" ref="AN156:AN156">H156</f>
        <v>2050</v>
      </c>
    </row>
    <row s="2155" customFormat="1" customHeight="1" ht="16.5" hidden="1">
      <c r="A157" s="227"/>
      <c r="B157" s="952">
        <f>H157&lt;first_year+PERIOD_LENGTH</f>
        <v>0</v>
      </c>
      <c r="C157" s="227"/>
      <c r="D157" s="227"/>
      <c r="E157" s="794">
        <v>17.1</v>
      </c>
      <c r="F157" s="944" cm="1" t="str">
        <f t="array" ref="F157:F157">F156</f>
        <v>2</v>
      </c>
      <c r="G157" s="227"/>
      <c r="H157" s="225">
        <f>first_year+25</f>
        <v>2051</v>
      </c>
      <c r="I157" s="227"/>
      <c r="J157" s="227"/>
      <c r="K157" s="227"/>
      <c r="L157" s="227"/>
      <c r="M157" s="227"/>
      <c r="N157" s="227"/>
      <c r="O157" s="227"/>
      <c r="P157" s="227"/>
      <c r="Q157" s="227"/>
      <c r="R157" s="227"/>
      <c r="S157" s="227"/>
      <c r="T157" s="805" cm="1" t="str">
        <f t="array" ref="T157:T157">T156</f>
        <v>true</v>
      </c>
      <c r="U157" s="227"/>
      <c r="V157" s="227"/>
      <c r="W157" s="227"/>
      <c r="X157" s="227"/>
      <c r="Y157" s="227"/>
      <c r="Z157" s="227"/>
      <c r="AA157" s="227"/>
      <c r="AB157" s="330" t="str">
        <f>H157&amp;" год"</f>
        <v>2051 год</v>
      </c>
      <c r="AC157" s="462"/>
      <c r="AD157" s="148"/>
      <c r="AE157" s="148"/>
      <c r="AF157" s="147"/>
      <c r="AG157" s="147"/>
      <c r="AH157" s="148"/>
      <c r="AI157" s="147"/>
      <c r="AJ157" s="147"/>
      <c r="AK157" s="149"/>
      <c r="AL157" s="227"/>
      <c r="AM157" s="227"/>
      <c r="AN157" s="1231" cm="1" t="str">
        <f t="array" ref="AN157:AN157">H157</f>
        <v>2051</v>
      </c>
    </row>
    <row s="2156" customFormat="1" customHeight="1" ht="16.5" hidden="1">
      <c r="A158" s="227"/>
      <c r="B158" s="952">
        <f>H158&lt;first_year+PERIOD_LENGTH</f>
        <v>0</v>
      </c>
      <c r="C158" s="227"/>
      <c r="D158" s="227"/>
      <c r="E158" s="794">
        <v>17.1</v>
      </c>
      <c r="F158" s="944" cm="1" t="str">
        <f t="array" ref="F158:F158">F157</f>
        <v>2</v>
      </c>
      <c r="G158" s="227"/>
      <c r="H158" s="225">
        <f>first_year+26</f>
        <v>2052</v>
      </c>
      <c r="I158" s="227"/>
      <c r="J158" s="227"/>
      <c r="K158" s="227"/>
      <c r="L158" s="227"/>
      <c r="M158" s="227"/>
      <c r="N158" s="227"/>
      <c r="O158" s="227"/>
      <c r="P158" s="227"/>
      <c r="Q158" s="227"/>
      <c r="R158" s="227"/>
      <c r="S158" s="227"/>
      <c r="T158" s="805" cm="1" t="str">
        <f t="array" ref="T158:T158">T157</f>
        <v>true</v>
      </c>
      <c r="U158" s="227"/>
      <c r="V158" s="227"/>
      <c r="W158" s="227"/>
      <c r="X158" s="227"/>
      <c r="Y158" s="227"/>
      <c r="Z158" s="227"/>
      <c r="AA158" s="227"/>
      <c r="AB158" s="330" t="str">
        <f>H158&amp;" год"</f>
        <v>2052 год</v>
      </c>
      <c r="AC158" s="462"/>
      <c r="AD158" s="148"/>
      <c r="AE158" s="148"/>
      <c r="AF158" s="147"/>
      <c r="AG158" s="147"/>
      <c r="AH158" s="148"/>
      <c r="AI158" s="147"/>
      <c r="AJ158" s="147"/>
      <c r="AK158" s="149"/>
      <c r="AL158" s="227"/>
      <c r="AM158" s="227"/>
      <c r="AN158" s="1231" cm="1" t="str">
        <f t="array" ref="AN158:AN158">H158</f>
        <v>2052</v>
      </c>
    </row>
    <row s="2157" customFormat="1" customHeight="1" ht="16.5" hidden="1">
      <c r="A159" s="227"/>
      <c r="B159" s="952">
        <f>H159&lt;first_year+PERIOD_LENGTH</f>
        <v>0</v>
      </c>
      <c r="C159" s="227"/>
      <c r="D159" s="227"/>
      <c r="E159" s="794">
        <v>17.1</v>
      </c>
      <c r="F159" s="944" cm="1" t="str">
        <f t="array" ref="F159:F159">F158</f>
        <v>2</v>
      </c>
      <c r="G159" s="227"/>
      <c r="H159" s="225">
        <f>first_year+27</f>
        <v>2053</v>
      </c>
      <c r="I159" s="227"/>
      <c r="J159" s="227"/>
      <c r="K159" s="227"/>
      <c r="L159" s="227"/>
      <c r="M159" s="227"/>
      <c r="N159" s="227"/>
      <c r="O159" s="227"/>
      <c r="P159" s="227"/>
      <c r="Q159" s="227"/>
      <c r="R159" s="227"/>
      <c r="S159" s="227"/>
      <c r="T159" s="805" cm="1" t="str">
        <f t="array" ref="T159:T159">T158</f>
        <v>true</v>
      </c>
      <c r="U159" s="227"/>
      <c r="V159" s="227"/>
      <c r="W159" s="227"/>
      <c r="X159" s="227"/>
      <c r="Y159" s="227"/>
      <c r="Z159" s="227"/>
      <c r="AA159" s="227"/>
      <c r="AB159" s="330" t="str">
        <f>H159&amp;" год"</f>
        <v>2053 год</v>
      </c>
      <c r="AC159" s="462"/>
      <c r="AD159" s="148"/>
      <c r="AE159" s="148"/>
      <c r="AF159" s="147"/>
      <c r="AG159" s="147"/>
      <c r="AH159" s="148"/>
      <c r="AI159" s="147"/>
      <c r="AJ159" s="147"/>
      <c r="AK159" s="149"/>
      <c r="AL159" s="227"/>
      <c r="AM159" s="227"/>
      <c r="AN159" s="1231" cm="1" t="str">
        <f t="array" ref="AN159:AN159">H159</f>
        <v>2053</v>
      </c>
    </row>
    <row s="2158" customFormat="1" customHeight="1" ht="16.5" hidden="1">
      <c r="A160" s="227"/>
      <c r="B160" s="952">
        <f>H160&lt;first_year+PERIOD_LENGTH</f>
        <v>0</v>
      </c>
      <c r="C160" s="227"/>
      <c r="D160" s="227"/>
      <c r="E160" s="794">
        <v>17.1</v>
      </c>
      <c r="F160" s="944" cm="1" t="str">
        <f t="array" ref="F160:F160">F159</f>
        <v>2</v>
      </c>
      <c r="G160" s="227"/>
      <c r="H160" s="225">
        <f>first_year+28</f>
        <v>2054</v>
      </c>
      <c r="I160" s="227"/>
      <c r="J160" s="227"/>
      <c r="K160" s="227"/>
      <c r="L160" s="227"/>
      <c r="M160" s="227"/>
      <c r="N160" s="227"/>
      <c r="O160" s="227"/>
      <c r="P160" s="227"/>
      <c r="Q160" s="227"/>
      <c r="R160" s="227"/>
      <c r="S160" s="227"/>
      <c r="T160" s="805" cm="1" t="str">
        <f t="array" ref="T160:T160">T159</f>
        <v>true</v>
      </c>
      <c r="U160" s="227"/>
      <c r="V160" s="227"/>
      <c r="W160" s="227"/>
      <c r="X160" s="227"/>
      <c r="Y160" s="227"/>
      <c r="Z160" s="227"/>
      <c r="AA160" s="227"/>
      <c r="AB160" s="330" t="str">
        <f>H160&amp;" год"</f>
        <v>2054 год</v>
      </c>
      <c r="AC160" s="462"/>
      <c r="AD160" s="148"/>
      <c r="AE160" s="148"/>
      <c r="AF160" s="147"/>
      <c r="AG160" s="147"/>
      <c r="AH160" s="148"/>
      <c r="AI160" s="147"/>
      <c r="AJ160" s="147"/>
      <c r="AK160" s="149"/>
      <c r="AL160" s="227"/>
      <c r="AM160" s="227"/>
      <c r="AN160" s="1231" cm="1" t="str">
        <f t="array" ref="AN160:AN160">H160</f>
        <v>2054</v>
      </c>
    </row>
    <row s="2159" customFormat="1" customHeight="1" ht="16.5" hidden="1">
      <c r="A161" s="227"/>
      <c r="B161" s="952">
        <f>H161&lt;first_year+PERIOD_LENGTH</f>
        <v>0</v>
      </c>
      <c r="C161" s="227"/>
      <c r="D161" s="227"/>
      <c r="E161" s="794">
        <v>17.1</v>
      </c>
      <c r="F161" s="944" cm="1" t="str">
        <f t="array" ref="F161:F161">F160</f>
        <v>2</v>
      </c>
      <c r="G161" s="227"/>
      <c r="H161" s="225">
        <f>first_year+29</f>
        <v>2055</v>
      </c>
      <c r="I161" s="227"/>
      <c r="J161" s="227"/>
      <c r="K161" s="227"/>
      <c r="L161" s="227"/>
      <c r="M161" s="227"/>
      <c r="N161" s="227"/>
      <c r="O161" s="227"/>
      <c r="P161" s="227"/>
      <c r="Q161" s="227"/>
      <c r="R161" s="227"/>
      <c r="S161" s="227"/>
      <c r="T161" s="805" cm="1" t="str">
        <f t="array" ref="T161:T161">T160</f>
        <v>true</v>
      </c>
      <c r="U161" s="227"/>
      <c r="V161" s="227"/>
      <c r="W161" s="227"/>
      <c r="X161" s="227"/>
      <c r="Y161" s="227"/>
      <c r="Z161" s="227"/>
      <c r="AA161" s="227"/>
      <c r="AB161" s="330" t="str">
        <f>H161&amp;" год"</f>
        <v>2055 год</v>
      </c>
      <c r="AC161" s="462"/>
      <c r="AD161" s="148"/>
      <c r="AE161" s="148"/>
      <c r="AF161" s="147"/>
      <c r="AG161" s="147"/>
      <c r="AH161" s="148"/>
      <c r="AI161" s="147"/>
      <c r="AJ161" s="147"/>
      <c r="AK161" s="149"/>
      <c r="AL161" s="227"/>
      <c r="AM161" s="227"/>
      <c r="AN161" s="1231" cm="1" t="str">
        <f t="array" ref="AN161:AN161">H161</f>
        <v>2055</v>
      </c>
    </row>
    <row s="2160" customFormat="1" customHeight="1" ht="16.5" hidden="1">
      <c r="A162" s="227"/>
      <c r="B162" s="952">
        <f>H162&lt;first_year+PERIOD_LENGTH</f>
        <v>0</v>
      </c>
      <c r="C162" s="227"/>
      <c r="D162" s="227"/>
      <c r="E162" s="794">
        <v>17.1</v>
      </c>
      <c r="F162" s="944" cm="1" t="str">
        <f t="array" ref="F162:F162">F161</f>
        <v>2</v>
      </c>
      <c r="G162" s="227"/>
      <c r="H162" s="225">
        <f>first_year+30</f>
        <v>2056</v>
      </c>
      <c r="I162" s="227"/>
      <c r="J162" s="227"/>
      <c r="K162" s="227"/>
      <c r="L162" s="227"/>
      <c r="M162" s="227"/>
      <c r="N162" s="227"/>
      <c r="O162" s="227"/>
      <c r="P162" s="227"/>
      <c r="Q162" s="227"/>
      <c r="R162" s="227"/>
      <c r="S162" s="227"/>
      <c r="T162" s="805" cm="1" t="str">
        <f t="array" ref="T162:T162">T161</f>
        <v>true</v>
      </c>
      <c r="U162" s="227"/>
      <c r="V162" s="227"/>
      <c r="W162" s="227"/>
      <c r="X162" s="227"/>
      <c r="Y162" s="227"/>
      <c r="Z162" s="227"/>
      <c r="AA162" s="227"/>
      <c r="AB162" s="330" t="str">
        <f>H162&amp;" год"</f>
        <v>2056 год</v>
      </c>
      <c r="AC162" s="462"/>
      <c r="AD162" s="148"/>
      <c r="AE162" s="148"/>
      <c r="AF162" s="147"/>
      <c r="AG162" s="147"/>
      <c r="AH162" s="148"/>
      <c r="AI162" s="147"/>
      <c r="AJ162" s="147"/>
      <c r="AK162" s="149"/>
      <c r="AL162" s="227"/>
      <c r="AM162" s="227"/>
      <c r="AN162" s="1231" cm="1" t="str">
        <f t="array" ref="AN162:AN162">H162</f>
        <v>2056</v>
      </c>
    </row>
    <row s="2161" customFormat="1" customHeight="1" ht="16.5" hidden="1">
      <c r="A163" s="227"/>
      <c r="B163" s="952">
        <f>H163&lt;first_year+PERIOD_LENGTH</f>
        <v>0</v>
      </c>
      <c r="C163" s="227"/>
      <c r="D163" s="227"/>
      <c r="E163" s="794">
        <v>17.1</v>
      </c>
      <c r="F163" s="944" cm="1" t="str">
        <f t="array" ref="F163:F163">F162</f>
        <v>2</v>
      </c>
      <c r="G163" s="227"/>
      <c r="H163" s="225">
        <f>first_year+31</f>
        <v>2057</v>
      </c>
      <c r="I163" s="227"/>
      <c r="J163" s="227"/>
      <c r="K163" s="227"/>
      <c r="L163" s="227"/>
      <c r="M163" s="227"/>
      <c r="N163" s="227"/>
      <c r="O163" s="227"/>
      <c r="P163" s="227"/>
      <c r="Q163" s="227"/>
      <c r="R163" s="227"/>
      <c r="S163" s="227"/>
      <c r="T163" s="805" cm="1" t="str">
        <f t="array" ref="T163:T163">T162</f>
        <v>true</v>
      </c>
      <c r="U163" s="227"/>
      <c r="V163" s="227"/>
      <c r="W163" s="227"/>
      <c r="X163" s="227"/>
      <c r="Y163" s="227"/>
      <c r="Z163" s="227"/>
      <c r="AA163" s="227"/>
      <c r="AB163" s="330" t="str">
        <f>H163&amp;" год"</f>
        <v>2057 год</v>
      </c>
      <c r="AC163" s="462"/>
      <c r="AD163" s="148"/>
      <c r="AE163" s="148"/>
      <c r="AF163" s="147"/>
      <c r="AG163" s="147"/>
      <c r="AH163" s="148"/>
      <c r="AI163" s="147"/>
      <c r="AJ163" s="147"/>
      <c r="AK163" s="149"/>
      <c r="AL163" s="227"/>
      <c r="AM163" s="227"/>
      <c r="AN163" s="1231" cm="1" t="str">
        <f t="array" ref="AN163:AN163">H163</f>
        <v>2057</v>
      </c>
    </row>
    <row s="2162" customFormat="1" customHeight="1" ht="16.5" hidden="1">
      <c r="A164" s="227"/>
      <c r="B164" s="952">
        <f>H164&lt;first_year+PERIOD_LENGTH</f>
        <v>0</v>
      </c>
      <c r="C164" s="227"/>
      <c r="D164" s="227"/>
      <c r="E164" s="794">
        <v>17.1</v>
      </c>
      <c r="F164" s="944" cm="1" t="str">
        <f t="array" ref="F164:F164">F163</f>
        <v>2</v>
      </c>
      <c r="G164" s="227"/>
      <c r="H164" s="225">
        <f>first_year+32</f>
        <v>2058</v>
      </c>
      <c r="I164" s="227"/>
      <c r="J164" s="227"/>
      <c r="K164" s="227"/>
      <c r="L164" s="227"/>
      <c r="M164" s="227"/>
      <c r="N164" s="227"/>
      <c r="O164" s="227"/>
      <c r="P164" s="227"/>
      <c r="Q164" s="227"/>
      <c r="R164" s="227"/>
      <c r="S164" s="227"/>
      <c r="T164" s="805" cm="1" t="str">
        <f t="array" ref="T164:T164">T163</f>
        <v>true</v>
      </c>
      <c r="U164" s="227"/>
      <c r="V164" s="227"/>
      <c r="W164" s="227"/>
      <c r="X164" s="227"/>
      <c r="Y164" s="227"/>
      <c r="Z164" s="227"/>
      <c r="AA164" s="227"/>
      <c r="AB164" s="330" t="str">
        <f>H164&amp;" год"</f>
        <v>2058 год</v>
      </c>
      <c r="AC164" s="462"/>
      <c r="AD164" s="148"/>
      <c r="AE164" s="148"/>
      <c r="AF164" s="147"/>
      <c r="AG164" s="147"/>
      <c r="AH164" s="148"/>
      <c r="AI164" s="147"/>
      <c r="AJ164" s="147"/>
      <c r="AK164" s="149"/>
      <c r="AL164" s="227"/>
      <c r="AM164" s="227"/>
      <c r="AN164" s="1231" cm="1" t="str">
        <f t="array" ref="AN164:AN164">H164</f>
        <v>2058</v>
      </c>
    </row>
    <row s="2163" customFormat="1" customHeight="1" ht="16.5" hidden="1">
      <c r="A165" s="227"/>
      <c r="B165" s="952">
        <f>H165&lt;first_year+PERIOD_LENGTH</f>
        <v>0</v>
      </c>
      <c r="C165" s="227"/>
      <c r="D165" s="227"/>
      <c r="E165" s="794">
        <v>17.1</v>
      </c>
      <c r="F165" s="944" cm="1" t="str">
        <f t="array" ref="F165:F165">F164</f>
        <v>2</v>
      </c>
      <c r="G165" s="227"/>
      <c r="H165" s="225">
        <f>first_year+33</f>
        <v>2059</v>
      </c>
      <c r="I165" s="227"/>
      <c r="J165" s="227"/>
      <c r="K165" s="227"/>
      <c r="L165" s="227"/>
      <c r="M165" s="227"/>
      <c r="N165" s="227"/>
      <c r="O165" s="227"/>
      <c r="P165" s="227"/>
      <c r="Q165" s="227"/>
      <c r="R165" s="227"/>
      <c r="S165" s="227"/>
      <c r="T165" s="805" cm="1" t="str">
        <f t="array" ref="T165:T165">T164</f>
        <v>true</v>
      </c>
      <c r="U165" s="227"/>
      <c r="V165" s="227"/>
      <c r="W165" s="227"/>
      <c r="X165" s="227"/>
      <c r="Y165" s="227"/>
      <c r="Z165" s="227"/>
      <c r="AA165" s="227"/>
      <c r="AB165" s="330" t="str">
        <f>H165&amp;" год"</f>
        <v>2059 год</v>
      </c>
      <c r="AC165" s="462"/>
      <c r="AD165" s="148"/>
      <c r="AE165" s="148"/>
      <c r="AF165" s="147"/>
      <c r="AG165" s="147"/>
      <c r="AH165" s="148"/>
      <c r="AI165" s="147"/>
      <c r="AJ165" s="147"/>
      <c r="AK165" s="149"/>
      <c r="AL165" s="227"/>
      <c r="AM165" s="227"/>
      <c r="AN165" s="1231" cm="1" t="str">
        <f t="array" ref="AN165:AN165">H165</f>
        <v>2059</v>
      </c>
    </row>
    <row s="2164" customFormat="1" customHeight="1" ht="16.5" hidden="1">
      <c r="A166" s="227"/>
      <c r="B166" s="952">
        <f>H166&lt;first_year+PERIOD_LENGTH</f>
        <v>0</v>
      </c>
      <c r="C166" s="227"/>
      <c r="D166" s="227"/>
      <c r="E166" s="794">
        <v>17.1</v>
      </c>
      <c r="F166" s="944" cm="1" t="str">
        <f t="array" ref="F166:F166">F165</f>
        <v>2</v>
      </c>
      <c r="G166" s="227"/>
      <c r="H166" s="225">
        <f>first_year+34</f>
        <v>2060</v>
      </c>
      <c r="I166" s="227"/>
      <c r="J166" s="227"/>
      <c r="K166" s="227"/>
      <c r="L166" s="227"/>
      <c r="M166" s="227"/>
      <c r="N166" s="227"/>
      <c r="O166" s="227"/>
      <c r="P166" s="227"/>
      <c r="Q166" s="227"/>
      <c r="R166" s="227"/>
      <c r="S166" s="227"/>
      <c r="T166" s="805" cm="1" t="str">
        <f t="array" ref="T166:T166">T165</f>
        <v>true</v>
      </c>
      <c r="U166" s="227"/>
      <c r="V166" s="227"/>
      <c r="W166" s="227"/>
      <c r="X166" s="227"/>
      <c r="Y166" s="227"/>
      <c r="Z166" s="227"/>
      <c r="AA166" s="227"/>
      <c r="AB166" s="330" t="str">
        <f>H166&amp;" год"</f>
        <v>2060 год</v>
      </c>
      <c r="AC166" s="462"/>
      <c r="AD166" s="148"/>
      <c r="AE166" s="148"/>
      <c r="AF166" s="147"/>
      <c r="AG166" s="147"/>
      <c r="AH166" s="148"/>
      <c r="AI166" s="147"/>
      <c r="AJ166" s="147"/>
      <c r="AK166" s="149"/>
      <c r="AL166" s="227"/>
      <c r="AM166" s="227"/>
      <c r="AN166" s="1231" cm="1" t="str">
        <f t="array" ref="AN166:AN166">H166</f>
        <v>2060</v>
      </c>
    </row>
    <row s="2165" customFormat="1" customHeight="1" ht="16.5" hidden="1">
      <c r="A167" s="227"/>
      <c r="B167" s="952">
        <f>H167&lt;first_year+PERIOD_LENGTH</f>
        <v>0</v>
      </c>
      <c r="C167" s="227"/>
      <c r="D167" s="227"/>
      <c r="E167" s="794">
        <v>17.1</v>
      </c>
      <c r="F167" s="944" cm="1" t="str">
        <f t="array" ref="F167:F167">F166</f>
        <v>2</v>
      </c>
      <c r="G167" s="227"/>
      <c r="H167" s="225">
        <f>first_year+35</f>
        <v>2061</v>
      </c>
      <c r="I167" s="227"/>
      <c r="J167" s="227"/>
      <c r="K167" s="227"/>
      <c r="L167" s="227"/>
      <c r="M167" s="227"/>
      <c r="N167" s="227"/>
      <c r="O167" s="227"/>
      <c r="P167" s="227"/>
      <c r="Q167" s="227"/>
      <c r="R167" s="227"/>
      <c r="S167" s="227"/>
      <c r="T167" s="805" cm="1" t="str">
        <f t="array" ref="T167:T167">T166</f>
        <v>true</v>
      </c>
      <c r="U167" s="227"/>
      <c r="V167" s="227"/>
      <c r="W167" s="227"/>
      <c r="X167" s="227"/>
      <c r="Y167" s="227"/>
      <c r="Z167" s="227"/>
      <c r="AA167" s="227"/>
      <c r="AB167" s="330" t="str">
        <f>H167&amp;" год"</f>
        <v>2061 год</v>
      </c>
      <c r="AC167" s="462"/>
      <c r="AD167" s="148"/>
      <c r="AE167" s="148"/>
      <c r="AF167" s="147"/>
      <c r="AG167" s="147"/>
      <c r="AH167" s="148"/>
      <c r="AI167" s="147"/>
      <c r="AJ167" s="147"/>
      <c r="AK167" s="149"/>
      <c r="AL167" s="227"/>
      <c r="AM167" s="227"/>
      <c r="AN167" s="1231" cm="1" t="str">
        <f t="array" ref="AN167:AN167">H167</f>
        <v>2061</v>
      </c>
    </row>
    <row s="2166" customFormat="1" customHeight="1" ht="16.5" hidden="1">
      <c r="A168" s="227"/>
      <c r="B168" s="952">
        <f>H168&lt;first_year+PERIOD_LENGTH</f>
        <v>0</v>
      </c>
      <c r="C168" s="227"/>
      <c r="D168" s="227"/>
      <c r="E168" s="794">
        <v>17.1</v>
      </c>
      <c r="F168" s="944" cm="1" t="str">
        <f t="array" ref="F168:F168">F167</f>
        <v>2</v>
      </c>
      <c r="G168" s="227"/>
      <c r="H168" s="225">
        <f>first_year+36</f>
        <v>2062</v>
      </c>
      <c r="I168" s="227"/>
      <c r="J168" s="227"/>
      <c r="K168" s="227"/>
      <c r="L168" s="227"/>
      <c r="M168" s="227"/>
      <c r="N168" s="227"/>
      <c r="O168" s="227"/>
      <c r="P168" s="227"/>
      <c r="Q168" s="227"/>
      <c r="R168" s="227"/>
      <c r="S168" s="227"/>
      <c r="T168" s="805" cm="1" t="str">
        <f t="array" ref="T168:T168">T167</f>
        <v>true</v>
      </c>
      <c r="U168" s="227"/>
      <c r="V168" s="227"/>
      <c r="W168" s="227"/>
      <c r="X168" s="227"/>
      <c r="Y168" s="227"/>
      <c r="Z168" s="227"/>
      <c r="AA168" s="227"/>
      <c r="AB168" s="330" t="str">
        <f>H168&amp;" год"</f>
        <v>2062 год</v>
      </c>
      <c r="AC168" s="462"/>
      <c r="AD168" s="148"/>
      <c r="AE168" s="148"/>
      <c r="AF168" s="147"/>
      <c r="AG168" s="147"/>
      <c r="AH168" s="148"/>
      <c r="AI168" s="147"/>
      <c r="AJ168" s="147"/>
      <c r="AK168" s="149"/>
      <c r="AL168" s="227"/>
      <c r="AM168" s="227"/>
      <c r="AN168" s="1231" cm="1" t="str">
        <f t="array" ref="AN168:AN168">H168</f>
        <v>2062</v>
      </c>
    </row>
    <row s="2167" customFormat="1" customHeight="1" ht="16.5" hidden="1">
      <c r="A169" s="227"/>
      <c r="B169" s="952">
        <f>H169&lt;first_year+PERIOD_LENGTH</f>
        <v>0</v>
      </c>
      <c r="C169" s="227"/>
      <c r="D169" s="227"/>
      <c r="E169" s="794">
        <v>17.1</v>
      </c>
      <c r="F169" s="944" cm="1" t="str">
        <f t="array" ref="F169:F169">F168</f>
        <v>2</v>
      </c>
      <c r="G169" s="227"/>
      <c r="H169" s="225">
        <f>first_year+37</f>
        <v>2063</v>
      </c>
      <c r="I169" s="227"/>
      <c r="J169" s="227"/>
      <c r="K169" s="227"/>
      <c r="L169" s="227"/>
      <c r="M169" s="227"/>
      <c r="N169" s="227"/>
      <c r="O169" s="227"/>
      <c r="P169" s="227"/>
      <c r="Q169" s="227"/>
      <c r="R169" s="227"/>
      <c r="S169" s="227"/>
      <c r="T169" s="805" cm="1" t="str">
        <f t="array" ref="T169:T169">T168</f>
        <v>true</v>
      </c>
      <c r="U169" s="227"/>
      <c r="V169" s="227"/>
      <c r="W169" s="227"/>
      <c r="X169" s="227"/>
      <c r="Y169" s="227"/>
      <c r="Z169" s="227"/>
      <c r="AA169" s="227"/>
      <c r="AB169" s="330" t="str">
        <f>H169&amp;" год"</f>
        <v>2063 год</v>
      </c>
      <c r="AC169" s="462"/>
      <c r="AD169" s="148"/>
      <c r="AE169" s="148"/>
      <c r="AF169" s="147"/>
      <c r="AG169" s="147"/>
      <c r="AH169" s="148"/>
      <c r="AI169" s="147"/>
      <c r="AJ169" s="147"/>
      <c r="AK169" s="149"/>
      <c r="AL169" s="227"/>
      <c r="AM169" s="227"/>
      <c r="AN169" s="1231" cm="1" t="str">
        <f t="array" ref="AN169:AN169">H169</f>
        <v>2063</v>
      </c>
    </row>
    <row s="2168" customFormat="1" customHeight="1" ht="16.5" hidden="1">
      <c r="A170" s="227"/>
      <c r="B170" s="952">
        <f>H170&lt;first_year+PERIOD_LENGTH</f>
        <v>0</v>
      </c>
      <c r="C170" s="227"/>
      <c r="D170" s="227"/>
      <c r="E170" s="794">
        <v>17.1</v>
      </c>
      <c r="F170" s="944" cm="1" t="str">
        <f t="array" ref="F170:F170">F169</f>
        <v>2</v>
      </c>
      <c r="G170" s="227"/>
      <c r="H170" s="225">
        <f>first_year+38</f>
        <v>2064</v>
      </c>
      <c r="I170" s="227"/>
      <c r="J170" s="227"/>
      <c r="K170" s="227"/>
      <c r="L170" s="227"/>
      <c r="M170" s="227"/>
      <c r="N170" s="227"/>
      <c r="O170" s="227"/>
      <c r="P170" s="227"/>
      <c r="Q170" s="227"/>
      <c r="R170" s="227"/>
      <c r="S170" s="227"/>
      <c r="T170" s="805" cm="1" t="str">
        <f t="array" ref="T170:T170">T169</f>
        <v>true</v>
      </c>
      <c r="U170" s="227"/>
      <c r="V170" s="227"/>
      <c r="W170" s="227"/>
      <c r="X170" s="227"/>
      <c r="Y170" s="227"/>
      <c r="Z170" s="227"/>
      <c r="AA170" s="227"/>
      <c r="AB170" s="330" t="str">
        <f>H170&amp;" год"</f>
        <v>2064 год</v>
      </c>
      <c r="AC170" s="462"/>
      <c r="AD170" s="148"/>
      <c r="AE170" s="148"/>
      <c r="AF170" s="147"/>
      <c r="AG170" s="147"/>
      <c r="AH170" s="148"/>
      <c r="AI170" s="147"/>
      <c r="AJ170" s="147"/>
      <c r="AK170" s="149"/>
      <c r="AL170" s="227"/>
      <c r="AM170" s="227"/>
      <c r="AN170" s="1231" cm="1" t="str">
        <f t="array" ref="AN170:AN170">H170</f>
        <v>2064</v>
      </c>
    </row>
    <row s="2169" customFormat="1" customHeight="1" ht="16.5" hidden="1">
      <c r="A171" s="227"/>
      <c r="B171" s="952">
        <f>H171&lt;first_year+PERIOD_LENGTH</f>
        <v>0</v>
      </c>
      <c r="C171" s="227"/>
      <c r="D171" s="227"/>
      <c r="E171" s="794">
        <v>17.1</v>
      </c>
      <c r="F171" s="944" cm="1" t="str">
        <f t="array" ref="F171:F171">F170</f>
        <v>2</v>
      </c>
      <c r="G171" s="227"/>
      <c r="H171" s="225">
        <f>first_year+39</f>
        <v>2065</v>
      </c>
      <c r="I171" s="227"/>
      <c r="J171" s="227"/>
      <c r="K171" s="227"/>
      <c r="L171" s="227"/>
      <c r="M171" s="227"/>
      <c r="N171" s="227"/>
      <c r="O171" s="227"/>
      <c r="P171" s="227"/>
      <c r="Q171" s="227"/>
      <c r="R171" s="227"/>
      <c r="S171" s="227"/>
      <c r="T171" s="805" cm="1" t="str">
        <f t="array" ref="T171:T171">T170</f>
        <v>true</v>
      </c>
      <c r="U171" s="227"/>
      <c r="V171" s="227"/>
      <c r="W171" s="227"/>
      <c r="X171" s="227"/>
      <c r="Y171" s="227"/>
      <c r="Z171" s="227"/>
      <c r="AA171" s="227"/>
      <c r="AB171" s="330" t="str">
        <f>H171&amp;" год"</f>
        <v>2065 год</v>
      </c>
      <c r="AC171" s="462"/>
      <c r="AD171" s="148"/>
      <c r="AE171" s="148"/>
      <c r="AF171" s="147"/>
      <c r="AG171" s="147"/>
      <c r="AH171" s="148"/>
      <c r="AI171" s="147"/>
      <c r="AJ171" s="147"/>
      <c r="AK171" s="149"/>
      <c r="AL171" s="227"/>
      <c r="AM171" s="227"/>
      <c r="AN171" s="1231" cm="1" t="str">
        <f t="array" ref="AN171:AN171">H171</f>
        <v>2065</v>
      </c>
    </row>
    <row s="2170" customFormat="1" customHeight="1" ht="16.5" hidden="1">
      <c r="A172" s="227"/>
      <c r="B172" s="952">
        <f>H172&lt;first_year+PERIOD_LENGTH</f>
        <v>0</v>
      </c>
      <c r="C172" s="227"/>
      <c r="D172" s="227"/>
      <c r="E172" s="794">
        <v>17.1</v>
      </c>
      <c r="F172" s="944" cm="1" t="str">
        <f t="array" ref="F172:F172">F171</f>
        <v>2</v>
      </c>
      <c r="G172" s="227"/>
      <c r="H172" s="225">
        <f>first_year+40</f>
        <v>2066</v>
      </c>
      <c r="I172" s="227"/>
      <c r="J172" s="227"/>
      <c r="K172" s="227"/>
      <c r="L172" s="227"/>
      <c r="M172" s="227"/>
      <c r="N172" s="227"/>
      <c r="O172" s="227"/>
      <c r="P172" s="227"/>
      <c r="Q172" s="227"/>
      <c r="R172" s="227"/>
      <c r="S172" s="227"/>
      <c r="T172" s="805" cm="1" t="str">
        <f t="array" ref="T172:T172">T171</f>
        <v>true</v>
      </c>
      <c r="U172" s="227"/>
      <c r="V172" s="227"/>
      <c r="W172" s="227"/>
      <c r="X172" s="227"/>
      <c r="Y172" s="227"/>
      <c r="Z172" s="227"/>
      <c r="AA172" s="227"/>
      <c r="AB172" s="330" t="str">
        <f>H172&amp;" год"</f>
        <v>2066 год</v>
      </c>
      <c r="AC172" s="462"/>
      <c r="AD172" s="148"/>
      <c r="AE172" s="148"/>
      <c r="AF172" s="147"/>
      <c r="AG172" s="147"/>
      <c r="AH172" s="148"/>
      <c r="AI172" s="147"/>
      <c r="AJ172" s="147"/>
      <c r="AK172" s="149"/>
      <c r="AL172" s="227"/>
      <c r="AM172" s="227"/>
      <c r="AN172" s="1231" cm="1" t="str">
        <f t="array" ref="AN172:AN172">H172</f>
        <v>2066</v>
      </c>
    </row>
    <row s="2171" customFormat="1" customHeight="1" ht="16.5" hidden="1">
      <c r="A173" s="227"/>
      <c r="B173" s="952">
        <f>H173&lt;first_year+PERIOD_LENGTH</f>
        <v>0</v>
      </c>
      <c r="C173" s="227"/>
      <c r="D173" s="227"/>
      <c r="E173" s="794">
        <v>17.1</v>
      </c>
      <c r="F173" s="944" cm="1" t="str">
        <f t="array" ref="F173:F173">F172</f>
        <v>2</v>
      </c>
      <c r="G173" s="227"/>
      <c r="H173" s="225">
        <f>first_year+41</f>
        <v>2067</v>
      </c>
      <c r="I173" s="227"/>
      <c r="J173" s="227"/>
      <c r="K173" s="227"/>
      <c r="L173" s="227"/>
      <c r="M173" s="227"/>
      <c r="N173" s="227"/>
      <c r="O173" s="227"/>
      <c r="P173" s="227"/>
      <c r="Q173" s="227"/>
      <c r="R173" s="227"/>
      <c r="S173" s="227"/>
      <c r="T173" s="805" cm="1" t="str">
        <f t="array" ref="T173:T173">T172</f>
        <v>true</v>
      </c>
      <c r="U173" s="227"/>
      <c r="V173" s="227"/>
      <c r="W173" s="227"/>
      <c r="X173" s="227"/>
      <c r="Y173" s="227"/>
      <c r="Z173" s="227"/>
      <c r="AA173" s="227"/>
      <c r="AB173" s="330" t="str">
        <f>H173&amp;" год"</f>
        <v>2067 год</v>
      </c>
      <c r="AC173" s="462"/>
      <c r="AD173" s="148"/>
      <c r="AE173" s="148"/>
      <c r="AF173" s="147"/>
      <c r="AG173" s="147"/>
      <c r="AH173" s="148"/>
      <c r="AI173" s="147"/>
      <c r="AJ173" s="147"/>
      <c r="AK173" s="149"/>
      <c r="AL173" s="227"/>
      <c r="AM173" s="227"/>
      <c r="AN173" s="1231" cm="1" t="str">
        <f t="array" ref="AN173:AN173">H173</f>
        <v>2067</v>
      </c>
    </row>
    <row s="2172" customFormat="1" customHeight="1" ht="16.5" hidden="1">
      <c r="A174" s="227"/>
      <c r="B174" s="952">
        <f>H174&lt;first_year+PERIOD_LENGTH</f>
        <v>0</v>
      </c>
      <c r="C174" s="227"/>
      <c r="D174" s="227"/>
      <c r="E174" s="794">
        <v>17.1</v>
      </c>
      <c r="F174" s="944" cm="1" t="str">
        <f t="array" ref="F174:F174">F173</f>
        <v>2</v>
      </c>
      <c r="G174" s="227"/>
      <c r="H174" s="225">
        <f>first_year+42</f>
        <v>2068</v>
      </c>
      <c r="I174" s="227"/>
      <c r="J174" s="227"/>
      <c r="K174" s="227"/>
      <c r="L174" s="227"/>
      <c r="M174" s="227"/>
      <c r="N174" s="227"/>
      <c r="O174" s="227"/>
      <c r="P174" s="227"/>
      <c r="Q174" s="227"/>
      <c r="R174" s="227"/>
      <c r="S174" s="227"/>
      <c r="T174" s="805" cm="1" t="str">
        <f t="array" ref="T174:T174">T173</f>
        <v>true</v>
      </c>
      <c r="U174" s="227"/>
      <c r="V174" s="227"/>
      <c r="W174" s="227"/>
      <c r="X174" s="227"/>
      <c r="Y174" s="227"/>
      <c r="Z174" s="227"/>
      <c r="AA174" s="227"/>
      <c r="AB174" s="330" t="str">
        <f>H174&amp;" год"</f>
        <v>2068 год</v>
      </c>
      <c r="AC174" s="462"/>
      <c r="AD174" s="148"/>
      <c r="AE174" s="148"/>
      <c r="AF174" s="147"/>
      <c r="AG174" s="147"/>
      <c r="AH174" s="148"/>
      <c r="AI174" s="147"/>
      <c r="AJ174" s="147"/>
      <c r="AK174" s="149"/>
      <c r="AL174" s="227"/>
      <c r="AM174" s="227"/>
      <c r="AN174" s="1231" cm="1" t="str">
        <f t="array" ref="AN174:AN174">H174</f>
        <v>2068</v>
      </c>
    </row>
    <row s="2173" customFormat="1" customHeight="1" ht="16.5" hidden="1">
      <c r="A175" s="227"/>
      <c r="B175" s="952">
        <f>H175&lt;first_year+PERIOD_LENGTH</f>
        <v>0</v>
      </c>
      <c r="C175" s="227"/>
      <c r="D175" s="227"/>
      <c r="E175" s="794">
        <v>17.1</v>
      </c>
      <c r="F175" s="944" cm="1" t="str">
        <f t="array" ref="F175:F175">F174</f>
        <v>2</v>
      </c>
      <c r="G175" s="227"/>
      <c r="H175" s="225">
        <f>first_year+43</f>
        <v>2069</v>
      </c>
      <c r="I175" s="227"/>
      <c r="J175" s="227"/>
      <c r="K175" s="227"/>
      <c r="L175" s="227"/>
      <c r="M175" s="227"/>
      <c r="N175" s="227"/>
      <c r="O175" s="227"/>
      <c r="P175" s="227"/>
      <c r="Q175" s="227"/>
      <c r="R175" s="227"/>
      <c r="S175" s="227"/>
      <c r="T175" s="805" cm="1" t="str">
        <f t="array" ref="T175:T175">T174</f>
        <v>true</v>
      </c>
      <c r="U175" s="227"/>
      <c r="V175" s="227"/>
      <c r="W175" s="227"/>
      <c r="X175" s="227"/>
      <c r="Y175" s="227"/>
      <c r="Z175" s="227"/>
      <c r="AA175" s="227"/>
      <c r="AB175" s="330" t="str">
        <f>H175&amp;" год"</f>
        <v>2069 год</v>
      </c>
      <c r="AC175" s="462"/>
      <c r="AD175" s="148"/>
      <c r="AE175" s="148"/>
      <c r="AF175" s="147"/>
      <c r="AG175" s="147"/>
      <c r="AH175" s="148"/>
      <c r="AI175" s="147"/>
      <c r="AJ175" s="147"/>
      <c r="AK175" s="149"/>
      <c r="AL175" s="227"/>
      <c r="AM175" s="227"/>
      <c r="AN175" s="1231" cm="1" t="str">
        <f t="array" ref="AN175:AN175">H175</f>
        <v>2069</v>
      </c>
    </row>
    <row s="2174" customFormat="1" customHeight="1" ht="16.5" hidden="1">
      <c r="A176" s="227"/>
      <c r="B176" s="952">
        <f>H176&lt;first_year+PERIOD_LENGTH</f>
        <v>0</v>
      </c>
      <c r="C176" s="227"/>
      <c r="D176" s="227"/>
      <c r="E176" s="794">
        <v>17.1</v>
      </c>
      <c r="F176" s="944" cm="1" t="str">
        <f t="array" ref="F176:F176">F175</f>
        <v>2</v>
      </c>
      <c r="G176" s="227"/>
      <c r="H176" s="225">
        <f>first_year+44</f>
        <v>2070</v>
      </c>
      <c r="I176" s="227"/>
      <c r="J176" s="227"/>
      <c r="K176" s="227"/>
      <c r="L176" s="227"/>
      <c r="M176" s="227"/>
      <c r="N176" s="227"/>
      <c r="O176" s="227"/>
      <c r="P176" s="227"/>
      <c r="Q176" s="227"/>
      <c r="R176" s="227"/>
      <c r="S176" s="227"/>
      <c r="T176" s="805" cm="1" t="str">
        <f t="array" ref="T176:T176">T175</f>
        <v>true</v>
      </c>
      <c r="U176" s="227"/>
      <c r="V176" s="227"/>
      <c r="W176" s="227"/>
      <c r="X176" s="227"/>
      <c r="Y176" s="227"/>
      <c r="Z176" s="227"/>
      <c r="AA176" s="227"/>
      <c r="AB176" s="330" t="str">
        <f>H176&amp;" год"</f>
        <v>2070 год</v>
      </c>
      <c r="AC176" s="462"/>
      <c r="AD176" s="148"/>
      <c r="AE176" s="148"/>
      <c r="AF176" s="147"/>
      <c r="AG176" s="147"/>
      <c r="AH176" s="148"/>
      <c r="AI176" s="147"/>
      <c r="AJ176" s="147"/>
      <c r="AK176" s="149"/>
      <c r="AL176" s="227"/>
      <c r="AM176" s="227"/>
      <c r="AN176" s="1231" cm="1" t="str">
        <f t="array" ref="AN176:AN176">H176</f>
        <v>2070</v>
      </c>
    </row>
    <row s="2175" customFormat="1" customHeight="1" ht="16.5" hidden="1">
      <c r="A177" s="227"/>
      <c r="B177" s="952">
        <f>H177&lt;first_year+PERIOD_LENGTH</f>
        <v>0</v>
      </c>
      <c r="C177" s="227"/>
      <c r="D177" s="227"/>
      <c r="E177" s="794">
        <v>17.1</v>
      </c>
      <c r="F177" s="944" cm="1" t="str">
        <f t="array" ref="F177:F177">F176</f>
        <v>2</v>
      </c>
      <c r="G177" s="227"/>
      <c r="H177" s="225">
        <f>first_year+45</f>
        <v>2071</v>
      </c>
      <c r="I177" s="227"/>
      <c r="J177" s="227"/>
      <c r="K177" s="227"/>
      <c r="L177" s="227"/>
      <c r="M177" s="227"/>
      <c r="N177" s="227"/>
      <c r="O177" s="227"/>
      <c r="P177" s="227"/>
      <c r="Q177" s="227"/>
      <c r="R177" s="227"/>
      <c r="S177" s="227"/>
      <c r="T177" s="805" cm="1" t="str">
        <f t="array" ref="T177:T177">T176</f>
        <v>true</v>
      </c>
      <c r="U177" s="227"/>
      <c r="V177" s="227"/>
      <c r="W177" s="227"/>
      <c r="X177" s="227"/>
      <c r="Y177" s="227"/>
      <c r="Z177" s="227"/>
      <c r="AA177" s="227"/>
      <c r="AB177" s="330" t="str">
        <f>H177&amp;" год"</f>
        <v>2071 год</v>
      </c>
      <c r="AC177" s="462"/>
      <c r="AD177" s="148"/>
      <c r="AE177" s="148"/>
      <c r="AF177" s="147"/>
      <c r="AG177" s="147"/>
      <c r="AH177" s="148"/>
      <c r="AI177" s="147"/>
      <c r="AJ177" s="147"/>
      <c r="AK177" s="149"/>
      <c r="AL177" s="227"/>
      <c r="AM177" s="227"/>
      <c r="AN177" s="1231" cm="1" t="str">
        <f t="array" ref="AN177:AN177">H177</f>
        <v>2071</v>
      </c>
    </row>
    <row s="2176" customFormat="1" customHeight="1" ht="16.5" hidden="1">
      <c r="A178" s="227"/>
      <c r="B178" s="952">
        <f>H178&lt;first_year+PERIOD_LENGTH</f>
        <v>0</v>
      </c>
      <c r="C178" s="227"/>
      <c r="D178" s="227"/>
      <c r="E178" s="794">
        <v>17.1</v>
      </c>
      <c r="F178" s="944" cm="1" t="str">
        <f t="array" ref="F178:F178">F177</f>
        <v>2</v>
      </c>
      <c r="G178" s="227"/>
      <c r="H178" s="225">
        <f>first_year+46</f>
        <v>2072</v>
      </c>
      <c r="I178" s="227"/>
      <c r="J178" s="227"/>
      <c r="K178" s="227"/>
      <c r="L178" s="227"/>
      <c r="M178" s="227"/>
      <c r="N178" s="227"/>
      <c r="O178" s="227"/>
      <c r="P178" s="227"/>
      <c r="Q178" s="227"/>
      <c r="R178" s="227"/>
      <c r="S178" s="227"/>
      <c r="T178" s="805" cm="1" t="str">
        <f t="array" ref="T178:T178">T177</f>
        <v>true</v>
      </c>
      <c r="U178" s="227"/>
      <c r="V178" s="227"/>
      <c r="W178" s="227"/>
      <c r="X178" s="227"/>
      <c r="Y178" s="227"/>
      <c r="Z178" s="227"/>
      <c r="AA178" s="227"/>
      <c r="AB178" s="330" t="str">
        <f>H178&amp;" год"</f>
        <v>2072 год</v>
      </c>
      <c r="AC178" s="462"/>
      <c r="AD178" s="148"/>
      <c r="AE178" s="148"/>
      <c r="AF178" s="147"/>
      <c r="AG178" s="147"/>
      <c r="AH178" s="148"/>
      <c r="AI178" s="147"/>
      <c r="AJ178" s="147"/>
      <c r="AK178" s="149"/>
      <c r="AL178" s="227"/>
      <c r="AM178" s="227"/>
      <c r="AN178" s="1231" cm="1" t="str">
        <f t="array" ref="AN178:AN178">H178</f>
        <v>2072</v>
      </c>
    </row>
    <row s="2177" customFormat="1" customHeight="1" ht="16.5" hidden="1">
      <c r="A179" s="227"/>
      <c r="B179" s="952">
        <f>H179&lt;first_year+PERIOD_LENGTH</f>
        <v>0</v>
      </c>
      <c r="C179" s="227"/>
      <c r="D179" s="227"/>
      <c r="E179" s="794">
        <v>17.1</v>
      </c>
      <c r="F179" s="944" cm="1" t="str">
        <f t="array" ref="F179:F179">F178</f>
        <v>2</v>
      </c>
      <c r="G179" s="227"/>
      <c r="H179" s="225">
        <f>first_year+47</f>
        <v>2073</v>
      </c>
      <c r="I179" s="227"/>
      <c r="J179" s="227"/>
      <c r="K179" s="227"/>
      <c r="L179" s="227"/>
      <c r="M179" s="227"/>
      <c r="N179" s="227"/>
      <c r="O179" s="227"/>
      <c r="P179" s="227"/>
      <c r="Q179" s="227"/>
      <c r="R179" s="227"/>
      <c r="S179" s="227"/>
      <c r="T179" s="805" cm="1" t="str">
        <f t="array" ref="T179:T179">T178</f>
        <v>true</v>
      </c>
      <c r="U179" s="227"/>
      <c r="V179" s="227"/>
      <c r="W179" s="227"/>
      <c r="X179" s="227"/>
      <c r="Y179" s="227"/>
      <c r="Z179" s="227"/>
      <c r="AA179" s="227"/>
      <c r="AB179" s="330" t="str">
        <f>H179&amp;" год"</f>
        <v>2073 год</v>
      </c>
      <c r="AC179" s="462"/>
      <c r="AD179" s="148"/>
      <c r="AE179" s="148"/>
      <c r="AF179" s="147"/>
      <c r="AG179" s="147"/>
      <c r="AH179" s="148"/>
      <c r="AI179" s="147"/>
      <c r="AJ179" s="147"/>
      <c r="AK179" s="149"/>
      <c r="AL179" s="227"/>
      <c r="AM179" s="227"/>
      <c r="AN179" s="1231" cm="1" t="str">
        <f t="array" ref="AN179:AN179">H179</f>
        <v>2073</v>
      </c>
    </row>
    <row s="2178" customFormat="1" customHeight="1" ht="16.5" hidden="1">
      <c r="A180" s="227"/>
      <c r="B180" s="952">
        <f>H180&lt;first_year+PERIOD_LENGTH</f>
        <v>0</v>
      </c>
      <c r="C180" s="227"/>
      <c r="D180" s="227"/>
      <c r="E180" s="794">
        <v>17.1</v>
      </c>
      <c r="F180" s="944" cm="1" t="str">
        <f t="array" ref="F180:F180">F179</f>
        <v>2</v>
      </c>
      <c r="G180" s="227"/>
      <c r="H180" s="225">
        <f>first_year+48</f>
        <v>2074</v>
      </c>
      <c r="I180" s="227"/>
      <c r="J180" s="227"/>
      <c r="K180" s="227"/>
      <c r="L180" s="227"/>
      <c r="M180" s="227"/>
      <c r="N180" s="227"/>
      <c r="O180" s="227"/>
      <c r="P180" s="227"/>
      <c r="Q180" s="227"/>
      <c r="R180" s="227"/>
      <c r="S180" s="227"/>
      <c r="T180" s="805" cm="1" t="str">
        <f t="array" ref="T180:T180">T179</f>
        <v>true</v>
      </c>
      <c r="U180" s="227"/>
      <c r="V180" s="227"/>
      <c r="W180" s="227"/>
      <c r="X180" s="227"/>
      <c r="Y180" s="227"/>
      <c r="Z180" s="227"/>
      <c r="AA180" s="227"/>
      <c r="AB180" s="330" t="str">
        <f>H180&amp;" год"</f>
        <v>2074 год</v>
      </c>
      <c r="AC180" s="462"/>
      <c r="AD180" s="148"/>
      <c r="AE180" s="148"/>
      <c r="AF180" s="147"/>
      <c r="AG180" s="147"/>
      <c r="AH180" s="148"/>
      <c r="AI180" s="147"/>
      <c r="AJ180" s="147"/>
      <c r="AK180" s="149"/>
      <c r="AL180" s="227"/>
      <c r="AM180" s="227"/>
      <c r="AN180" s="1231" cm="1" t="str">
        <f t="array" ref="AN180:AN180">H180</f>
        <v>2074</v>
      </c>
    </row>
    <row s="2179" customFormat="1" customHeight="1" ht="16.5" hidden="1">
      <c r="A181" s="227"/>
      <c r="B181" s="952">
        <f>H181&lt;first_year+PERIOD_LENGTH</f>
        <v>0</v>
      </c>
      <c r="C181" s="227"/>
      <c r="D181" s="227"/>
      <c r="E181" s="794">
        <v>17.1</v>
      </c>
      <c r="F181" s="944" cm="1" t="str">
        <f t="array" ref="F181:F181">F180</f>
        <v>2</v>
      </c>
      <c r="G181" s="227"/>
      <c r="H181" s="225">
        <f>first_year+49</f>
        <v>2075</v>
      </c>
      <c r="I181" s="227"/>
      <c r="J181" s="227"/>
      <c r="K181" s="227"/>
      <c r="L181" s="227"/>
      <c r="M181" s="227"/>
      <c r="N181" s="227"/>
      <c r="O181" s="227"/>
      <c r="P181" s="227"/>
      <c r="Q181" s="227"/>
      <c r="R181" s="227"/>
      <c r="S181" s="227"/>
      <c r="T181" s="805" cm="1" t="str">
        <f t="array" ref="T181:T181">T180</f>
        <v>true</v>
      </c>
      <c r="U181" s="227"/>
      <c r="V181" s="227"/>
      <c r="W181" s="227"/>
      <c r="X181" s="227"/>
      <c r="Y181" s="227"/>
      <c r="Z181" s="227"/>
      <c r="AA181" s="227"/>
      <c r="AB181" s="330" t="str">
        <f>H181&amp;" год"</f>
        <v>2075 год</v>
      </c>
      <c r="AC181" s="462"/>
      <c r="AD181" s="148"/>
      <c r="AE181" s="148"/>
      <c r="AF181" s="147"/>
      <c r="AG181" s="147"/>
      <c r="AH181" s="148"/>
      <c r="AI181" s="147"/>
      <c r="AJ181" s="147"/>
      <c r="AK181" s="149"/>
      <c r="AL181" s="227"/>
      <c r="AM181" s="227"/>
      <c r="AN181" s="1231" cm="1" t="str">
        <f t="array" ref="AN181:AN181">H181</f>
        <v>2075</v>
      </c>
    </row>
    <row customHeight="1" ht="11.700000000000001">
      <c r="E182" s="794">
        <v>12</v>
      </c>
      <c r="U182" s="176" t="s">
        <v>235</v>
      </c>
      <c r="V182" s="168" t="s">
        <v>2196</v>
      </c>
    </row>
    <row customHeight="1" ht="14.625">
      <c r="E183" s="794">
        <v>15</v>
      </c>
      <c r="AB183" s="1477" t="s">
        <v>700</v>
      </c>
      <c r="AC183" s="1477"/>
      <c r="AD183" s="1477"/>
      <c r="AE183" s="1477"/>
      <c r="AF183" s="1477"/>
      <c r="AG183" s="1477"/>
      <c r="AH183" s="1477"/>
      <c r="AI183" s="1477"/>
      <c r="AJ183" s="1477"/>
      <c r="AK183" s="1477"/>
    </row>
    <row customHeight="1" ht="14.625">
      <c r="E184" s="794">
        <v>15</v>
      </c>
      <c r="AA184" s="918"/>
      <c r="AB184" s="1571"/>
      <c r="AC184" s="1571"/>
      <c r="AD184" s="1571"/>
      <c r="AE184" s="1571"/>
      <c r="AF184" s="1571"/>
      <c r="AG184" s="1571"/>
      <c r="AH184" s="1571"/>
      <c r="AI184" s="1571"/>
      <c r="AJ184" s="1571"/>
      <c r="AK184" s="1571"/>
    </row>
    <row customHeight="1" ht="14.625" hidden="1">
      <c r="A185" s="1461"/>
      <c r="B185" s="924"/>
      <c r="C185" s="1461"/>
      <c r="D185" s="1461"/>
      <c r="E185" s="794">
        <v>15</v>
      </c>
      <c r="F185" s="1461"/>
      <c r="G185" s="497"/>
      <c r="H185" s="1461"/>
      <c r="I185" s="1461"/>
      <c r="J185" s="1461"/>
      <c r="K185" s="1461"/>
      <c r="L185" s="1461"/>
      <c r="M185" s="1461"/>
      <c r="N185" s="1461"/>
      <c r="O185" s="1461"/>
      <c r="P185" s="1461"/>
      <c r="Q185" s="919"/>
      <c r="R185" s="919"/>
      <c r="S185" s="1461"/>
      <c r="T185" s="805">
        <f>ROW(W185)&gt;ROW(W$185)</f>
        <v>0</v>
      </c>
      <c r="U185" s="1461"/>
      <c r="V185" s="1461"/>
      <c r="W185" s="172" t="s">
        <v>233</v>
      </c>
      <c r="X185" s="1461"/>
      <c r="Y185" s="1461"/>
      <c r="Z185" s="1461"/>
      <c r="AA185" s="914" t="s">
        <v>217</v>
      </c>
      <c r="AB185" s="2180"/>
      <c r="AC185" s="2180"/>
      <c r="AD185" s="2180"/>
      <c r="AE185" s="2180"/>
      <c r="AF185" s="2180"/>
      <c r="AG185" s="2180"/>
      <c r="AH185" s="2180"/>
      <c r="AI185" s="2180"/>
      <c r="AJ185" s="2180"/>
      <c r="AK185" s="2180"/>
      <c r="AL185" s="497"/>
      <c r="AM185" s="497"/>
      <c r="AN185" s="1214"/>
    </row>
    <row customHeight="1" ht="14.625">
      <c r="E186" s="794">
        <v>15</v>
      </c>
      <c r="W186" s="168" t="s">
        <v>234</v>
      </c>
      <c r="AB186" s="1475" t="s">
        <v>701</v>
      </c>
      <c r="AC186" s="1476"/>
      <c r="AD186" s="383"/>
      <c r="AE186" s="383"/>
      <c r="AF186" s="383"/>
      <c r="AG186" s="383"/>
      <c r="AH186" s="383"/>
      <c r="AI186" s="383"/>
      <c r="AJ186" s="383"/>
      <c r="AK186" s="533"/>
    </row>
    <row customHeight="1" ht="11.25">
      <c r="AL187" s="210"/>
    </row>
  </sheetData>
  <sheetProtection formatColumns="0" formatRows="0" insertRows="0" deleteColumns="0" deleteRows="0" sort="0" autoFilter="0" insertColumns="1"/>
  <mergeCells count="17">
    <mergeCell ref="X29:X79"/>
    <mergeCell ref="Z29:Z79"/>
    <mergeCell ref="AB185:AK185"/>
    <mergeCell ref="AB24:AE24"/>
    <mergeCell ref="AB186:AC186"/>
    <mergeCell ref="AB183:AK183"/>
    <mergeCell ref="AB184:AK184"/>
    <mergeCell ref="AC26:AC27"/>
    <mergeCell ref="AD26:AD27"/>
    <mergeCell ref="AE26:AE27"/>
    <mergeCell ref="AB26:AB27"/>
    <mergeCell ref="AJ26:AJ27"/>
    <mergeCell ref="AF26:AI26"/>
    <mergeCell ref="X80:X130"/>
    <mergeCell ref="Z80:Z130"/>
    <mergeCell ref="X131:X181"/>
    <mergeCell ref="Z131:Z181"/>
  </mergeCells>
  <dataValidations count="1">
    <dataValidation type="decimal" allowBlank="1" showErrorMessage="1" errorTitle="Ошибка" error="Допускается ввод только неотрицательных чисел!" sqref="AJ30:AJ79 AJ81:AJ130 AJ132:AJ181 AI30:AI79 AI81:AI130 AI132:AI181 AH30:AH79 AH81:AH130 AH132:AH181 AG30:AG79 AG81:AG130 AG132:AG181 AF30:AF79 AF81:AF130 AF132:AF181 AE30:AE79 AE81:AE130 AE132:AE181">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0C18D8-311F-8663-CED1-22A8E1EFEB0D}" mc:Ignorable="x14ac xr xr2 xr3">
  <sheetPr>
    <tabColor rgb="FFD3DBDB"/>
    <pageSetUpPr fitToPage="1"/>
  </sheetPr>
  <dimension ref="A1:AC36"/>
  <sheetViews>
    <sheetView topLeftCell="AA21" showGridLines="0" workbookViewId="0">
      <selection activeCell="AB28" sqref="AB28"/>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435</v>
      </c>
    </row>
    <row customHeight="1" ht="11.115">
      <c r="E23" s="794">
        <v>11.4</v>
      </c>
      <c r="AA23" s="185"/>
      <c r="AB23" s="185"/>
    </row>
    <row customHeight="1" ht="19.5975">
      <c r="E24" s="794">
        <v>20.1</v>
      </c>
      <c r="AA24" s="185"/>
      <c r="AB24" s="186" t="s">
        <v>2197</v>
      </c>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309</v>
      </c>
      <c r="Z34" s="172">
        <v>0</v>
      </c>
      <c r="AA34" s="914" t="s">
        <v>217</v>
      </c>
      <c r="AB34" s="2181"/>
      <c r="AC34" s="934"/>
    </row>
    <row customHeight="1" ht="11.115">
      <c r="E35" s="794">
        <v>11.4</v>
      </c>
      <c r="Y35" s="168" t="s">
        <v>234</v>
      </c>
      <c r="AB35" s="898" t="s">
        <v>235</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2B3AD8-86A8-1BE2-A668-9C949353FDE9}"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2198</v>
      </c>
      <c r="B1" s="234" t="s">
        <v>2199</v>
      </c>
      <c r="C1" s="233" t="s">
        <v>2198</v>
      </c>
      <c r="D1" s="775" t="s">
        <v>2200</v>
      </c>
      <c r="E1" s="233"/>
      <c r="F1" s="233"/>
      <c r="G1" s="235" t="s">
        <v>2201</v>
      </c>
      <c r="H1" s="233"/>
      <c r="I1" s="233"/>
      <c r="J1" s="233"/>
      <c r="K1" s="235" t="s">
        <v>2202</v>
      </c>
      <c r="L1" s="187"/>
      <c r="M1" s="235" t="s">
        <v>2203</v>
      </c>
      <c r="N1" s="233"/>
      <c r="O1" s="187"/>
      <c r="P1" s="235" t="s">
        <v>2204</v>
      </c>
      <c r="Q1" s="235" t="s">
        <v>2205</v>
      </c>
      <c r="R1" s="235" t="s">
        <v>2206</v>
      </c>
      <c r="S1" s="235" t="s">
        <v>2207</v>
      </c>
      <c r="T1" s="235" t="s">
        <v>2208</v>
      </c>
      <c r="U1" s="235" t="s">
        <v>2209</v>
      </c>
      <c r="V1" s="250" t="s">
        <v>2210</v>
      </c>
      <c r="W1" s="250" t="s">
        <v>2211</v>
      </c>
      <c r="X1" s="250" t="s">
        <v>2212</v>
      </c>
      <c r="Y1" s="250" t="s">
        <v>2213</v>
      </c>
      <c r="Z1" s="250" t="s">
        <v>2214</v>
      </c>
      <c r="AB1" s="250" t="s">
        <v>2215</v>
      </c>
      <c r="AC1" s="250" t="s">
        <v>2216</v>
      </c>
    </row>
    <row customHeight="1" ht="12">
      <c r="A2" s="233" t="s">
        <v>2217</v>
      </c>
      <c r="B2" s="234" t="s">
        <v>2218</v>
      </c>
      <c r="C2" s="233" t="s">
        <v>2217</v>
      </c>
      <c r="D2" s="774" t="s">
        <v>2219</v>
      </c>
      <c r="E2" s="233"/>
      <c r="F2" s="233"/>
      <c r="G2" s="237" t="s">
        <v>205</v>
      </c>
      <c r="H2" s="233"/>
      <c r="I2" s="233"/>
      <c r="J2" s="233"/>
      <c r="K2" s="822" t="s">
        <v>117</v>
      </c>
      <c r="L2" s="233"/>
      <c r="M2" s="238" t="s">
        <v>2220</v>
      </c>
      <c r="N2" s="233"/>
      <c r="O2" s="233"/>
      <c r="P2" s="237">
        <v>2025</v>
      </c>
      <c r="Q2" s="237">
        <v>2012</v>
      </c>
      <c r="R2" s="237" t="s">
        <v>2221</v>
      </c>
      <c r="S2" s="237">
        <v>3</v>
      </c>
      <c r="T2" s="249" t="s">
        <v>2222</v>
      </c>
      <c r="U2" s="249" t="s">
        <v>339</v>
      </c>
      <c r="V2" s="259" t="s">
        <v>2223</v>
      </c>
      <c r="W2" s="259" t="s">
        <v>2224</v>
      </c>
      <c r="X2" s="259" t="s">
        <v>2225</v>
      </c>
      <c r="Y2" s="259" t="s">
        <v>2226</v>
      </c>
      <c r="Z2" s="259" t="s">
        <v>2226</v>
      </c>
      <c r="AB2" s="867" t="s">
        <v>2227</v>
      </c>
      <c r="AC2" s="868" t="s">
        <v>2228</v>
      </c>
    </row>
    <row customHeight="1" ht="12">
      <c r="A3" s="233" t="s">
        <v>2229</v>
      </c>
      <c r="B3" s="234" t="s">
        <v>2230</v>
      </c>
      <c r="C3" s="233" t="s">
        <v>2229</v>
      </c>
      <c r="D3" s="233"/>
      <c r="E3" s="233"/>
      <c r="F3" s="233"/>
      <c r="G3" s="237" t="s">
        <v>189</v>
      </c>
      <c r="H3" s="233"/>
      <c r="I3" s="233"/>
      <c r="J3" s="233"/>
      <c r="K3" s="822" t="s">
        <v>2231</v>
      </c>
      <c r="L3" s="233"/>
      <c r="M3" s="233"/>
      <c r="N3" s="233"/>
      <c r="O3" s="233"/>
      <c r="P3" s="237">
        <v>2026</v>
      </c>
      <c r="Q3" s="237">
        <v>2013</v>
      </c>
      <c r="R3" s="237" t="s">
        <v>2232</v>
      </c>
      <c r="S3" s="237">
        <v>4</v>
      </c>
      <c r="T3" s="249" t="s">
        <v>2233</v>
      </c>
      <c r="U3" s="249" t="s">
        <v>963</v>
      </c>
      <c r="V3" s="259" t="s">
        <v>2234</v>
      </c>
      <c r="W3" s="259" t="s">
        <v>2235</v>
      </c>
      <c r="X3" s="259" t="s">
        <v>2236</v>
      </c>
      <c r="Y3" s="259" t="s">
        <v>2237</v>
      </c>
      <c r="Z3" s="259" t="s">
        <v>2238</v>
      </c>
      <c r="AB3" s="867" t="s">
        <v>2239</v>
      </c>
      <c r="AC3" s="868" t="s">
        <v>2228</v>
      </c>
    </row>
    <row customHeight="1" ht="12">
      <c r="A4" s="233" t="s">
        <v>2240</v>
      </c>
      <c r="B4" s="234" t="s">
        <v>2241</v>
      </c>
      <c r="C4" s="233" t="s">
        <v>2240</v>
      </c>
      <c r="D4" s="233"/>
      <c r="E4" s="233"/>
      <c r="F4" s="233"/>
      <c r="G4" s="233"/>
      <c r="H4" s="233"/>
      <c r="I4" s="233"/>
      <c r="J4" s="233"/>
      <c r="K4" s="822" t="s">
        <v>2242</v>
      </c>
      <c r="L4" s="233"/>
      <c r="M4" s="235" t="s">
        <v>2243</v>
      </c>
      <c r="N4" s="233"/>
      <c r="O4" s="233"/>
      <c r="P4" s="233"/>
      <c r="Q4" s="237">
        <v>2014</v>
      </c>
      <c r="R4" s="237" t="s">
        <v>2244</v>
      </c>
      <c r="S4" s="237">
        <v>5</v>
      </c>
      <c r="V4" s="259" t="s">
        <v>2245</v>
      </c>
      <c r="X4" s="259" t="s">
        <v>2246</v>
      </c>
      <c r="Y4" s="597" t="s">
        <v>2238</v>
      </c>
      <c r="Z4" s="259" t="s">
        <v>2247</v>
      </c>
      <c r="AB4" s="867" t="s">
        <v>2248</v>
      </c>
      <c r="AC4" s="868" t="s">
        <v>2228</v>
      </c>
    </row>
    <row customHeight="1" ht="12">
      <c r="A5" s="233" t="s">
        <v>2249</v>
      </c>
      <c r="B5" s="234" t="s">
        <v>2250</v>
      </c>
      <c r="C5" s="233" t="s">
        <v>2249</v>
      </c>
      <c r="D5" s="233"/>
      <c r="E5" s="233"/>
      <c r="F5" s="233"/>
      <c r="G5" s="235" t="s">
        <v>2251</v>
      </c>
      <c r="H5" s="233"/>
      <c r="I5" s="233"/>
      <c r="J5" s="233"/>
      <c r="K5" s="822" t="s">
        <v>2252</v>
      </c>
      <c r="L5" s="233"/>
      <c r="M5" s="238">
        <v>1.2</v>
      </c>
      <c r="N5" s="233"/>
      <c r="O5" s="233"/>
      <c r="P5" s="233"/>
      <c r="Q5" s="237">
        <v>2015</v>
      </c>
      <c r="R5" s="237" t="s">
        <v>2253</v>
      </c>
      <c r="S5" s="237">
        <v>6</v>
      </c>
      <c r="V5" s="250" t="s">
        <v>2254</v>
      </c>
      <c r="W5" s="250" t="s">
        <v>2255</v>
      </c>
      <c r="X5" s="259" t="s">
        <v>2256</v>
      </c>
      <c r="Y5" s="259" t="s">
        <v>2247</v>
      </c>
      <c r="Z5" s="259" t="s">
        <v>2257</v>
      </c>
      <c r="AB5" s="867" t="s">
        <v>2258</v>
      </c>
      <c r="AC5" s="868" t="s">
        <v>2228</v>
      </c>
    </row>
    <row customHeight="1" ht="12">
      <c r="A6" s="233" t="s">
        <v>2259</v>
      </c>
      <c r="B6" s="234" t="s">
        <v>2260</v>
      </c>
      <c r="C6" s="233" t="s">
        <v>2259</v>
      </c>
      <c r="D6" s="233"/>
      <c r="E6" s="233"/>
      <c r="F6" s="233"/>
      <c r="G6" s="235" t="s">
        <v>2261</v>
      </c>
      <c r="H6" s="233"/>
      <c r="I6" s="233"/>
      <c r="J6" s="233"/>
      <c r="K6" s="233"/>
      <c r="L6" s="233"/>
      <c r="M6" s="233"/>
      <c r="N6" s="233"/>
      <c r="O6" s="233"/>
      <c r="P6" s="233"/>
      <c r="Q6" s="237">
        <v>2016</v>
      </c>
      <c r="R6" s="237" t="s">
        <v>2262</v>
      </c>
      <c r="S6" s="237">
        <v>7</v>
      </c>
      <c r="V6" s="259" t="s">
        <v>2263</v>
      </c>
      <c r="W6" s="335" t="s">
        <v>2264</v>
      </c>
      <c r="X6" s="259" t="s">
        <v>425</v>
      </c>
      <c r="Y6" s="259" t="s">
        <v>2257</v>
      </c>
      <c r="Z6" s="259" t="s">
        <v>988</v>
      </c>
      <c r="AB6" s="867" t="s">
        <v>2265</v>
      </c>
      <c r="AC6" s="868" t="s">
        <v>2228</v>
      </c>
    </row>
    <row customHeight="1" ht="12">
      <c r="A7" s="233" t="s">
        <v>2266</v>
      </c>
      <c r="B7" s="234" t="s">
        <v>2267</v>
      </c>
      <c r="C7" s="233" t="s">
        <v>2266</v>
      </c>
      <c r="D7" s="233"/>
      <c r="E7" s="233"/>
      <c r="F7" s="233"/>
      <c r="G7" s="239" t="s">
        <v>2268</v>
      </c>
      <c r="H7" s="233"/>
      <c r="I7" s="233"/>
      <c r="J7" s="233"/>
      <c r="K7" s="235" t="s">
        <v>2269</v>
      </c>
      <c r="L7" s="233"/>
      <c r="M7" s="235" t="s">
        <v>2270</v>
      </c>
      <c r="N7" s="233"/>
      <c r="O7" s="233"/>
      <c r="P7" s="233"/>
      <c r="Q7" s="237">
        <v>2017</v>
      </c>
      <c r="R7" s="237" t="s">
        <v>2271</v>
      </c>
      <c r="S7" s="237">
        <v>8</v>
      </c>
      <c r="V7" s="259" t="s">
        <v>2272</v>
      </c>
      <c r="X7" s="259" t="s">
        <v>2273</v>
      </c>
      <c r="Y7" s="259" t="s">
        <v>988</v>
      </c>
      <c r="Z7" s="259" t="s">
        <v>2274</v>
      </c>
      <c r="AB7" s="867" t="s">
        <v>2275</v>
      </c>
      <c r="AC7" s="868" t="s">
        <v>2228</v>
      </c>
    </row>
    <row customHeight="1" ht="12">
      <c r="A8" s="233" t="s">
        <v>2276</v>
      </c>
      <c r="B8" s="234" t="s">
        <v>2277</v>
      </c>
      <c r="C8" s="233" t="s">
        <v>2276</v>
      </c>
      <c r="D8" s="233"/>
      <c r="E8" s="233"/>
      <c r="F8" s="233"/>
      <c r="G8" s="239" t="s">
        <v>2278</v>
      </c>
      <c r="H8" s="233"/>
      <c r="I8" s="233"/>
      <c r="J8" s="233"/>
      <c r="K8" s="821" t="s">
        <v>202</v>
      </c>
      <c r="L8" s="233"/>
      <c r="M8" s="238">
        <v>2021</v>
      </c>
      <c r="N8" s="233"/>
      <c r="O8" s="233"/>
      <c r="P8" s="233"/>
      <c r="Q8" s="237">
        <v>2018</v>
      </c>
      <c r="R8" s="237" t="s">
        <v>2279</v>
      </c>
      <c r="S8" s="237">
        <v>9</v>
      </c>
      <c r="V8" s="259" t="s">
        <v>2280</v>
      </c>
      <c r="X8" s="259" t="s">
        <v>2281</v>
      </c>
      <c r="Y8" s="259" t="s">
        <v>2274</v>
      </c>
      <c r="Z8" s="259" t="s">
        <v>2282</v>
      </c>
      <c r="AB8" s="867" t="s">
        <v>2283</v>
      </c>
      <c r="AC8" s="868" t="s">
        <v>2228</v>
      </c>
    </row>
    <row customHeight="1" ht="12">
      <c r="A9" s="233" t="s">
        <v>2284</v>
      </c>
      <c r="B9" s="234" t="s">
        <v>2285</v>
      </c>
      <c r="C9" s="233" t="s">
        <v>2284</v>
      </c>
      <c r="D9" s="233"/>
      <c r="E9" s="233"/>
      <c r="F9" s="233"/>
      <c r="G9" s="239" t="s">
        <v>2286</v>
      </c>
      <c r="H9" s="233"/>
      <c r="I9" s="233"/>
      <c r="J9" s="233"/>
      <c r="K9" s="821" t="s">
        <v>2287</v>
      </c>
      <c r="L9" s="233"/>
      <c r="M9" s="233"/>
      <c r="N9" s="233"/>
      <c r="O9" s="233"/>
      <c r="P9" s="233"/>
      <c r="Q9" s="237">
        <v>2019</v>
      </c>
      <c r="R9" s="237" t="s">
        <v>2288</v>
      </c>
      <c r="S9" s="237">
        <v>10</v>
      </c>
      <c r="V9" s="259" t="s">
        <v>2289</v>
      </c>
      <c r="X9" s="259" t="s">
        <v>2290</v>
      </c>
      <c r="AB9" s="867" t="s">
        <v>2291</v>
      </c>
      <c r="AC9" s="868" t="s">
        <v>2228</v>
      </c>
    </row>
    <row customHeight="1" ht="12">
      <c r="A10" s="233" t="s">
        <v>2292</v>
      </c>
      <c r="B10" s="234" t="s">
        <v>2293</v>
      </c>
      <c r="C10" s="233" t="s">
        <v>2292</v>
      </c>
      <c r="D10" s="233"/>
      <c r="E10" s="233"/>
      <c r="F10" s="233"/>
      <c r="G10" s="241"/>
      <c r="H10" s="233"/>
      <c r="I10" s="233"/>
      <c r="J10" s="233"/>
      <c r="K10" s="233"/>
      <c r="L10" s="233"/>
      <c r="M10" s="235" t="s">
        <v>2294</v>
      </c>
      <c r="N10" s="233"/>
      <c r="O10" s="233"/>
      <c r="P10" s="233"/>
      <c r="Q10" s="237">
        <v>2020</v>
      </c>
      <c r="R10" s="237" t="s">
        <v>2295</v>
      </c>
      <c r="S10" s="237">
        <v>11</v>
      </c>
      <c r="V10" s="259" t="s">
        <v>2296</v>
      </c>
      <c r="X10" s="259" t="s">
        <v>2297</v>
      </c>
      <c r="AB10" s="867" t="s">
        <v>2298</v>
      </c>
      <c r="AC10" s="868" t="s">
        <v>2228</v>
      </c>
    </row>
    <row customHeight="1" ht="12">
      <c r="A11" s="333" t="s">
        <v>2299</v>
      </c>
      <c r="B11" s="234" t="s">
        <v>2300</v>
      </c>
      <c r="C11" s="240" t="s">
        <v>2301</v>
      </c>
      <c r="D11" s="233"/>
      <c r="E11" s="233"/>
      <c r="F11" s="233"/>
      <c r="G11" s="235" t="s">
        <v>2302</v>
      </c>
      <c r="H11" s="233"/>
      <c r="I11" s="233"/>
      <c r="J11" s="233"/>
      <c r="K11" s="235" t="s">
        <v>2303</v>
      </c>
      <c r="L11" s="233"/>
      <c r="M11" s="238" t="str">
        <f>"01.01."&amp;PERIOD</f>
        <v>01.01.2021</v>
      </c>
      <c r="N11" s="233"/>
      <c r="O11" s="233"/>
      <c r="P11" s="233"/>
      <c r="Q11" s="237">
        <v>2021</v>
      </c>
      <c r="R11" s="237" t="s">
        <v>2304</v>
      </c>
      <c r="S11" s="237">
        <v>12</v>
      </c>
      <c r="V11" s="259" t="s">
        <v>2305</v>
      </c>
      <c r="X11" s="259" t="s">
        <v>2306</v>
      </c>
      <c r="AB11" s="867" t="s">
        <v>2307</v>
      </c>
      <c r="AC11" s="868" t="s">
        <v>2228</v>
      </c>
    </row>
    <row customHeight="1" ht="12">
      <c r="A12" s="333" t="s">
        <v>2308</v>
      </c>
      <c r="B12" s="234" t="s">
        <v>2309</v>
      </c>
      <c r="C12" s="240"/>
      <c r="D12" s="233"/>
      <c r="E12" s="233"/>
      <c r="F12" s="233"/>
      <c r="G12" s="235" t="s">
        <v>2310</v>
      </c>
      <c r="H12" s="233"/>
      <c r="I12" s="233"/>
      <c r="J12" s="233"/>
      <c r="K12" s="830" t="s">
        <v>337</v>
      </c>
      <c r="L12" s="233"/>
      <c r="M12" s="238" t="str">
        <f>"31.12."&amp;PERIOD</f>
        <v>31.12.2021</v>
      </c>
      <c r="N12" s="233"/>
      <c r="O12" s="233"/>
      <c r="P12" s="233"/>
      <c r="Q12" s="237">
        <v>2022</v>
      </c>
      <c r="R12" s="237" t="s">
        <v>2311</v>
      </c>
      <c r="S12" s="237">
        <v>13</v>
      </c>
      <c r="X12" s="259" t="s">
        <v>2312</v>
      </c>
      <c r="AB12" s="867" t="s">
        <v>2313</v>
      </c>
      <c r="AC12" s="868" t="s">
        <v>2228</v>
      </c>
    </row>
    <row customHeight="1" ht="12">
      <c r="A13" s="333" t="s">
        <v>2314</v>
      </c>
      <c r="B13" s="234" t="s">
        <v>2315</v>
      </c>
      <c r="C13" s="240" t="s">
        <v>2316</v>
      </c>
      <c r="D13" s="233"/>
      <c r="E13" s="233"/>
      <c r="F13" s="233"/>
      <c r="G13" s="239" t="s">
        <v>2317</v>
      </c>
      <c r="H13" s="233"/>
      <c r="I13" s="233"/>
      <c r="J13" s="233"/>
      <c r="K13" s="830" t="s">
        <v>2318</v>
      </c>
      <c r="L13" s="233"/>
      <c r="M13" s="233"/>
      <c r="N13" s="233"/>
      <c r="O13" s="233"/>
      <c r="P13" s="233"/>
      <c r="Q13" s="237">
        <v>2023</v>
      </c>
      <c r="R13" s="237" t="s">
        <v>2319</v>
      </c>
      <c r="S13" s="237">
        <v>14</v>
      </c>
      <c r="X13" s="259" t="s">
        <v>2320</v>
      </c>
      <c r="AB13" s="867" t="s">
        <v>2321</v>
      </c>
      <c r="AC13" s="868" t="s">
        <v>2228</v>
      </c>
    </row>
    <row customHeight="1" ht="12">
      <c r="A14" s="333" t="s">
        <v>2322</v>
      </c>
      <c r="B14" s="242" t="s">
        <v>2323</v>
      </c>
      <c r="C14" s="243" t="s">
        <v>2324</v>
      </c>
      <c r="D14" s="233"/>
      <c r="E14" s="233"/>
      <c r="F14" s="233"/>
      <c r="G14" s="239" t="s">
        <v>2325</v>
      </c>
      <c r="H14" s="233"/>
      <c r="I14" s="233"/>
      <c r="J14" s="233"/>
      <c r="K14" s="830" t="s">
        <v>345</v>
      </c>
      <c r="L14" s="233"/>
      <c r="M14" s="235" t="s">
        <v>2326</v>
      </c>
      <c r="N14" s="233"/>
      <c r="O14" s="233"/>
      <c r="P14" s="233"/>
      <c r="Q14" s="237">
        <v>2024</v>
      </c>
      <c r="R14" s="233"/>
      <c r="S14" s="237">
        <v>15</v>
      </c>
      <c r="X14" s="259" t="s">
        <v>2327</v>
      </c>
      <c r="AB14" s="867" t="s">
        <v>2328</v>
      </c>
      <c r="AC14" s="868" t="s">
        <v>2228</v>
      </c>
    </row>
    <row customHeight="1" ht="12">
      <c r="A15" s="233" t="s">
        <v>2329</v>
      </c>
      <c r="B15" s="234" t="s">
        <v>2330</v>
      </c>
      <c r="C15" s="233" t="s">
        <v>2329</v>
      </c>
      <c r="D15" s="233"/>
      <c r="E15" s="233"/>
      <c r="F15" s="233"/>
      <c r="G15" s="239" t="s">
        <v>2331</v>
      </c>
      <c r="H15" s="233"/>
      <c r="I15" s="233"/>
      <c r="J15" s="233"/>
      <c r="K15" s="830" t="s">
        <v>2332</v>
      </c>
      <c r="L15" s="233"/>
      <c r="M15" s="238" t="str">
        <f>"01.01."&amp;PERIOD</f>
        <v>01.01.2021</v>
      </c>
      <c r="N15" s="233"/>
      <c r="O15" s="233"/>
      <c r="P15" s="233"/>
      <c r="Q15" s="237">
        <v>2025</v>
      </c>
      <c r="R15" s="233"/>
      <c r="S15" s="237">
        <v>16</v>
      </c>
      <c r="AB15" s="867" t="s">
        <v>2333</v>
      </c>
      <c r="AC15" s="868" t="s">
        <v>2228</v>
      </c>
    </row>
    <row customHeight="1" ht="12">
      <c r="A16" s="233" t="s">
        <v>2334</v>
      </c>
      <c r="B16" s="234" t="s">
        <v>2335</v>
      </c>
      <c r="C16" s="233" t="s">
        <v>2334</v>
      </c>
      <c r="D16" s="233"/>
      <c r="E16" s="233"/>
      <c r="F16" s="233"/>
      <c r="G16" s="239" t="s">
        <v>2336</v>
      </c>
      <c r="H16" s="233"/>
      <c r="I16" s="233"/>
      <c r="J16" s="233"/>
      <c r="K16" s="830" t="s">
        <v>2337</v>
      </c>
      <c r="L16" s="233"/>
      <c r="M16" s="238" t="str">
        <f>"31.12."&amp;PERIOD</f>
        <v>31.12.2021</v>
      </c>
      <c r="N16" s="233"/>
      <c r="O16" s="233"/>
      <c r="P16" s="233"/>
      <c r="Q16" s="237">
        <v>2026</v>
      </c>
      <c r="R16" s="233"/>
      <c r="S16" s="237">
        <v>17</v>
      </c>
      <c r="X16" s="250" t="s">
        <v>2338</v>
      </c>
      <c r="AB16" s="867" t="s">
        <v>2339</v>
      </c>
      <c r="AC16" s="868" t="s">
        <v>2228</v>
      </c>
    </row>
    <row customHeight="1" ht="12">
      <c r="A17" s="233" t="s">
        <v>2340</v>
      </c>
      <c r="B17" s="234" t="s">
        <v>2341</v>
      </c>
      <c r="C17" s="233" t="s">
        <v>2340</v>
      </c>
      <c r="D17" s="233"/>
      <c r="E17" s="233"/>
      <c r="F17" s="233"/>
      <c r="G17" s="233"/>
      <c r="H17" s="233"/>
      <c r="I17" s="233"/>
      <c r="J17" s="233"/>
      <c r="K17" s="233"/>
      <c r="L17" s="233"/>
      <c r="M17" s="220"/>
      <c r="N17" s="233"/>
      <c r="O17" s="233"/>
      <c r="P17" s="233"/>
      <c r="Q17" s="237">
        <v>2027</v>
      </c>
      <c r="R17" s="233"/>
      <c r="S17" s="237">
        <v>18</v>
      </c>
      <c r="X17" s="259" t="s">
        <v>2342</v>
      </c>
      <c r="AB17" s="868" t="s">
        <v>2343</v>
      </c>
      <c r="AC17" s="868" t="s">
        <v>2228</v>
      </c>
    </row>
    <row customHeight="1" ht="12">
      <c r="A18" s="233" t="s">
        <v>2344</v>
      </c>
      <c r="B18" s="234" t="s">
        <v>2345</v>
      </c>
      <c r="C18" s="233" t="s">
        <v>2344</v>
      </c>
      <c r="D18" s="233"/>
      <c r="E18" s="233"/>
      <c r="F18" s="233"/>
      <c r="G18" s="233"/>
      <c r="H18" s="233"/>
      <c r="I18" s="233"/>
      <c r="J18" s="233"/>
      <c r="K18" s="235" t="s">
        <v>2346</v>
      </c>
      <c r="L18" s="233"/>
      <c r="M18" s="235" t="s">
        <v>2347</v>
      </c>
      <c r="N18" s="233"/>
      <c r="O18" s="233"/>
      <c r="P18" s="233"/>
      <c r="Q18" s="237">
        <v>2028</v>
      </c>
      <c r="R18" s="233"/>
      <c r="S18" s="237">
        <v>19</v>
      </c>
      <c r="X18" s="259" t="s">
        <v>426</v>
      </c>
      <c r="AB18" s="868" t="s">
        <v>2348</v>
      </c>
      <c r="AC18" s="868" t="s">
        <v>2228</v>
      </c>
    </row>
    <row customHeight="1" ht="12">
      <c r="A19" s="233" t="s">
        <v>2349</v>
      </c>
      <c r="B19" s="234" t="s">
        <v>2350</v>
      </c>
      <c r="C19" s="240" t="s">
        <v>2351</v>
      </c>
      <c r="D19" s="233"/>
      <c r="E19" s="233"/>
      <c r="F19" s="233"/>
      <c r="G19" s="233"/>
      <c r="H19" s="233"/>
      <c r="I19" s="233"/>
      <c r="J19" s="233"/>
      <c r="K19" s="821" t="s">
        <v>338</v>
      </c>
      <c r="L19" s="233"/>
      <c r="M19" s="238" t="str">
        <f>"01.01."&amp;PERIOD</f>
        <v>01.01.2021</v>
      </c>
      <c r="N19" s="233"/>
      <c r="O19" s="233"/>
      <c r="P19" s="233"/>
      <c r="Q19" s="237">
        <v>2029</v>
      </c>
      <c r="R19" s="233"/>
      <c r="S19" s="237">
        <v>20</v>
      </c>
      <c r="X19" s="259" t="s">
        <v>2352</v>
      </c>
      <c r="AB19" s="868" t="s">
        <v>2353</v>
      </c>
      <c r="AC19" s="868" t="s">
        <v>2228</v>
      </c>
    </row>
    <row customHeight="1" ht="12">
      <c r="A20" s="233" t="s">
        <v>2354</v>
      </c>
      <c r="B20" s="234" t="s">
        <v>2355</v>
      </c>
      <c r="C20" s="233" t="s">
        <v>2354</v>
      </c>
      <c r="D20" s="233"/>
      <c r="E20" s="233"/>
      <c r="F20" s="233"/>
      <c r="G20" s="233"/>
      <c r="H20" s="233"/>
      <c r="I20" s="233"/>
      <c r="J20" s="233"/>
      <c r="K20" s="821" t="s">
        <v>2356</v>
      </c>
      <c r="L20" s="233"/>
      <c r="M20" s="238" t="str">
        <f>"31.12."&amp;PERIOD</f>
        <v>31.12.2021</v>
      </c>
      <c r="N20" s="233"/>
      <c r="O20" s="233"/>
      <c r="P20" s="233"/>
      <c r="Q20" s="237">
        <v>2030</v>
      </c>
      <c r="R20" s="233"/>
      <c r="S20" s="237">
        <v>21</v>
      </c>
      <c r="X20" s="259" t="s">
        <v>302</v>
      </c>
      <c r="AB20" s="868" t="s">
        <v>2357</v>
      </c>
      <c r="AC20" s="868" t="s">
        <v>2228</v>
      </c>
    </row>
    <row customHeight="1" ht="12">
      <c r="A21" s="233" t="s">
        <v>2358</v>
      </c>
      <c r="B21" s="234" t="s">
        <v>2359</v>
      </c>
      <c r="C21" s="233" t="s">
        <v>2358</v>
      </c>
      <c r="D21" s="233"/>
      <c r="E21" s="233"/>
      <c r="F21" s="233"/>
      <c r="G21" s="233"/>
      <c r="H21" s="233"/>
      <c r="I21" s="233"/>
      <c r="J21" s="233"/>
      <c r="K21" s="821" t="s">
        <v>2360</v>
      </c>
      <c r="L21" s="233"/>
      <c r="M21" s="233"/>
      <c r="N21" s="233"/>
      <c r="O21" s="233"/>
      <c r="P21" s="233"/>
      <c r="Q21" s="233"/>
      <c r="R21" s="233"/>
      <c r="S21" s="237">
        <v>22</v>
      </c>
      <c r="X21" s="259" t="s">
        <v>2361</v>
      </c>
      <c r="AB21" s="868" t="s">
        <v>2362</v>
      </c>
      <c r="AC21" s="868" t="s">
        <v>2363</v>
      </c>
    </row>
    <row customHeight="1" ht="12">
      <c r="A22" s="233" t="s">
        <v>2364</v>
      </c>
      <c r="B22" s="234" t="s">
        <v>2365</v>
      </c>
      <c r="C22" s="233" t="s">
        <v>2364</v>
      </c>
      <c r="D22" s="233"/>
      <c r="E22" s="233"/>
      <c r="F22" s="233"/>
      <c r="G22" s="233"/>
      <c r="H22" s="233"/>
      <c r="I22" s="233"/>
      <c r="J22" s="233"/>
      <c r="K22" s="233"/>
      <c r="L22" s="233"/>
      <c r="M22" s="233"/>
      <c r="N22" s="233"/>
      <c r="O22" s="233"/>
      <c r="P22" s="233"/>
      <c r="Q22" s="233"/>
      <c r="R22" s="233"/>
      <c r="S22" s="237">
        <v>23</v>
      </c>
      <c r="X22" s="259" t="s">
        <v>2366</v>
      </c>
      <c r="AB22" s="868" t="s">
        <v>2367</v>
      </c>
      <c r="AC22" s="868" t="s">
        <v>2363</v>
      </c>
    </row>
    <row customHeight="1" ht="12">
      <c r="A23" s="233" t="s">
        <v>2368</v>
      </c>
      <c r="B23" s="234" t="s">
        <v>2369</v>
      </c>
      <c r="C23" s="240" t="s">
        <v>2370</v>
      </c>
      <c r="D23" s="233"/>
      <c r="E23" s="233"/>
      <c r="F23" s="233"/>
      <c r="G23" s="233"/>
      <c r="H23" s="233"/>
      <c r="I23" s="233"/>
      <c r="J23" s="233"/>
      <c r="K23" s="235" t="s">
        <v>2371</v>
      </c>
      <c r="L23" s="233"/>
      <c r="M23" s="233"/>
      <c r="N23" s="233"/>
      <c r="O23" s="233"/>
      <c r="P23" s="233"/>
      <c r="Q23" s="233"/>
      <c r="R23" s="233"/>
      <c r="S23" s="237">
        <v>24</v>
      </c>
      <c r="X23" s="259" t="s">
        <v>2372</v>
      </c>
      <c r="AB23" s="867" t="s">
        <v>2373</v>
      </c>
      <c r="AC23" s="868" t="s">
        <v>2363</v>
      </c>
    </row>
    <row customHeight="1" ht="12">
      <c r="A24" s="233" t="s">
        <v>114</v>
      </c>
      <c r="B24" s="234" t="s">
        <v>2374</v>
      </c>
      <c r="C24" s="233" t="s">
        <v>114</v>
      </c>
      <c r="D24" s="233"/>
      <c r="E24" s="233"/>
      <c r="F24" s="233"/>
      <c r="G24" s="233"/>
      <c r="H24" s="233"/>
      <c r="I24" s="233"/>
      <c r="J24" s="233"/>
      <c r="K24" s="822" t="s">
        <v>2375</v>
      </c>
      <c r="L24" s="233"/>
      <c r="M24" s="233"/>
      <c r="N24" s="233"/>
      <c r="O24" s="233"/>
      <c r="P24" s="233"/>
      <c r="Q24" s="233"/>
      <c r="R24" s="233"/>
      <c r="S24" s="237">
        <v>25</v>
      </c>
      <c r="X24" s="259" t="s">
        <v>2376</v>
      </c>
      <c r="AB24" s="867" t="s">
        <v>2377</v>
      </c>
      <c r="AC24" s="868" t="s">
        <v>2363</v>
      </c>
    </row>
    <row customHeight="1" ht="12">
      <c r="A25" s="233" t="s">
        <v>2378</v>
      </c>
      <c r="B25" s="234" t="s">
        <v>2379</v>
      </c>
      <c r="C25" s="233" t="s">
        <v>2378</v>
      </c>
      <c r="D25" s="233"/>
      <c r="E25" s="233"/>
      <c r="F25" s="233"/>
      <c r="G25" s="233"/>
      <c r="H25" s="233"/>
      <c r="I25" s="233"/>
      <c r="J25" s="233"/>
      <c r="K25" s="822" t="s">
        <v>2380</v>
      </c>
      <c r="L25" s="233"/>
      <c r="M25" s="233"/>
      <c r="N25" s="233"/>
      <c r="O25" s="233"/>
      <c r="P25" s="233"/>
      <c r="Q25" s="233"/>
      <c r="R25" s="233"/>
      <c r="S25" s="237">
        <v>26</v>
      </c>
      <c r="X25" s="259" t="s">
        <v>2381</v>
      </c>
      <c r="AB25" s="867" t="s">
        <v>2382</v>
      </c>
      <c r="AC25" s="868" t="s">
        <v>2363</v>
      </c>
    </row>
    <row customHeight="1" ht="12">
      <c r="A26" s="233" t="s">
        <v>2383</v>
      </c>
      <c r="B26" s="234" t="s">
        <v>2384</v>
      </c>
      <c r="C26" s="233" t="s">
        <v>2383</v>
      </c>
      <c r="D26" s="233"/>
      <c r="E26" s="233"/>
      <c r="F26" s="233"/>
      <c r="G26" s="233"/>
      <c r="H26" s="233"/>
      <c r="I26" s="233"/>
      <c r="J26" s="233"/>
      <c r="K26" s="822" t="s">
        <v>340</v>
      </c>
      <c r="L26" s="233"/>
      <c r="M26" s="233"/>
      <c r="N26" s="233"/>
      <c r="O26" s="233"/>
      <c r="P26" s="233"/>
      <c r="Q26" s="233"/>
      <c r="R26" s="233"/>
      <c r="S26" s="237">
        <v>27</v>
      </c>
      <c r="X26" s="259" t="s">
        <v>2385</v>
      </c>
      <c r="AB26" s="867" t="s">
        <v>2386</v>
      </c>
      <c r="AC26" s="868" t="s">
        <v>2363</v>
      </c>
    </row>
    <row customHeight="1" ht="12">
      <c r="A27" s="233" t="s">
        <v>2387</v>
      </c>
      <c r="B27" s="234" t="s">
        <v>2388</v>
      </c>
      <c r="C27" s="233" t="s">
        <v>2387</v>
      </c>
      <c r="D27" s="233"/>
      <c r="E27" s="233"/>
      <c r="F27" s="233"/>
      <c r="G27" s="233"/>
      <c r="H27" s="233"/>
      <c r="I27" s="233"/>
      <c r="J27" s="233"/>
      <c r="K27" s="822" t="s">
        <v>2389</v>
      </c>
      <c r="L27" s="233"/>
      <c r="M27" s="233"/>
      <c r="N27" s="233"/>
      <c r="O27" s="233"/>
      <c r="P27" s="233"/>
      <c r="Q27" s="233"/>
      <c r="R27" s="233"/>
      <c r="S27" s="237">
        <v>28</v>
      </c>
      <c r="X27" s="259" t="s">
        <v>2390</v>
      </c>
      <c r="AB27" s="867" t="s">
        <v>2391</v>
      </c>
      <c r="AC27" s="868" t="s">
        <v>2363</v>
      </c>
    </row>
    <row customHeight="1" ht="12">
      <c r="A28" s="233" t="s">
        <v>2392</v>
      </c>
      <c r="B28" s="234" t="s">
        <v>2393</v>
      </c>
      <c r="C28" s="233" t="s">
        <v>2392</v>
      </c>
      <c r="D28" s="233"/>
      <c r="E28" s="233"/>
      <c r="F28" s="233"/>
      <c r="G28" s="233"/>
      <c r="H28" s="233"/>
      <c r="I28" s="233"/>
      <c r="J28" s="233"/>
      <c r="K28" s="822" t="s">
        <v>2394</v>
      </c>
      <c r="L28" s="233"/>
      <c r="M28" s="233"/>
      <c r="N28" s="233"/>
      <c r="O28" s="233"/>
      <c r="P28" s="233"/>
      <c r="Q28" s="233"/>
      <c r="R28" s="233"/>
      <c r="S28" s="237">
        <v>29</v>
      </c>
      <c r="X28" s="259" t="s">
        <v>2395</v>
      </c>
      <c r="AB28" s="867" t="s">
        <v>2396</v>
      </c>
      <c r="AC28" s="868" t="s">
        <v>2363</v>
      </c>
    </row>
    <row customHeight="1" ht="12">
      <c r="A29" s="233" t="s">
        <v>2397</v>
      </c>
      <c r="B29" s="234" t="s">
        <v>2398</v>
      </c>
      <c r="C29" s="233" t="s">
        <v>2397</v>
      </c>
      <c r="D29" s="233"/>
      <c r="E29" s="233"/>
      <c r="F29" s="233"/>
      <c r="G29" s="233"/>
      <c r="H29" s="233"/>
      <c r="I29" s="233"/>
      <c r="J29" s="233"/>
      <c r="K29" s="233"/>
      <c r="L29" s="233"/>
      <c r="M29" s="233"/>
      <c r="N29" s="233"/>
      <c r="O29" s="233"/>
      <c r="P29" s="233"/>
      <c r="Q29" s="233"/>
      <c r="R29" s="233"/>
      <c r="S29" s="237">
        <v>30</v>
      </c>
      <c r="X29" s="259" t="s">
        <v>2399</v>
      </c>
      <c r="AB29" s="867" t="s">
        <v>2400</v>
      </c>
      <c r="AC29" s="868" t="s">
        <v>2363</v>
      </c>
    </row>
    <row customHeight="1" ht="12">
      <c r="A30" s="233" t="s">
        <v>2401</v>
      </c>
      <c r="B30" s="234" t="s">
        <v>2402</v>
      </c>
      <c r="C30" s="233" t="s">
        <v>2401</v>
      </c>
      <c r="D30" s="233"/>
      <c r="E30" s="233"/>
      <c r="F30" s="233"/>
      <c r="G30" s="233"/>
      <c r="H30" s="233"/>
      <c r="I30" s="233"/>
      <c r="J30" s="233"/>
      <c r="K30" s="235" t="s">
        <v>2403</v>
      </c>
      <c r="L30" s="233"/>
      <c r="M30" s="233"/>
      <c r="N30" s="233"/>
      <c r="O30" s="233"/>
      <c r="P30" s="233"/>
      <c r="Q30" s="233"/>
      <c r="R30" s="233"/>
      <c r="S30" s="237">
        <v>31</v>
      </c>
      <c r="X30" s="259" t="s">
        <v>2404</v>
      </c>
      <c r="AB30" s="867" t="s">
        <v>2405</v>
      </c>
      <c r="AC30" s="868" t="s">
        <v>2363</v>
      </c>
    </row>
    <row customHeight="1" ht="12">
      <c r="A31" s="233" t="s">
        <v>2406</v>
      </c>
      <c r="B31" s="234" t="s">
        <v>2407</v>
      </c>
      <c r="C31" s="233" t="s">
        <v>2406</v>
      </c>
      <c r="D31" s="233"/>
      <c r="E31" s="233"/>
      <c r="F31" s="233"/>
      <c r="G31" s="233"/>
      <c r="H31" s="233"/>
      <c r="I31" s="233"/>
      <c r="J31" s="233"/>
      <c r="K31" s="822" t="s">
        <v>2408</v>
      </c>
      <c r="L31" s="233"/>
      <c r="M31" s="233"/>
      <c r="N31" s="233"/>
      <c r="O31" s="233"/>
      <c r="P31" s="233"/>
      <c r="Q31" s="233"/>
      <c r="R31" s="233"/>
      <c r="S31" s="237">
        <v>32</v>
      </c>
      <c r="X31" s="259" t="s">
        <v>2409</v>
      </c>
      <c r="AB31" s="867" t="s">
        <v>2410</v>
      </c>
      <c r="AC31" s="868" t="s">
        <v>2363</v>
      </c>
    </row>
    <row customHeight="1" ht="12">
      <c r="A32" s="233" t="s">
        <v>2411</v>
      </c>
      <c r="B32" s="234" t="s">
        <v>2412</v>
      </c>
      <c r="C32" s="233" t="s">
        <v>2411</v>
      </c>
      <c r="D32" s="233"/>
      <c r="E32" s="233"/>
      <c r="F32" s="233"/>
      <c r="G32" s="233"/>
      <c r="H32" s="233"/>
      <c r="I32" s="233"/>
      <c r="J32" s="233"/>
      <c r="K32" s="822" t="s">
        <v>2413</v>
      </c>
      <c r="L32" s="233"/>
      <c r="M32" s="233"/>
      <c r="N32" s="233"/>
      <c r="O32" s="233"/>
      <c r="P32" s="233"/>
      <c r="Q32" s="233"/>
      <c r="R32" s="233"/>
      <c r="S32" s="237">
        <v>33</v>
      </c>
      <c r="X32" s="259" t="s">
        <v>2414</v>
      </c>
      <c r="AB32" s="867" t="s">
        <v>2415</v>
      </c>
      <c r="AC32" s="868" t="s">
        <v>2363</v>
      </c>
    </row>
    <row customHeight="1" ht="12">
      <c r="A33" s="233" t="s">
        <v>2416</v>
      </c>
      <c r="B33" s="234" t="s">
        <v>2417</v>
      </c>
      <c r="C33" s="233" t="s">
        <v>2416</v>
      </c>
      <c r="D33" s="233"/>
      <c r="E33" s="233"/>
      <c r="F33" s="233"/>
      <c r="G33" s="233"/>
      <c r="H33" s="233"/>
      <c r="I33" s="233"/>
      <c r="J33" s="233"/>
      <c r="K33" s="822" t="s">
        <v>2418</v>
      </c>
      <c r="L33" s="233"/>
      <c r="M33" s="233"/>
      <c r="N33" s="233"/>
      <c r="O33" s="233"/>
      <c r="P33" s="233"/>
      <c r="Q33" s="233"/>
      <c r="R33" s="233"/>
      <c r="S33" s="237">
        <v>34</v>
      </c>
      <c r="X33" s="259" t="s">
        <v>2419</v>
      </c>
      <c r="AB33" s="868" t="s">
        <v>2420</v>
      </c>
      <c r="AC33" s="868" t="s">
        <v>2363</v>
      </c>
    </row>
    <row customHeight="1" ht="12">
      <c r="A34" s="233" t="s">
        <v>2421</v>
      </c>
      <c r="B34" s="234" t="s">
        <v>2422</v>
      </c>
      <c r="C34" s="233" t="s">
        <v>2421</v>
      </c>
      <c r="D34" s="233"/>
      <c r="E34" s="233"/>
      <c r="F34" s="233"/>
      <c r="G34" s="233"/>
      <c r="H34" s="233"/>
      <c r="I34" s="233"/>
      <c r="J34" s="233"/>
      <c r="K34" s="233"/>
      <c r="L34" s="233"/>
      <c r="M34" s="233"/>
      <c r="N34" s="233"/>
      <c r="O34" s="233"/>
      <c r="P34" s="233"/>
      <c r="Q34" s="233"/>
      <c r="R34" s="233"/>
      <c r="S34" s="237">
        <v>35</v>
      </c>
      <c r="X34" s="259" t="s">
        <v>2423</v>
      </c>
      <c r="AB34" s="868" t="s">
        <v>2424</v>
      </c>
      <c r="AC34" s="868" t="s">
        <v>2363</v>
      </c>
    </row>
    <row customHeight="1" ht="12">
      <c r="A35" s="233" t="s">
        <v>2425</v>
      </c>
      <c r="B35" s="234" t="s">
        <v>2426</v>
      </c>
      <c r="C35" s="233" t="s">
        <v>2425</v>
      </c>
      <c r="D35" s="233"/>
      <c r="E35" s="233"/>
      <c r="F35" s="233"/>
      <c r="G35" s="233"/>
      <c r="H35" s="233"/>
      <c r="I35" s="233"/>
      <c r="J35" s="233"/>
      <c r="K35" s="233"/>
      <c r="L35" s="233"/>
      <c r="M35" s="233"/>
      <c r="N35" s="233"/>
      <c r="O35" s="233"/>
      <c r="P35" s="233"/>
      <c r="Q35" s="233"/>
      <c r="R35" s="233"/>
      <c r="S35" s="237">
        <v>36</v>
      </c>
      <c r="X35" s="259" t="s">
        <v>2427</v>
      </c>
      <c r="AB35" s="868" t="s">
        <v>897</v>
      </c>
      <c r="AC35" s="868" t="s">
        <v>2363</v>
      </c>
    </row>
    <row customHeight="1" ht="12">
      <c r="A36" s="233" t="s">
        <v>2428</v>
      </c>
      <c r="B36" s="234" t="s">
        <v>2429</v>
      </c>
      <c r="C36" s="233" t="s">
        <v>2428</v>
      </c>
      <c r="D36" s="233"/>
      <c r="E36" s="233"/>
      <c r="F36" s="233"/>
      <c r="G36" s="233"/>
      <c r="H36" s="233"/>
      <c r="I36" s="233"/>
      <c r="J36" s="233"/>
      <c r="K36" s="233"/>
      <c r="L36" s="233"/>
      <c r="M36" s="233"/>
      <c r="N36" s="233"/>
      <c r="O36" s="233"/>
      <c r="P36" s="233"/>
      <c r="Q36" s="233"/>
      <c r="R36" s="233"/>
      <c r="S36" s="237">
        <v>37</v>
      </c>
      <c r="X36" s="259" t="s">
        <v>2430</v>
      </c>
      <c r="AB36" s="868" t="s">
        <v>2431</v>
      </c>
      <c r="AC36" s="868" t="s">
        <v>2363</v>
      </c>
    </row>
    <row customHeight="1" ht="12">
      <c r="A37" s="233" t="s">
        <v>2432</v>
      </c>
      <c r="B37" s="234" t="s">
        <v>2433</v>
      </c>
      <c r="C37" s="233" t="s">
        <v>2432</v>
      </c>
      <c r="D37" s="233"/>
      <c r="E37" s="233"/>
      <c r="F37" s="233"/>
      <c r="G37" s="233"/>
      <c r="H37" s="233"/>
      <c r="I37" s="233"/>
      <c r="J37" s="233"/>
      <c r="K37" s="233"/>
      <c r="L37" s="233"/>
      <c r="M37" s="233"/>
      <c r="N37" s="233"/>
      <c r="O37" s="233"/>
      <c r="P37" s="233"/>
      <c r="Q37" s="233"/>
      <c r="R37" s="233"/>
      <c r="S37" s="237">
        <v>38</v>
      </c>
      <c r="AB37" s="868" t="s">
        <v>2434</v>
      </c>
      <c r="AC37" s="868" t="s">
        <v>2363</v>
      </c>
    </row>
    <row customHeight="1" ht="12">
      <c r="A38" s="233" t="s">
        <v>2435</v>
      </c>
      <c r="B38" s="234" t="s">
        <v>2436</v>
      </c>
      <c r="C38" s="233" t="s">
        <v>2435</v>
      </c>
      <c r="D38" s="233"/>
      <c r="E38" s="233"/>
      <c r="F38" s="233"/>
      <c r="G38" s="233"/>
      <c r="H38" s="233"/>
      <c r="I38" s="233"/>
      <c r="J38" s="233"/>
      <c r="K38" s="235" t="s">
        <v>2437</v>
      </c>
      <c r="L38" s="233"/>
      <c r="M38" s="233"/>
      <c r="N38" s="233"/>
      <c r="O38" s="233"/>
      <c r="P38" s="233"/>
      <c r="Q38" s="233"/>
      <c r="R38" s="233"/>
      <c r="S38" s="237">
        <v>39</v>
      </c>
      <c r="AB38" s="868" t="s">
        <v>2438</v>
      </c>
      <c r="AC38" s="868" t="s">
        <v>2363</v>
      </c>
    </row>
    <row customHeight="1" ht="12">
      <c r="A39" s="233" t="s">
        <v>2439</v>
      </c>
      <c r="B39" s="234" t="s">
        <v>2440</v>
      </c>
      <c r="C39" s="233" t="s">
        <v>2439</v>
      </c>
      <c r="D39" s="233"/>
      <c r="E39" s="233"/>
      <c r="F39" s="233"/>
      <c r="G39" s="233"/>
      <c r="H39" s="233"/>
      <c r="I39" s="233"/>
      <c r="J39" s="233"/>
      <c r="K39" s="239" t="s">
        <v>2441</v>
      </c>
      <c r="L39" s="233"/>
      <c r="M39" s="233"/>
      <c r="N39" s="233"/>
      <c r="O39" s="233"/>
      <c r="P39" s="233"/>
      <c r="Q39" s="233"/>
      <c r="R39" s="233"/>
      <c r="S39" s="237">
        <v>40</v>
      </c>
      <c r="AB39" s="868" t="s">
        <v>2442</v>
      </c>
      <c r="AC39" s="868" t="s">
        <v>2363</v>
      </c>
    </row>
    <row customHeight="1" ht="12">
      <c r="A40" s="233" t="s">
        <v>2443</v>
      </c>
      <c r="B40" s="234" t="s">
        <v>2444</v>
      </c>
      <c r="C40" s="233" t="s">
        <v>2443</v>
      </c>
      <c r="D40" s="233"/>
      <c r="E40" s="233"/>
      <c r="F40" s="233"/>
      <c r="G40" s="233"/>
      <c r="H40" s="233"/>
      <c r="I40" s="233"/>
      <c r="J40" s="233"/>
      <c r="K40" s="239" t="s">
        <v>2445</v>
      </c>
      <c r="L40" s="233"/>
      <c r="M40" s="233"/>
      <c r="N40" s="233"/>
      <c r="O40" s="233"/>
      <c r="P40" s="233"/>
      <c r="Q40" s="233"/>
      <c r="R40" s="233"/>
      <c r="S40" s="237">
        <v>41</v>
      </c>
      <c r="AB40" s="868" t="s">
        <v>2446</v>
      </c>
      <c r="AC40" s="868" t="s">
        <v>2363</v>
      </c>
    </row>
    <row customHeight="1" ht="12">
      <c r="A41" s="233" t="s">
        <v>2447</v>
      </c>
      <c r="B41" s="234" t="s">
        <v>2448</v>
      </c>
      <c r="C41" s="233" t="s">
        <v>2447</v>
      </c>
      <c r="D41" s="233"/>
      <c r="E41" s="233"/>
      <c r="F41" s="233"/>
      <c r="G41" s="233"/>
      <c r="H41" s="233"/>
      <c r="I41" s="233"/>
      <c r="J41" s="233"/>
      <c r="K41" s="239" t="s">
        <v>2449</v>
      </c>
      <c r="L41" s="233"/>
      <c r="M41" s="233"/>
      <c r="N41" s="233"/>
      <c r="O41" s="233"/>
      <c r="P41" s="233"/>
      <c r="Q41" s="233"/>
      <c r="R41" s="233"/>
      <c r="S41" s="237">
        <v>42</v>
      </c>
      <c r="AB41" s="868" t="s">
        <v>2450</v>
      </c>
      <c r="AC41" s="868" t="s">
        <v>2363</v>
      </c>
    </row>
    <row customHeight="1" ht="12">
      <c r="A42" s="233" t="s">
        <v>2451</v>
      </c>
      <c r="B42" s="234" t="s">
        <v>2452</v>
      </c>
      <c r="C42" s="233" t="s">
        <v>2451</v>
      </c>
      <c r="D42" s="233"/>
      <c r="E42" s="233"/>
      <c r="F42" s="233"/>
      <c r="G42" s="233"/>
      <c r="H42" s="233"/>
      <c r="I42" s="233"/>
      <c r="J42" s="233"/>
      <c r="K42" s="239" t="s">
        <v>2453</v>
      </c>
      <c r="L42" s="233"/>
      <c r="M42" s="233"/>
      <c r="N42" s="233"/>
      <c r="O42" s="233"/>
      <c r="P42" s="233"/>
      <c r="Q42" s="233"/>
      <c r="R42" s="233"/>
      <c r="S42" s="237">
        <v>43</v>
      </c>
      <c r="AB42" s="868" t="s">
        <v>2454</v>
      </c>
      <c r="AC42" s="868" t="s">
        <v>2363</v>
      </c>
    </row>
    <row customHeight="1" ht="12">
      <c r="A43" s="233" t="s">
        <v>2455</v>
      </c>
      <c r="B43" s="234" t="s">
        <v>2456</v>
      </c>
      <c r="C43" s="233" t="s">
        <v>2455</v>
      </c>
      <c r="D43" s="233"/>
      <c r="E43" s="233"/>
      <c r="F43" s="233"/>
      <c r="G43" s="233"/>
      <c r="H43" s="233"/>
      <c r="I43" s="233"/>
      <c r="J43" s="233"/>
      <c r="K43" s="233"/>
      <c r="L43" s="233"/>
      <c r="M43" s="233"/>
      <c r="N43" s="233"/>
      <c r="O43" s="233"/>
      <c r="P43" s="233"/>
      <c r="Q43" s="233"/>
      <c r="R43" s="233"/>
      <c r="S43" s="237">
        <v>44</v>
      </c>
      <c r="AB43" s="868" t="s">
        <v>2457</v>
      </c>
      <c r="AC43" s="868" t="s">
        <v>2458</v>
      </c>
    </row>
    <row customHeight="1" ht="12">
      <c r="A44" s="233" t="s">
        <v>2459</v>
      </c>
      <c r="B44" s="234" t="s">
        <v>2460</v>
      </c>
      <c r="C44" s="233" t="s">
        <v>2459</v>
      </c>
      <c r="D44" s="233"/>
      <c r="E44" s="233"/>
      <c r="F44" s="233"/>
      <c r="G44" s="233"/>
      <c r="H44" s="233"/>
      <c r="I44" s="233"/>
      <c r="J44" s="233"/>
      <c r="K44" s="233"/>
      <c r="L44" s="233"/>
      <c r="M44" s="233"/>
      <c r="N44" s="233"/>
      <c r="O44" s="233"/>
      <c r="P44" s="233"/>
      <c r="Q44" s="233"/>
      <c r="R44" s="233"/>
      <c r="S44" s="237">
        <v>45</v>
      </c>
      <c r="AB44" s="868" t="s">
        <v>2461</v>
      </c>
      <c r="AC44" s="868" t="s">
        <v>2462</v>
      </c>
    </row>
    <row customHeight="1" ht="12">
      <c r="A45" s="233" t="s">
        <v>2463</v>
      </c>
      <c r="B45" s="234" t="s">
        <v>2464</v>
      </c>
      <c r="C45" s="233" t="s">
        <v>2463</v>
      </c>
      <c r="D45" s="233"/>
      <c r="E45" s="233"/>
      <c r="F45" s="233"/>
      <c r="G45" s="233"/>
      <c r="H45" s="233"/>
      <c r="I45" s="233"/>
      <c r="J45" s="233"/>
      <c r="K45" s="235" t="s">
        <v>2465</v>
      </c>
      <c r="L45" s="233"/>
      <c r="M45" s="233"/>
      <c r="N45" s="233"/>
      <c r="O45" s="233"/>
      <c r="P45" s="233"/>
      <c r="Q45" s="233"/>
      <c r="R45" s="233"/>
      <c r="S45" s="237">
        <v>46</v>
      </c>
      <c r="AB45" s="868" t="s">
        <v>2466</v>
      </c>
      <c r="AC45" s="868" t="s">
        <v>2363</v>
      </c>
    </row>
    <row customHeight="1" ht="12">
      <c r="A46" s="233" t="s">
        <v>2467</v>
      </c>
      <c r="B46" s="234" t="s">
        <v>2468</v>
      </c>
      <c r="C46" s="233" t="s">
        <v>2467</v>
      </c>
      <c r="D46" s="233"/>
      <c r="E46" s="233"/>
      <c r="F46" s="233"/>
      <c r="G46" s="233"/>
      <c r="H46" s="233"/>
      <c r="I46" s="233"/>
      <c r="J46" s="233"/>
      <c r="K46" s="239" t="s">
        <v>302</v>
      </c>
      <c r="L46" s="233"/>
      <c r="M46" s="233"/>
      <c r="N46" s="233"/>
      <c r="O46" s="233"/>
      <c r="P46" s="233"/>
      <c r="Q46" s="233"/>
      <c r="R46" s="233"/>
      <c r="S46" s="237">
        <v>47</v>
      </c>
      <c r="AB46" s="868" t="s">
        <v>2469</v>
      </c>
      <c r="AC46" s="868" t="s">
        <v>2363</v>
      </c>
    </row>
    <row customHeight="1" ht="12">
      <c r="A47" s="233" t="s">
        <v>2470</v>
      </c>
      <c r="B47" s="234" t="s">
        <v>2471</v>
      </c>
      <c r="C47" s="233" t="s">
        <v>2470</v>
      </c>
      <c r="D47" s="233"/>
      <c r="E47" s="233"/>
      <c r="F47" s="233"/>
      <c r="G47" s="233"/>
      <c r="H47" s="233"/>
      <c r="I47" s="233"/>
      <c r="J47" s="233"/>
      <c r="K47" s="239" t="s">
        <v>2361</v>
      </c>
      <c r="L47" s="233"/>
      <c r="M47" s="233"/>
      <c r="N47" s="233"/>
      <c r="O47" s="233"/>
      <c r="P47" s="233"/>
      <c r="Q47" s="233"/>
      <c r="R47" s="233"/>
      <c r="S47" s="237">
        <v>48</v>
      </c>
      <c r="AB47" s="868" t="s">
        <v>2472</v>
      </c>
      <c r="AC47" s="868" t="s">
        <v>2363</v>
      </c>
    </row>
    <row customHeight="1" ht="12">
      <c r="A48" s="233" t="s">
        <v>2473</v>
      </c>
      <c r="B48" s="234" t="s">
        <v>2474</v>
      </c>
      <c r="C48" s="233" t="s">
        <v>2473</v>
      </c>
      <c r="D48" s="233"/>
      <c r="E48" s="233"/>
      <c r="F48" s="233"/>
      <c r="G48" s="233"/>
      <c r="H48" s="233"/>
      <c r="I48" s="233"/>
      <c r="J48" s="233"/>
      <c r="K48" s="239" t="s">
        <v>2366</v>
      </c>
      <c r="L48" s="233"/>
      <c r="M48" s="233"/>
      <c r="N48" s="233"/>
      <c r="O48" s="233"/>
      <c r="P48" s="233"/>
      <c r="Q48" s="233"/>
      <c r="R48" s="233"/>
      <c r="S48" s="237">
        <v>49</v>
      </c>
      <c r="AB48" s="868" t="s">
        <v>2475</v>
      </c>
      <c r="AC48" s="868" t="s">
        <v>2363</v>
      </c>
    </row>
    <row customHeight="1" ht="12">
      <c r="A49" s="233" t="s">
        <v>2476</v>
      </c>
      <c r="B49" s="234" t="s">
        <v>2477</v>
      </c>
      <c r="C49" s="233" t="s">
        <v>2476</v>
      </c>
      <c r="D49" s="233"/>
      <c r="E49" s="233"/>
      <c r="F49" s="233"/>
      <c r="G49" s="233"/>
      <c r="H49" s="233"/>
      <c r="I49" s="233"/>
      <c r="J49" s="233"/>
      <c r="K49" s="239" t="s">
        <v>2372</v>
      </c>
      <c r="L49" s="233"/>
      <c r="M49" s="233"/>
      <c r="N49" s="233"/>
      <c r="O49" s="233"/>
      <c r="P49" s="233"/>
      <c r="Q49" s="233"/>
      <c r="R49" s="233"/>
      <c r="S49" s="237">
        <v>50</v>
      </c>
      <c r="AB49" s="868" t="s">
        <v>2478</v>
      </c>
      <c r="AC49" s="868" t="s">
        <v>2363</v>
      </c>
    </row>
    <row customHeight="1" ht="12">
      <c r="A50" s="233" t="s">
        <v>2479</v>
      </c>
      <c r="B50" s="234" t="s">
        <v>2480</v>
      </c>
      <c r="C50" s="233" t="s">
        <v>2479</v>
      </c>
      <c r="D50" s="233"/>
      <c r="E50" s="233"/>
      <c r="F50" s="233"/>
      <c r="G50" s="233"/>
      <c r="H50" s="233"/>
      <c r="I50" s="233"/>
      <c r="J50" s="233"/>
      <c r="K50" s="239" t="s">
        <v>241</v>
      </c>
      <c r="L50" s="233"/>
      <c r="M50" s="233"/>
      <c r="N50" s="233"/>
      <c r="O50" s="233"/>
      <c r="P50" s="233"/>
      <c r="Q50" s="233"/>
      <c r="R50" s="233"/>
      <c r="AB50" s="868" t="s">
        <v>2481</v>
      </c>
      <c r="AC50" s="868" t="s">
        <v>2363</v>
      </c>
    </row>
    <row customHeight="1" ht="12">
      <c r="A51" s="233" t="s">
        <v>2482</v>
      </c>
      <c r="B51" s="234" t="s">
        <v>2483</v>
      </c>
      <c r="C51" s="233" t="s">
        <v>2482</v>
      </c>
      <c r="D51" s="233"/>
      <c r="E51" s="233"/>
      <c r="F51" s="233"/>
      <c r="G51" s="233"/>
      <c r="H51" s="233"/>
      <c r="I51" s="233"/>
      <c r="J51" s="233"/>
      <c r="K51" s="239" t="s">
        <v>2352</v>
      </c>
      <c r="L51" s="233"/>
      <c r="M51" s="233"/>
      <c r="N51" s="233"/>
      <c r="O51" s="233"/>
      <c r="P51" s="233"/>
      <c r="Q51" s="233"/>
      <c r="R51" s="233"/>
      <c r="AB51" s="868" t="s">
        <v>2484</v>
      </c>
      <c r="AC51" s="868" t="s">
        <v>2363</v>
      </c>
    </row>
    <row customHeight="1" ht="12">
      <c r="A52" s="233" t="s">
        <v>2485</v>
      </c>
      <c r="B52" s="234" t="s">
        <v>2486</v>
      </c>
      <c r="C52" s="233" t="s">
        <v>2485</v>
      </c>
      <c r="D52" s="233"/>
      <c r="E52" s="233"/>
      <c r="F52" s="233"/>
      <c r="G52" s="233"/>
      <c r="H52" s="233"/>
      <c r="I52" s="233"/>
      <c r="J52" s="233"/>
      <c r="K52" s="239" t="s">
        <v>2487</v>
      </c>
      <c r="L52" s="233"/>
      <c r="M52" s="233"/>
      <c r="N52" s="233"/>
      <c r="O52" s="233"/>
      <c r="P52" s="233"/>
      <c r="Q52" s="233"/>
      <c r="R52" s="233"/>
      <c r="AB52" s="868" t="s">
        <v>2488</v>
      </c>
      <c r="AC52" s="1023" t="s">
        <v>2363</v>
      </c>
    </row>
    <row customHeight="1" ht="12">
      <c r="A53" s="233" t="s">
        <v>2489</v>
      </c>
      <c r="B53" s="234" t="s">
        <v>2490</v>
      </c>
      <c r="C53" s="233" t="s">
        <v>2489</v>
      </c>
      <c r="D53" s="233"/>
      <c r="E53" s="233"/>
      <c r="F53" s="233"/>
      <c r="G53" s="233"/>
      <c r="H53" s="233"/>
      <c r="I53" s="233"/>
      <c r="J53" s="233"/>
      <c r="K53" s="233"/>
      <c r="L53" s="233"/>
      <c r="M53" s="233"/>
      <c r="N53" s="233"/>
      <c r="O53" s="233"/>
      <c r="P53" s="233"/>
      <c r="Q53" s="233"/>
      <c r="R53" s="233"/>
      <c r="AB53" s="868" t="s">
        <v>2491</v>
      </c>
      <c r="AC53" s="868" t="s">
        <v>2228</v>
      </c>
    </row>
    <row customHeight="1" ht="12">
      <c r="A54" s="233" t="s">
        <v>2492</v>
      </c>
      <c r="B54" s="234" t="s">
        <v>2493</v>
      </c>
      <c r="C54" s="233" t="s">
        <v>2492</v>
      </c>
      <c r="D54" s="233"/>
      <c r="E54" s="233"/>
      <c r="F54" s="233"/>
      <c r="G54" s="233"/>
      <c r="H54" s="233"/>
      <c r="I54" s="233"/>
      <c r="J54" s="233"/>
      <c r="K54" s="233"/>
      <c r="L54" s="233"/>
      <c r="M54" s="233"/>
      <c r="N54" s="233"/>
      <c r="O54" s="233"/>
      <c r="P54" s="233"/>
      <c r="Q54" s="233"/>
      <c r="R54" s="233"/>
      <c r="AB54" s="867" t="s">
        <v>2494</v>
      </c>
      <c r="AC54" s="868" t="s">
        <v>2228</v>
      </c>
    </row>
    <row customHeight="1" ht="12">
      <c r="A55" s="233" t="s">
        <v>2495</v>
      </c>
      <c r="B55" s="234" t="s">
        <v>2496</v>
      </c>
      <c r="C55" s="233" t="s">
        <v>2495</v>
      </c>
      <c r="D55" s="233"/>
      <c r="E55" s="233"/>
      <c r="F55" s="233"/>
      <c r="G55" s="233"/>
      <c r="H55" s="233"/>
      <c r="I55" s="233"/>
      <c r="J55" s="233"/>
      <c r="K55" s="233"/>
      <c r="L55" s="233"/>
      <c r="M55" s="233"/>
      <c r="N55" s="233"/>
      <c r="O55" s="233"/>
      <c r="P55" s="233"/>
      <c r="Q55" s="233"/>
      <c r="R55" s="233"/>
      <c r="AB55" s="867" t="s">
        <v>2497</v>
      </c>
      <c r="AC55" s="868" t="s">
        <v>2363</v>
      </c>
    </row>
    <row customHeight="1" ht="12">
      <c r="A56" s="233" t="s">
        <v>2498</v>
      </c>
      <c r="B56" s="242" t="s">
        <v>2499</v>
      </c>
      <c r="C56" s="244" t="s">
        <v>2500</v>
      </c>
      <c r="D56" s="233"/>
      <c r="E56" s="233"/>
      <c r="F56" s="233"/>
      <c r="G56" s="233"/>
      <c r="H56" s="233"/>
      <c r="I56" s="233"/>
      <c r="J56" s="233"/>
      <c r="K56" s="233"/>
      <c r="L56" s="233"/>
      <c r="M56" s="233"/>
      <c r="N56" s="233"/>
      <c r="O56" s="233"/>
      <c r="P56" s="233"/>
      <c r="Q56" s="233"/>
      <c r="R56" s="233"/>
      <c r="AB56" s="867" t="s">
        <v>2501</v>
      </c>
      <c r="AC56" s="868" t="s">
        <v>2363</v>
      </c>
    </row>
    <row customHeight="1" ht="12">
      <c r="A57" s="233" t="s">
        <v>2502</v>
      </c>
      <c r="B57" s="234" t="s">
        <v>2503</v>
      </c>
      <c r="C57" s="233" t="s">
        <v>2502</v>
      </c>
      <c r="D57" s="233"/>
      <c r="E57" s="233"/>
      <c r="F57" s="233"/>
      <c r="G57" s="233"/>
      <c r="H57" s="233"/>
      <c r="I57" s="233"/>
      <c r="J57" s="233"/>
      <c r="K57" s="233"/>
      <c r="L57" s="233"/>
      <c r="M57" s="233"/>
      <c r="N57" s="233"/>
      <c r="O57" s="233"/>
      <c r="P57" s="233"/>
      <c r="Q57" s="233"/>
      <c r="R57" s="233"/>
      <c r="AB57" s="867" t="s">
        <v>2504</v>
      </c>
      <c r="AC57" s="868" t="s">
        <v>2228</v>
      </c>
    </row>
    <row customHeight="1" ht="12">
      <c r="A58" s="233" t="s">
        <v>2505</v>
      </c>
      <c r="B58" s="234" t="s">
        <v>2506</v>
      </c>
      <c r="C58" s="233" t="s">
        <v>2505</v>
      </c>
      <c r="D58" s="233"/>
      <c r="E58" s="233"/>
      <c r="F58" s="233"/>
      <c r="G58" s="233"/>
      <c r="H58" s="233"/>
      <c r="I58" s="233"/>
      <c r="J58" s="233"/>
      <c r="K58" s="233"/>
      <c r="L58" s="233"/>
      <c r="M58" s="233"/>
      <c r="N58" s="233"/>
      <c r="O58" s="233"/>
      <c r="P58" s="233"/>
      <c r="Q58" s="233"/>
      <c r="R58" s="233"/>
    </row>
    <row customHeight="1" ht="12">
      <c r="A59" s="233" t="s">
        <v>2507</v>
      </c>
      <c r="B59" s="234" t="s">
        <v>2508</v>
      </c>
      <c r="C59" s="233" t="s">
        <v>2507</v>
      </c>
      <c r="D59" s="233"/>
      <c r="E59" s="233"/>
      <c r="F59" s="233"/>
      <c r="G59" s="233"/>
      <c r="H59" s="233"/>
      <c r="I59" s="233"/>
      <c r="J59" s="233"/>
      <c r="K59" s="233"/>
      <c r="L59" s="233"/>
      <c r="M59" s="233"/>
      <c r="N59" s="233"/>
      <c r="O59" s="233"/>
      <c r="P59" s="233"/>
      <c r="Q59" s="233"/>
      <c r="R59" s="233"/>
    </row>
    <row customHeight="1" ht="12">
      <c r="A60" s="233" t="s">
        <v>2509</v>
      </c>
      <c r="B60" s="234" t="s">
        <v>2510</v>
      </c>
      <c r="C60" s="240" t="s">
        <v>2511</v>
      </c>
      <c r="D60" s="233"/>
      <c r="E60" s="233"/>
      <c r="F60" s="233"/>
      <c r="G60" s="233"/>
      <c r="H60" s="233"/>
      <c r="I60" s="233"/>
      <c r="J60" s="233"/>
      <c r="K60" s="233"/>
      <c r="L60" s="233"/>
      <c r="M60" s="233"/>
      <c r="N60" s="233"/>
      <c r="O60" s="233"/>
      <c r="P60" s="233"/>
      <c r="Q60" s="233"/>
      <c r="R60" s="233"/>
    </row>
    <row customHeight="1" ht="12">
      <c r="A61" s="233" t="s">
        <v>2512</v>
      </c>
      <c r="B61" s="234" t="s">
        <v>2513</v>
      </c>
      <c r="C61" s="233" t="s">
        <v>2512</v>
      </c>
      <c r="D61" s="233"/>
      <c r="E61" s="233"/>
      <c r="F61" s="233"/>
      <c r="G61" s="233"/>
      <c r="H61" s="233"/>
      <c r="I61" s="233"/>
      <c r="J61" s="233"/>
      <c r="K61" s="233"/>
      <c r="L61" s="233"/>
      <c r="M61" s="233"/>
      <c r="N61" s="233"/>
      <c r="O61" s="233"/>
      <c r="P61" s="233"/>
      <c r="Q61" s="233"/>
      <c r="R61" s="233"/>
    </row>
    <row customHeight="1" ht="12">
      <c r="A62" s="233" t="s">
        <v>2514</v>
      </c>
      <c r="B62" s="234" t="s">
        <v>2515</v>
      </c>
      <c r="C62" s="240" t="s">
        <v>2516</v>
      </c>
      <c r="D62" s="233"/>
      <c r="E62" s="233"/>
      <c r="F62" s="233"/>
      <c r="G62" s="233"/>
      <c r="H62" s="233"/>
      <c r="I62" s="233"/>
      <c r="J62" s="233"/>
      <c r="K62" s="233"/>
      <c r="L62" s="233"/>
      <c r="M62" s="233"/>
      <c r="N62" s="233"/>
      <c r="O62" s="233"/>
      <c r="P62" s="233"/>
      <c r="Q62" s="233"/>
      <c r="R62" s="233"/>
    </row>
    <row customHeight="1" ht="12">
      <c r="A63" s="233" t="s">
        <v>2517</v>
      </c>
      <c r="B63" s="234" t="s">
        <v>2518</v>
      </c>
      <c r="C63" s="233" t="s">
        <v>2517</v>
      </c>
      <c r="D63" s="233"/>
      <c r="E63" s="233"/>
      <c r="F63" s="233"/>
      <c r="G63" s="233"/>
      <c r="H63" s="233"/>
      <c r="I63" s="233"/>
      <c r="J63" s="233"/>
      <c r="K63" s="233"/>
      <c r="L63" s="233"/>
      <c r="M63" s="233"/>
      <c r="N63" s="233"/>
      <c r="O63" s="233"/>
      <c r="P63" s="233"/>
      <c r="Q63" s="233"/>
      <c r="R63" s="233"/>
    </row>
    <row customHeight="1" ht="12">
      <c r="A64" s="233" t="s">
        <v>2519</v>
      </c>
      <c r="B64" s="234" t="s">
        <v>2520</v>
      </c>
      <c r="C64" s="233" t="s">
        <v>2519</v>
      </c>
      <c r="D64" s="233"/>
      <c r="E64" s="233"/>
      <c r="F64" s="233"/>
      <c r="G64" s="233"/>
      <c r="H64" s="233"/>
      <c r="I64" s="233"/>
      <c r="J64" s="233"/>
      <c r="K64" s="233"/>
      <c r="L64" s="233"/>
      <c r="M64" s="233"/>
      <c r="N64" s="233"/>
      <c r="O64" s="233"/>
      <c r="P64" s="233"/>
      <c r="Q64" s="233"/>
      <c r="R64" s="233"/>
    </row>
    <row customHeight="1" ht="12">
      <c r="A65" s="233" t="s">
        <v>2521</v>
      </c>
      <c r="B65" s="234" t="s">
        <v>2522</v>
      </c>
      <c r="C65" s="233" t="s">
        <v>2521</v>
      </c>
      <c r="D65" s="233"/>
      <c r="E65" s="233"/>
      <c r="F65" s="233"/>
      <c r="G65" s="233"/>
      <c r="H65" s="233"/>
      <c r="I65" s="233"/>
      <c r="J65" s="233"/>
      <c r="K65" s="233"/>
      <c r="L65" s="233"/>
      <c r="M65" s="233"/>
      <c r="N65" s="233"/>
      <c r="O65" s="233"/>
      <c r="P65" s="233"/>
      <c r="Q65" s="233"/>
      <c r="R65" s="233"/>
    </row>
    <row customHeight="1" ht="12">
      <c r="A66" s="233" t="s">
        <v>2523</v>
      </c>
      <c r="B66" s="234" t="s">
        <v>2524</v>
      </c>
      <c r="C66" s="233" t="s">
        <v>2523</v>
      </c>
      <c r="D66" s="233"/>
      <c r="E66" s="233"/>
      <c r="F66" s="233"/>
      <c r="G66" s="233"/>
      <c r="H66" s="233"/>
      <c r="I66" s="233"/>
      <c r="J66" s="233"/>
      <c r="K66" s="233"/>
      <c r="L66" s="233"/>
      <c r="M66" s="233"/>
      <c r="N66" s="233"/>
      <c r="O66" s="233"/>
      <c r="P66" s="233"/>
      <c r="Q66" s="233"/>
      <c r="R66" s="233"/>
    </row>
    <row customHeight="1" ht="12">
      <c r="A67" s="233" t="s">
        <v>2525</v>
      </c>
      <c r="B67" s="234" t="s">
        <v>2526</v>
      </c>
      <c r="C67" s="233" t="s">
        <v>2525</v>
      </c>
      <c r="D67" s="233"/>
      <c r="E67" s="233"/>
      <c r="F67" s="233"/>
      <c r="G67" s="233"/>
      <c r="H67" s="233"/>
      <c r="I67" s="233"/>
      <c r="J67" s="233"/>
      <c r="K67" s="233"/>
      <c r="L67" s="233"/>
      <c r="M67" s="233"/>
      <c r="N67" s="233"/>
      <c r="O67" s="233"/>
      <c r="P67" s="233"/>
      <c r="Q67" s="233"/>
      <c r="R67" s="233"/>
    </row>
    <row customHeight="1" ht="12">
      <c r="A68" s="233" t="s">
        <v>2527</v>
      </c>
      <c r="B68" s="234" t="s">
        <v>2528</v>
      </c>
      <c r="C68" s="233" t="s">
        <v>2527</v>
      </c>
      <c r="D68" s="233"/>
      <c r="E68" s="233"/>
      <c r="F68" s="233"/>
      <c r="G68" s="233"/>
      <c r="H68" s="233"/>
      <c r="I68" s="233"/>
      <c r="J68" s="233"/>
      <c r="K68" s="233"/>
      <c r="L68" s="233"/>
      <c r="M68" s="233"/>
      <c r="N68" s="233"/>
      <c r="O68" s="233"/>
      <c r="P68" s="233"/>
      <c r="Q68" s="233"/>
      <c r="R68" s="233"/>
    </row>
    <row customHeight="1" ht="12">
      <c r="A69" s="233" t="s">
        <v>2529</v>
      </c>
      <c r="B69" s="234" t="s">
        <v>2530</v>
      </c>
      <c r="C69" s="233" t="s">
        <v>2529</v>
      </c>
      <c r="D69" s="233"/>
      <c r="E69" s="233"/>
      <c r="F69" s="233"/>
      <c r="G69" s="233"/>
      <c r="H69" s="233"/>
      <c r="I69" s="233"/>
      <c r="J69" s="233"/>
      <c r="K69" s="233"/>
      <c r="L69" s="233"/>
      <c r="M69" s="233"/>
      <c r="N69" s="233"/>
      <c r="O69" s="233"/>
      <c r="P69" s="233"/>
      <c r="Q69" s="233"/>
      <c r="R69" s="233"/>
    </row>
    <row customHeight="1" ht="12">
      <c r="A70" s="233" t="s">
        <v>2531</v>
      </c>
      <c r="B70" s="234" t="s">
        <v>2532</v>
      </c>
      <c r="C70" s="233" t="s">
        <v>2531</v>
      </c>
      <c r="D70" s="233"/>
      <c r="E70" s="233"/>
      <c r="F70" s="233"/>
      <c r="G70" s="233"/>
      <c r="H70" s="233"/>
      <c r="I70" s="233"/>
      <c r="J70" s="233"/>
      <c r="K70" s="233"/>
      <c r="L70" s="233"/>
      <c r="M70" s="233"/>
      <c r="N70" s="233"/>
      <c r="O70" s="233"/>
      <c r="P70" s="233"/>
      <c r="Q70" s="233"/>
      <c r="R70" s="233"/>
    </row>
    <row customHeight="1" ht="12">
      <c r="A71" s="233" t="s">
        <v>2533</v>
      </c>
      <c r="B71" s="234" t="s">
        <v>2534</v>
      </c>
      <c r="C71" s="233" t="s">
        <v>2533</v>
      </c>
      <c r="D71" s="233"/>
      <c r="E71" s="233"/>
      <c r="F71" s="233"/>
      <c r="G71" s="233"/>
      <c r="H71" s="233"/>
      <c r="I71" s="233"/>
      <c r="J71" s="233"/>
      <c r="K71" s="233"/>
      <c r="L71" s="233"/>
      <c r="M71" s="233"/>
      <c r="N71" s="233"/>
      <c r="O71" s="233"/>
      <c r="P71" s="233"/>
      <c r="Q71" s="233"/>
      <c r="R71" s="233"/>
    </row>
    <row customHeight="1" ht="12">
      <c r="A72" s="233" t="s">
        <v>2535</v>
      </c>
      <c r="B72" s="234" t="s">
        <v>2536</v>
      </c>
      <c r="C72" s="233" t="s">
        <v>2535</v>
      </c>
      <c r="D72" s="233"/>
      <c r="E72" s="233"/>
      <c r="F72" s="233"/>
      <c r="G72" s="233"/>
      <c r="H72" s="233"/>
      <c r="I72" s="233"/>
      <c r="J72" s="233"/>
      <c r="K72" s="233"/>
      <c r="L72" s="233"/>
      <c r="M72" s="233"/>
      <c r="N72" s="233"/>
      <c r="O72" s="233"/>
      <c r="P72" s="233"/>
      <c r="Q72" s="233"/>
      <c r="R72" s="233"/>
    </row>
    <row customHeight="1" ht="12">
      <c r="A73" s="233" t="s">
        <v>2537</v>
      </c>
      <c r="B73" s="234" t="s">
        <v>2538</v>
      </c>
      <c r="C73" s="233" t="s">
        <v>2537</v>
      </c>
      <c r="D73" s="233"/>
      <c r="E73" s="233"/>
      <c r="F73" s="233"/>
      <c r="G73" s="233"/>
      <c r="H73" s="233"/>
      <c r="I73" s="233"/>
      <c r="J73" s="233"/>
      <c r="K73" s="233"/>
      <c r="L73" s="233"/>
      <c r="M73" s="233"/>
      <c r="N73" s="233"/>
      <c r="O73" s="233"/>
      <c r="P73" s="233"/>
      <c r="Q73" s="233"/>
      <c r="R73" s="233"/>
    </row>
    <row customHeight="1" ht="12">
      <c r="A74" s="233" t="s">
        <v>2539</v>
      </c>
      <c r="B74" s="234" t="s">
        <v>2540</v>
      </c>
      <c r="C74" s="233" t="s">
        <v>2539</v>
      </c>
      <c r="D74" s="233"/>
      <c r="E74" s="233"/>
      <c r="F74" s="233"/>
      <c r="G74" s="233"/>
      <c r="H74" s="233"/>
      <c r="I74" s="233"/>
      <c r="J74" s="233"/>
      <c r="K74" s="233"/>
      <c r="L74" s="233"/>
      <c r="M74" s="233"/>
      <c r="N74" s="233"/>
      <c r="O74" s="233"/>
      <c r="P74" s="233"/>
      <c r="Q74" s="233"/>
      <c r="R74" s="233"/>
    </row>
    <row customHeight="1" ht="12">
      <c r="A75" s="233" t="s">
        <v>2541</v>
      </c>
      <c r="B75" s="234" t="s">
        <v>2542</v>
      </c>
      <c r="C75" s="233" t="s">
        <v>2541</v>
      </c>
      <c r="D75" s="233"/>
      <c r="E75" s="233"/>
      <c r="F75" s="233"/>
      <c r="G75" s="233"/>
      <c r="H75" s="233"/>
      <c r="I75" s="233"/>
      <c r="J75" s="233"/>
      <c r="K75" s="233"/>
      <c r="L75" s="233"/>
      <c r="M75" s="233"/>
      <c r="N75" s="233"/>
      <c r="O75" s="233"/>
      <c r="P75" s="233"/>
      <c r="Q75" s="233"/>
      <c r="R75" s="233"/>
    </row>
    <row customHeight="1" ht="12">
      <c r="A76" s="233" t="s">
        <v>2543</v>
      </c>
      <c r="B76" s="234" t="s">
        <v>2544</v>
      </c>
      <c r="C76" s="233" t="s">
        <v>2543</v>
      </c>
      <c r="D76" s="233"/>
      <c r="E76" s="233"/>
      <c r="F76" s="233"/>
      <c r="G76" s="233"/>
      <c r="H76" s="233"/>
      <c r="I76" s="233"/>
      <c r="J76" s="233"/>
      <c r="K76" s="233"/>
      <c r="L76" s="233"/>
      <c r="M76" s="233"/>
      <c r="N76" s="233"/>
      <c r="O76" s="233"/>
      <c r="P76" s="233"/>
      <c r="Q76" s="233"/>
      <c r="R76" s="233"/>
    </row>
    <row customHeight="1" ht="12">
      <c r="A77" s="233" t="s">
        <v>2545</v>
      </c>
      <c r="B77" s="234" t="s">
        <v>2546</v>
      </c>
      <c r="C77" s="240" t="s">
        <v>2547</v>
      </c>
      <c r="D77" s="233"/>
      <c r="E77" s="233"/>
      <c r="F77" s="233"/>
      <c r="G77" s="233"/>
      <c r="H77" s="233"/>
      <c r="I77" s="233"/>
      <c r="J77" s="233"/>
      <c r="K77" s="233"/>
      <c r="L77" s="233"/>
      <c r="M77" s="233"/>
      <c r="N77" s="233"/>
      <c r="O77" s="233"/>
      <c r="P77" s="233"/>
      <c r="Q77" s="233"/>
      <c r="R77" s="233"/>
    </row>
    <row customHeight="1" ht="12">
      <c r="A78" s="233" t="s">
        <v>2548</v>
      </c>
      <c r="B78" s="234" t="s">
        <v>2549</v>
      </c>
      <c r="C78" s="233" t="s">
        <v>2548</v>
      </c>
      <c r="D78" s="233"/>
      <c r="E78" s="233"/>
      <c r="F78" s="233"/>
      <c r="G78" s="233"/>
      <c r="H78" s="233"/>
      <c r="I78" s="233"/>
      <c r="J78" s="233"/>
      <c r="K78" s="233"/>
      <c r="L78" s="233"/>
      <c r="M78" s="233"/>
      <c r="N78" s="233"/>
      <c r="O78" s="233"/>
      <c r="P78" s="233"/>
      <c r="Q78" s="233"/>
      <c r="R78" s="233"/>
    </row>
    <row customHeight="1" ht="12">
      <c r="A79" s="233" t="s">
        <v>2550</v>
      </c>
      <c r="B79" s="234" t="s">
        <v>2551</v>
      </c>
      <c r="C79" s="233" t="s">
        <v>2550</v>
      </c>
      <c r="D79" s="233"/>
      <c r="E79" s="233"/>
      <c r="F79" s="233"/>
      <c r="G79" s="233"/>
      <c r="H79" s="233"/>
      <c r="I79" s="233"/>
      <c r="J79" s="233"/>
      <c r="K79" s="233"/>
      <c r="L79" s="233"/>
      <c r="M79" s="233"/>
      <c r="N79" s="233"/>
      <c r="O79" s="233"/>
      <c r="P79" s="233"/>
      <c r="Q79" s="233"/>
      <c r="R79" s="233"/>
    </row>
    <row customHeight="1" ht="12">
      <c r="A80" s="233" t="s">
        <v>2552</v>
      </c>
      <c r="B80" s="234" t="s">
        <v>2553</v>
      </c>
      <c r="C80" s="233" t="s">
        <v>2552</v>
      </c>
      <c r="D80" s="233"/>
      <c r="E80" s="233"/>
      <c r="F80" s="233"/>
      <c r="G80" s="233"/>
      <c r="H80" s="233"/>
      <c r="I80" s="233"/>
      <c r="J80" s="233"/>
      <c r="K80" s="233"/>
      <c r="L80" s="233"/>
      <c r="M80" s="233"/>
      <c r="N80" s="233"/>
      <c r="O80" s="233"/>
      <c r="P80" s="233"/>
      <c r="Q80" s="233"/>
      <c r="R80" s="233"/>
    </row>
    <row customHeight="1" ht="12">
      <c r="A81" s="233" t="s">
        <v>2554</v>
      </c>
      <c r="B81" s="234" t="s">
        <v>2555</v>
      </c>
      <c r="C81" s="233" t="s">
        <v>2554</v>
      </c>
      <c r="D81" s="233"/>
      <c r="E81" s="233"/>
      <c r="F81" s="233"/>
      <c r="G81" s="233"/>
      <c r="H81" s="233"/>
      <c r="I81" s="233"/>
      <c r="J81" s="233"/>
      <c r="K81" s="233"/>
      <c r="L81" s="233"/>
      <c r="M81" s="233"/>
      <c r="N81" s="233"/>
      <c r="O81" s="233"/>
      <c r="P81" s="233"/>
      <c r="Q81" s="233"/>
      <c r="R81" s="233"/>
    </row>
    <row customHeight="1" ht="12">
      <c r="A82" s="233" t="s">
        <v>2556</v>
      </c>
      <c r="B82" s="234" t="s">
        <v>2557</v>
      </c>
      <c r="C82" s="240" t="s">
        <v>2558</v>
      </c>
      <c r="D82" s="233"/>
      <c r="E82" s="233"/>
      <c r="F82" s="233"/>
      <c r="G82" s="233"/>
      <c r="H82" s="233"/>
      <c r="I82" s="233"/>
      <c r="J82" s="233"/>
      <c r="K82" s="233"/>
      <c r="L82" s="233"/>
      <c r="M82" s="233"/>
      <c r="N82" s="233"/>
      <c r="O82" s="233"/>
      <c r="P82" s="233"/>
      <c r="Q82" s="233"/>
      <c r="R82" s="233"/>
    </row>
    <row customHeight="1" ht="12">
      <c r="A83" s="233" t="s">
        <v>2559</v>
      </c>
      <c r="B83" s="234" t="s">
        <v>2560</v>
      </c>
      <c r="C83" s="240" t="s">
        <v>2561</v>
      </c>
      <c r="D83" s="233"/>
      <c r="E83" s="233"/>
      <c r="F83" s="233"/>
      <c r="G83" s="233"/>
      <c r="H83" s="233"/>
      <c r="I83" s="233"/>
      <c r="J83" s="233"/>
      <c r="K83" s="233"/>
      <c r="L83" s="233"/>
      <c r="M83" s="233"/>
      <c r="N83" s="233"/>
      <c r="O83" s="233"/>
      <c r="P83" s="233"/>
      <c r="Q83" s="233"/>
      <c r="R83" s="233"/>
    </row>
    <row customHeight="1" ht="12">
      <c r="A84" s="233" t="s">
        <v>2562</v>
      </c>
      <c r="B84" s="234" t="s">
        <v>2563</v>
      </c>
      <c r="C84" s="233" t="s">
        <v>2562</v>
      </c>
      <c r="D84" s="233"/>
      <c r="E84" s="233"/>
      <c r="F84" s="233"/>
      <c r="G84" s="233"/>
      <c r="H84" s="233"/>
      <c r="I84" s="233"/>
      <c r="J84" s="233"/>
      <c r="K84" s="233"/>
      <c r="L84" s="233"/>
      <c r="M84" s="233"/>
      <c r="N84" s="233"/>
      <c r="O84" s="233"/>
      <c r="P84" s="233"/>
      <c r="Q84" s="233"/>
      <c r="R84" s="233"/>
    </row>
    <row customHeight="1" ht="12">
      <c r="A85" s="233" t="s">
        <v>2564</v>
      </c>
      <c r="B85" s="234" t="s">
        <v>2565</v>
      </c>
      <c r="C85" s="233" t="s">
        <v>2564</v>
      </c>
      <c r="D85" s="233"/>
      <c r="E85" s="233"/>
      <c r="F85" s="233"/>
      <c r="G85" s="233"/>
      <c r="H85" s="233"/>
      <c r="I85" s="233"/>
      <c r="J85" s="233"/>
      <c r="K85" s="233"/>
      <c r="L85" s="233"/>
      <c r="M85" s="233"/>
      <c r="N85" s="233"/>
      <c r="O85" s="233"/>
      <c r="P85" s="233"/>
      <c r="Q85" s="233"/>
      <c r="R85" s="233"/>
    </row>
    <row customHeight="1" ht="12">
      <c r="A86" s="233" t="s">
        <v>2566</v>
      </c>
      <c r="B86" s="234" t="s">
        <v>2567</v>
      </c>
      <c r="C86" s="233" t="s">
        <v>2566</v>
      </c>
      <c r="D86" s="233"/>
      <c r="E86" s="233"/>
      <c r="F86" s="233"/>
      <c r="G86" s="233"/>
      <c r="H86" s="233"/>
      <c r="I86" s="233"/>
      <c r="J86" s="233"/>
      <c r="K86" s="233"/>
      <c r="L86" s="233"/>
      <c r="M86" s="233"/>
      <c r="N86" s="233"/>
      <c r="O86" s="233"/>
      <c r="P86" s="233"/>
      <c r="Q86" s="233"/>
      <c r="R86" s="233"/>
    </row>
    <row customHeight="1" ht="12">
      <c r="A87" s="234"/>
      <c r="B87" s="245"/>
      <c r="C87" s="246" t="s">
        <v>2432</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2198</v>
      </c>
      <c r="B90" s="234" t="s">
        <v>2568</v>
      </c>
      <c r="C90" s="233"/>
      <c r="D90" s="233"/>
      <c r="E90" s="233"/>
      <c r="F90" s="233"/>
      <c r="G90" s="233"/>
      <c r="H90" s="233"/>
      <c r="I90" s="233"/>
      <c r="J90" s="233"/>
      <c r="K90" s="233"/>
      <c r="L90" s="233"/>
      <c r="M90" s="233"/>
      <c r="N90" s="233"/>
      <c r="O90" s="233"/>
      <c r="P90" s="233"/>
      <c r="Q90" s="233"/>
      <c r="R90" s="233"/>
    </row>
    <row customHeight="1" ht="12">
      <c r="A91" s="233" t="s">
        <v>2217</v>
      </c>
      <c r="B91" s="234" t="s">
        <v>2569</v>
      </c>
      <c r="C91" s="233"/>
      <c r="D91" s="233"/>
      <c r="E91" s="233"/>
      <c r="F91" s="233"/>
      <c r="G91" s="233"/>
      <c r="H91" s="233"/>
      <c r="I91" s="233"/>
      <c r="J91" s="233"/>
      <c r="K91" s="233"/>
      <c r="L91" s="233"/>
      <c r="M91" s="233"/>
      <c r="N91" s="233"/>
      <c r="O91" s="233"/>
      <c r="P91" s="233"/>
      <c r="Q91" s="233"/>
      <c r="R91" s="233"/>
    </row>
    <row customHeight="1" ht="12">
      <c r="A92" s="233" t="s">
        <v>2229</v>
      </c>
      <c r="B92" s="234" t="s">
        <v>2570</v>
      </c>
      <c r="C92" s="233"/>
      <c r="D92" s="233"/>
      <c r="E92" s="233"/>
      <c r="F92" s="233"/>
      <c r="G92" s="233"/>
      <c r="H92" s="233"/>
      <c r="I92" s="233"/>
      <c r="J92" s="233"/>
      <c r="K92" s="233"/>
      <c r="L92" s="233"/>
      <c r="M92" s="233"/>
      <c r="N92" s="233"/>
      <c r="O92" s="233"/>
      <c r="P92" s="233"/>
      <c r="Q92" s="233"/>
      <c r="R92" s="233"/>
    </row>
    <row customHeight="1" ht="12">
      <c r="A93" s="233" t="s">
        <v>2240</v>
      </c>
      <c r="B93" s="234" t="s">
        <v>2571</v>
      </c>
      <c r="C93" s="233"/>
      <c r="D93" s="233"/>
      <c r="E93" s="233"/>
      <c r="F93" s="233"/>
      <c r="G93" s="233"/>
      <c r="H93" s="233"/>
      <c r="I93" s="233"/>
      <c r="J93" s="233"/>
      <c r="K93" s="233"/>
      <c r="L93" s="233"/>
      <c r="M93" s="233"/>
      <c r="N93" s="233"/>
      <c r="O93" s="233"/>
      <c r="P93" s="233"/>
      <c r="Q93" s="233"/>
      <c r="R93" s="233"/>
    </row>
    <row customHeight="1" ht="12">
      <c r="A94" s="233" t="s">
        <v>2249</v>
      </c>
      <c r="B94" s="234" t="s">
        <v>2572</v>
      </c>
      <c r="C94" s="233"/>
      <c r="D94" s="233"/>
      <c r="E94" s="233"/>
      <c r="F94" s="233"/>
      <c r="G94" s="233"/>
      <c r="H94" s="233"/>
      <c r="I94" s="233"/>
      <c r="J94" s="233"/>
      <c r="K94" s="233"/>
      <c r="L94" s="233"/>
      <c r="M94" s="233"/>
      <c r="N94" s="233"/>
      <c r="O94" s="233"/>
      <c r="P94" s="233"/>
      <c r="Q94" s="233"/>
      <c r="R94" s="233"/>
    </row>
    <row customHeight="1" ht="12">
      <c r="A95" s="233" t="s">
        <v>2259</v>
      </c>
      <c r="B95" s="234" t="s">
        <v>2573</v>
      </c>
      <c r="C95" s="233"/>
      <c r="D95" s="233"/>
      <c r="E95" s="233"/>
      <c r="F95" s="233"/>
      <c r="G95" s="233"/>
      <c r="H95" s="233"/>
      <c r="I95" s="233"/>
      <c r="J95" s="233"/>
      <c r="K95" s="233"/>
      <c r="L95" s="233"/>
      <c r="M95" s="233"/>
      <c r="N95" s="233"/>
      <c r="O95" s="233"/>
      <c r="P95" s="233"/>
      <c r="Q95" s="233"/>
      <c r="R95" s="233"/>
    </row>
    <row customHeight="1" ht="12">
      <c r="A96" s="233" t="s">
        <v>2266</v>
      </c>
      <c r="B96" s="234" t="s">
        <v>2574</v>
      </c>
      <c r="C96" s="233"/>
      <c r="D96" s="233"/>
      <c r="E96" s="233"/>
      <c r="F96" s="233"/>
      <c r="G96" s="233"/>
      <c r="H96" s="233"/>
      <c r="I96" s="233"/>
      <c r="J96" s="233"/>
      <c r="K96" s="233"/>
      <c r="L96" s="233"/>
      <c r="M96" s="233"/>
      <c r="N96" s="233"/>
      <c r="O96" s="233"/>
      <c r="P96" s="233"/>
      <c r="Q96" s="233"/>
      <c r="R96" s="233"/>
    </row>
    <row customHeight="1" ht="12">
      <c r="A97" s="233" t="s">
        <v>2276</v>
      </c>
      <c r="B97" s="234" t="s">
        <v>2575</v>
      </c>
      <c r="C97" s="233"/>
      <c r="D97" s="233"/>
      <c r="E97" s="233"/>
      <c r="F97" s="233"/>
      <c r="G97" s="233"/>
      <c r="H97" s="233"/>
      <c r="I97" s="233"/>
      <c r="J97" s="233"/>
      <c r="K97" s="233"/>
      <c r="L97" s="233"/>
      <c r="M97" s="233"/>
      <c r="N97" s="233"/>
      <c r="O97" s="233"/>
      <c r="P97" s="233"/>
      <c r="Q97" s="233"/>
      <c r="R97" s="233"/>
    </row>
    <row customHeight="1" ht="12">
      <c r="A98" s="233" t="s">
        <v>2284</v>
      </c>
      <c r="B98" s="234" t="s">
        <v>2576</v>
      </c>
      <c r="C98" s="233"/>
      <c r="D98" s="233"/>
      <c r="E98" s="233"/>
      <c r="F98" s="233"/>
      <c r="G98" s="233"/>
      <c r="H98" s="233"/>
      <c r="I98" s="233"/>
      <c r="J98" s="233"/>
      <c r="K98" s="233"/>
      <c r="L98" s="233"/>
      <c r="M98" s="233"/>
      <c r="N98" s="233"/>
      <c r="O98" s="233"/>
      <c r="P98" s="233"/>
      <c r="Q98" s="233"/>
      <c r="R98" s="233"/>
    </row>
    <row customHeight="1" ht="12">
      <c r="A99" s="233" t="s">
        <v>2292</v>
      </c>
      <c r="B99" s="234" t="s">
        <v>2577</v>
      </c>
      <c r="C99" s="233"/>
      <c r="D99" s="233"/>
      <c r="E99" s="233"/>
      <c r="F99" s="233"/>
      <c r="G99" s="233"/>
      <c r="H99" s="233"/>
      <c r="I99" s="233"/>
      <c r="J99" s="233"/>
      <c r="K99" s="233"/>
      <c r="L99" s="233"/>
      <c r="M99" s="233"/>
      <c r="N99" s="233"/>
      <c r="O99" s="233"/>
      <c r="P99" s="233"/>
      <c r="Q99" s="233"/>
      <c r="R99" s="233"/>
    </row>
    <row customHeight="1" ht="12">
      <c r="A100" s="333" t="s">
        <v>2299</v>
      </c>
      <c r="B100" s="234" t="s">
        <v>2578</v>
      </c>
      <c r="C100" s="233"/>
      <c r="D100" s="233"/>
      <c r="E100" s="233"/>
      <c r="F100" s="233"/>
      <c r="G100" s="233"/>
      <c r="H100" s="233"/>
      <c r="I100" s="233"/>
      <c r="J100" s="233"/>
      <c r="K100" s="233"/>
      <c r="L100" s="233"/>
      <c r="M100" s="233"/>
      <c r="N100" s="233"/>
      <c r="O100" s="247"/>
      <c r="P100" s="233"/>
      <c r="Q100" s="233"/>
      <c r="R100" s="233"/>
    </row>
    <row customHeight="1" ht="12">
      <c r="A101" s="333" t="s">
        <v>2308</v>
      </c>
      <c r="B101" s="234" t="s">
        <v>2579</v>
      </c>
      <c r="C101" s="233"/>
      <c r="D101" s="233"/>
      <c r="E101" s="233"/>
      <c r="F101" s="233"/>
      <c r="G101" s="233"/>
      <c r="H101" s="233"/>
      <c r="I101" s="233"/>
      <c r="J101" s="233"/>
      <c r="K101" s="233"/>
      <c r="L101" s="233"/>
      <c r="M101" s="233"/>
      <c r="N101" s="233"/>
      <c r="O101" s="247"/>
      <c r="P101" s="233"/>
      <c r="Q101" s="233"/>
      <c r="R101" s="233"/>
    </row>
    <row customHeight="1" ht="12">
      <c r="A102" s="333" t="s">
        <v>2314</v>
      </c>
      <c r="B102" s="234" t="s">
        <v>2580</v>
      </c>
      <c r="C102" s="233"/>
      <c r="D102" s="233"/>
      <c r="E102" s="233"/>
      <c r="F102" s="233"/>
      <c r="G102" s="233"/>
      <c r="H102" s="233"/>
      <c r="I102" s="233"/>
      <c r="J102" s="233"/>
      <c r="K102" s="233"/>
      <c r="L102" s="233"/>
      <c r="M102" s="233"/>
      <c r="N102" s="233"/>
      <c r="O102" s="247"/>
      <c r="P102" s="233"/>
      <c r="Q102" s="233"/>
      <c r="R102" s="233"/>
    </row>
    <row customHeight="1" ht="12">
      <c r="A103" s="333" t="s">
        <v>2322</v>
      </c>
      <c r="B103" s="234" t="s">
        <v>2581</v>
      </c>
      <c r="C103" s="233"/>
      <c r="D103" s="233"/>
      <c r="E103" s="233"/>
      <c r="F103" s="233"/>
      <c r="G103" s="233"/>
      <c r="H103" s="233"/>
      <c r="I103" s="233"/>
      <c r="J103" s="233"/>
      <c r="K103" s="233"/>
      <c r="L103" s="233"/>
      <c r="M103" s="233"/>
      <c r="N103" s="233"/>
      <c r="O103" s="247"/>
      <c r="P103" s="233"/>
      <c r="Q103" s="233"/>
      <c r="R103" s="233"/>
    </row>
    <row customHeight="1" ht="12">
      <c r="A104" s="233" t="s">
        <v>2329</v>
      </c>
      <c r="B104" s="234" t="s">
        <v>2582</v>
      </c>
      <c r="C104" s="233"/>
      <c r="D104" s="233"/>
      <c r="E104" s="233"/>
      <c r="F104" s="233"/>
      <c r="G104" s="233"/>
      <c r="H104" s="233"/>
      <c r="I104" s="233"/>
      <c r="J104" s="233"/>
      <c r="K104" s="233"/>
      <c r="L104" s="233"/>
      <c r="M104" s="233"/>
      <c r="N104" s="233"/>
      <c r="O104" s="247"/>
      <c r="P104" s="233"/>
      <c r="Q104" s="233"/>
      <c r="R104" s="233"/>
    </row>
    <row customHeight="1" ht="12">
      <c r="A105" s="233" t="s">
        <v>2334</v>
      </c>
      <c r="B105" s="234" t="s">
        <v>2583</v>
      </c>
      <c r="C105" s="233"/>
      <c r="D105" s="233"/>
      <c r="E105" s="233"/>
      <c r="F105" s="233"/>
      <c r="G105" s="233"/>
      <c r="H105" s="233"/>
      <c r="I105" s="233"/>
      <c r="J105" s="233"/>
      <c r="K105" s="233"/>
      <c r="L105" s="233"/>
      <c r="M105" s="233"/>
      <c r="N105" s="233"/>
      <c r="O105" s="247"/>
      <c r="P105" s="233"/>
      <c r="Q105" s="233"/>
      <c r="R105" s="233"/>
    </row>
    <row customHeight="1" ht="12">
      <c r="A106" s="233" t="s">
        <v>2340</v>
      </c>
      <c r="B106" s="234" t="s">
        <v>2584</v>
      </c>
      <c r="C106" s="233"/>
      <c r="D106" s="233"/>
      <c r="E106" s="233"/>
      <c r="F106" s="233"/>
      <c r="G106" s="233"/>
      <c r="H106" s="233"/>
      <c r="I106" s="233"/>
      <c r="J106" s="233"/>
      <c r="K106" s="233"/>
      <c r="L106" s="233"/>
      <c r="M106" s="233"/>
      <c r="N106" s="233"/>
      <c r="O106" s="247"/>
      <c r="P106" s="233"/>
      <c r="Q106" s="233"/>
      <c r="R106" s="233"/>
    </row>
    <row customHeight="1" ht="12">
      <c r="A107" s="233" t="s">
        <v>2344</v>
      </c>
      <c r="B107" s="234" t="s">
        <v>2585</v>
      </c>
      <c r="C107" s="233"/>
      <c r="D107" s="233"/>
      <c r="E107" s="233"/>
      <c r="F107" s="233"/>
      <c r="G107" s="233"/>
      <c r="H107" s="233"/>
      <c r="I107" s="233"/>
      <c r="J107" s="233"/>
      <c r="K107" s="233"/>
      <c r="L107" s="233"/>
      <c r="M107" s="233"/>
      <c r="N107" s="233"/>
      <c r="O107" s="247"/>
      <c r="P107" s="233"/>
      <c r="Q107" s="233"/>
      <c r="R107" s="233"/>
    </row>
    <row customHeight="1" ht="12">
      <c r="A108" s="233" t="s">
        <v>2349</v>
      </c>
      <c r="B108" s="234" t="s">
        <v>2586</v>
      </c>
      <c r="C108" s="233"/>
      <c r="D108" s="233"/>
      <c r="E108" s="233"/>
      <c r="F108" s="233"/>
      <c r="G108" s="233"/>
      <c r="H108" s="233"/>
      <c r="I108" s="233"/>
      <c r="J108" s="233"/>
      <c r="K108" s="233"/>
      <c r="L108" s="233"/>
      <c r="M108" s="247"/>
      <c r="N108" s="233"/>
      <c r="O108" s="247"/>
      <c r="P108" s="233"/>
      <c r="Q108" s="233"/>
      <c r="R108" s="233"/>
    </row>
    <row customHeight="1" ht="12">
      <c r="A109" s="233" t="s">
        <v>2354</v>
      </c>
      <c r="B109" s="234" t="s">
        <v>2587</v>
      </c>
      <c r="C109" s="233"/>
      <c r="D109" s="233"/>
      <c r="E109" s="233"/>
      <c r="F109" s="233"/>
      <c r="G109" s="233"/>
      <c r="H109" s="233"/>
      <c r="I109" s="233"/>
      <c r="J109" s="233"/>
      <c r="K109" s="233"/>
      <c r="L109" s="233"/>
      <c r="M109" s="247"/>
      <c r="N109" s="233"/>
      <c r="O109" s="247"/>
      <c r="P109" s="233"/>
      <c r="Q109" s="233"/>
      <c r="R109" s="233"/>
    </row>
    <row customHeight="1" ht="12">
      <c r="A110" s="233" t="s">
        <v>2358</v>
      </c>
      <c r="B110" s="234" t="s">
        <v>2588</v>
      </c>
      <c r="C110" s="233"/>
      <c r="D110" s="233"/>
      <c r="E110" s="233"/>
      <c r="F110" s="233"/>
      <c r="G110" s="233"/>
      <c r="H110" s="233"/>
      <c r="I110" s="233"/>
      <c r="J110" s="233"/>
      <c r="K110" s="233"/>
      <c r="L110" s="233"/>
      <c r="M110" s="247"/>
      <c r="N110" s="233"/>
      <c r="O110" s="247"/>
      <c r="P110" s="233"/>
      <c r="Q110" s="233"/>
      <c r="R110" s="233"/>
    </row>
    <row customHeight="1" ht="12">
      <c r="A111" s="233" t="s">
        <v>2364</v>
      </c>
      <c r="B111" s="234" t="s">
        <v>2589</v>
      </c>
      <c r="C111" s="233"/>
      <c r="D111" s="233"/>
      <c r="E111" s="233"/>
      <c r="F111" s="233"/>
      <c r="G111" s="233"/>
      <c r="H111" s="233"/>
      <c r="I111" s="233"/>
      <c r="J111" s="233"/>
      <c r="K111" s="233"/>
      <c r="L111" s="233"/>
      <c r="M111" s="247"/>
      <c r="N111" s="233"/>
      <c r="O111" s="247"/>
      <c r="P111" s="233"/>
      <c r="Q111" s="233"/>
      <c r="R111" s="233"/>
    </row>
    <row customHeight="1" ht="12">
      <c r="A112" s="233" t="s">
        <v>2368</v>
      </c>
      <c r="B112" s="234" t="s">
        <v>2590</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2591</v>
      </c>
      <c r="C113" s="233"/>
      <c r="D113" s="233"/>
      <c r="E113" s="233"/>
      <c r="F113" s="233"/>
      <c r="G113" s="233"/>
      <c r="H113" s="233"/>
      <c r="I113" s="233"/>
      <c r="J113" s="233"/>
      <c r="K113" s="233"/>
      <c r="L113" s="233"/>
      <c r="M113" s="247"/>
      <c r="N113" s="233"/>
      <c r="O113" s="247"/>
      <c r="P113" s="233"/>
      <c r="Q113" s="233"/>
      <c r="R113" s="233"/>
    </row>
    <row customHeight="1" ht="12">
      <c r="A114" s="233" t="s">
        <v>2378</v>
      </c>
      <c r="B114" s="234" t="s">
        <v>2592</v>
      </c>
      <c r="C114" s="233"/>
      <c r="D114" s="233"/>
      <c r="E114" s="233"/>
      <c r="F114" s="233"/>
      <c r="G114" s="233"/>
      <c r="H114" s="233"/>
      <c r="I114" s="233"/>
      <c r="J114" s="233"/>
      <c r="K114" s="233"/>
      <c r="L114" s="233"/>
      <c r="M114" s="247"/>
      <c r="N114" s="233"/>
      <c r="O114" s="247"/>
      <c r="P114" s="233"/>
      <c r="Q114" s="233"/>
      <c r="R114" s="233"/>
    </row>
    <row customHeight="1" ht="12">
      <c r="A115" s="233" t="s">
        <v>2383</v>
      </c>
      <c r="B115" s="234" t="s">
        <v>2593</v>
      </c>
      <c r="C115" s="233"/>
      <c r="D115" s="233"/>
      <c r="E115" s="233"/>
      <c r="F115" s="233"/>
      <c r="G115" s="233"/>
      <c r="H115" s="233"/>
      <c r="I115" s="233"/>
      <c r="J115" s="233"/>
      <c r="K115" s="233"/>
      <c r="L115" s="233"/>
      <c r="M115" s="247"/>
      <c r="N115" s="233"/>
      <c r="O115" s="247"/>
      <c r="P115" s="233"/>
      <c r="Q115" s="233"/>
      <c r="R115" s="233"/>
    </row>
    <row customHeight="1" ht="12">
      <c r="A116" s="233" t="s">
        <v>2387</v>
      </c>
      <c r="B116" s="234" t="s">
        <v>2594</v>
      </c>
      <c r="C116" s="233"/>
      <c r="D116" s="233"/>
      <c r="E116" s="233"/>
      <c r="F116" s="233"/>
      <c r="G116" s="233"/>
      <c r="H116" s="233"/>
      <c r="I116" s="233"/>
      <c r="J116" s="233"/>
      <c r="K116" s="233"/>
      <c r="L116" s="233"/>
      <c r="M116" s="247"/>
      <c r="N116" s="233"/>
      <c r="O116" s="247"/>
      <c r="P116" s="233"/>
      <c r="Q116" s="233"/>
      <c r="R116" s="233"/>
    </row>
    <row customHeight="1" ht="12">
      <c r="A117" s="233" t="s">
        <v>2392</v>
      </c>
      <c r="B117" s="234" t="s">
        <v>2595</v>
      </c>
      <c r="C117" s="233"/>
      <c r="D117" s="233"/>
      <c r="E117" s="233"/>
      <c r="F117" s="233"/>
      <c r="G117" s="233"/>
      <c r="H117" s="233"/>
      <c r="I117" s="233"/>
      <c r="J117" s="233"/>
      <c r="K117" s="233"/>
      <c r="L117" s="233"/>
      <c r="M117" s="247"/>
      <c r="N117" s="233"/>
      <c r="O117" s="247"/>
      <c r="P117" s="233"/>
      <c r="Q117" s="233"/>
      <c r="R117" s="233"/>
    </row>
    <row customHeight="1" ht="12">
      <c r="A118" s="233" t="s">
        <v>2397</v>
      </c>
      <c r="B118" s="234" t="s">
        <v>2596</v>
      </c>
      <c r="C118" s="233"/>
      <c r="D118" s="233"/>
      <c r="E118" s="233"/>
      <c r="F118" s="233"/>
      <c r="G118" s="233"/>
      <c r="H118" s="233"/>
      <c r="I118" s="233"/>
      <c r="J118" s="233"/>
      <c r="K118" s="233"/>
      <c r="L118" s="233"/>
      <c r="M118" s="247"/>
      <c r="N118" s="233"/>
      <c r="O118" s="247"/>
      <c r="P118" s="233"/>
      <c r="Q118" s="233"/>
      <c r="R118" s="233"/>
    </row>
    <row customHeight="1" ht="12">
      <c r="A119" s="233" t="s">
        <v>2401</v>
      </c>
      <c r="B119" s="234" t="s">
        <v>2597</v>
      </c>
      <c r="C119" s="233"/>
      <c r="D119" s="233"/>
      <c r="E119" s="233"/>
      <c r="F119" s="233"/>
      <c r="G119" s="233"/>
      <c r="H119" s="233"/>
      <c r="I119" s="233"/>
      <c r="J119" s="233"/>
      <c r="K119" s="233"/>
      <c r="L119" s="233"/>
      <c r="M119" s="247"/>
      <c r="N119" s="233"/>
      <c r="O119" s="247"/>
      <c r="P119" s="233"/>
      <c r="Q119" s="233"/>
      <c r="R119" s="233"/>
    </row>
    <row customHeight="1" ht="12">
      <c r="A120" s="233" t="s">
        <v>2406</v>
      </c>
      <c r="B120" s="234" t="s">
        <v>2598</v>
      </c>
      <c r="C120" s="233"/>
      <c r="D120" s="233"/>
      <c r="E120" s="233"/>
      <c r="F120" s="233"/>
      <c r="G120" s="233"/>
      <c r="H120" s="233"/>
      <c r="I120" s="233"/>
      <c r="J120" s="233"/>
      <c r="K120" s="233"/>
      <c r="L120" s="233"/>
      <c r="M120" s="247"/>
      <c r="N120" s="233"/>
      <c r="O120" s="247"/>
      <c r="P120" s="233"/>
      <c r="Q120" s="233"/>
      <c r="R120" s="233"/>
    </row>
    <row customHeight="1" ht="12">
      <c r="A121" s="233" t="s">
        <v>2411</v>
      </c>
      <c r="B121" s="234" t="s">
        <v>2599</v>
      </c>
      <c r="C121" s="233"/>
      <c r="D121" s="233"/>
      <c r="E121" s="233"/>
      <c r="F121" s="233"/>
      <c r="G121" s="233"/>
      <c r="H121" s="233"/>
      <c r="I121" s="233"/>
      <c r="J121" s="233"/>
      <c r="K121" s="233"/>
      <c r="L121" s="233"/>
      <c r="M121" s="247"/>
      <c r="N121" s="233"/>
      <c r="O121" s="247"/>
      <c r="P121" s="233"/>
      <c r="Q121" s="233"/>
      <c r="R121" s="233"/>
    </row>
    <row customHeight="1" ht="12">
      <c r="A122" s="233" t="s">
        <v>2416</v>
      </c>
      <c r="B122" s="234" t="s">
        <v>2600</v>
      </c>
      <c r="C122" s="233"/>
      <c r="D122" s="233"/>
      <c r="E122" s="233"/>
      <c r="F122" s="233"/>
      <c r="G122" s="233"/>
      <c r="H122" s="233"/>
      <c r="I122" s="233"/>
      <c r="J122" s="233"/>
      <c r="K122" s="233"/>
      <c r="L122" s="233"/>
      <c r="M122" s="247"/>
      <c r="N122" s="233"/>
      <c r="O122" s="247"/>
      <c r="P122" s="233"/>
      <c r="Q122" s="233"/>
      <c r="R122" s="233"/>
    </row>
    <row customHeight="1" ht="12">
      <c r="A123" s="233" t="s">
        <v>2421</v>
      </c>
      <c r="B123" s="234" t="s">
        <v>2601</v>
      </c>
      <c r="C123" s="233"/>
      <c r="D123" s="233"/>
      <c r="E123" s="233"/>
      <c r="F123" s="233"/>
      <c r="G123" s="233"/>
      <c r="H123" s="233"/>
      <c r="I123" s="233"/>
      <c r="J123" s="233"/>
      <c r="K123" s="233"/>
      <c r="L123" s="233"/>
      <c r="M123" s="247"/>
      <c r="N123" s="233"/>
      <c r="O123" s="247"/>
      <c r="P123" s="233"/>
      <c r="Q123" s="233"/>
      <c r="R123" s="233"/>
    </row>
    <row customHeight="1" ht="12">
      <c r="A124" s="233" t="s">
        <v>2425</v>
      </c>
      <c r="B124" s="234" t="s">
        <v>2602</v>
      </c>
      <c r="C124" s="233"/>
      <c r="D124" s="233"/>
      <c r="E124" s="233"/>
      <c r="F124" s="233"/>
      <c r="G124" s="233"/>
      <c r="H124" s="233"/>
      <c r="I124" s="233"/>
      <c r="J124" s="233"/>
      <c r="K124" s="233"/>
      <c r="L124" s="233"/>
      <c r="M124" s="247"/>
      <c r="N124" s="233"/>
      <c r="O124" s="247"/>
      <c r="P124" s="233"/>
      <c r="Q124" s="233"/>
      <c r="R124" s="233"/>
    </row>
    <row customHeight="1" ht="12">
      <c r="A125" s="233" t="s">
        <v>2428</v>
      </c>
      <c r="B125" s="234" t="s">
        <v>2603</v>
      </c>
      <c r="C125" s="233"/>
      <c r="D125" s="233"/>
      <c r="E125" s="233"/>
      <c r="F125" s="233"/>
      <c r="G125" s="233"/>
      <c r="H125" s="233"/>
      <c r="I125" s="233"/>
      <c r="J125" s="233"/>
      <c r="K125" s="233"/>
      <c r="L125" s="233"/>
      <c r="M125" s="247"/>
      <c r="N125" s="233"/>
      <c r="O125" s="247"/>
      <c r="P125" s="233"/>
      <c r="Q125" s="233"/>
      <c r="R125" s="233"/>
    </row>
    <row customHeight="1" ht="12">
      <c r="A126" s="233" t="s">
        <v>2432</v>
      </c>
      <c r="B126" s="234" t="s">
        <v>2604</v>
      </c>
      <c r="C126" s="233"/>
      <c r="D126" s="233"/>
      <c r="E126" s="233"/>
      <c r="F126" s="233"/>
      <c r="G126" s="233"/>
      <c r="H126" s="233"/>
      <c r="I126" s="233"/>
      <c r="J126" s="233"/>
      <c r="K126" s="233"/>
      <c r="L126" s="233"/>
      <c r="M126" s="247"/>
      <c r="N126" s="233"/>
      <c r="O126" s="247"/>
      <c r="P126" s="233"/>
      <c r="Q126" s="233"/>
      <c r="R126" s="233"/>
    </row>
    <row customHeight="1" ht="12">
      <c r="A127" s="233" t="s">
        <v>2435</v>
      </c>
      <c r="B127" s="234" t="s">
        <v>2605</v>
      </c>
      <c r="C127" s="233"/>
      <c r="D127" s="233"/>
      <c r="E127" s="233"/>
      <c r="F127" s="233"/>
      <c r="G127" s="233"/>
      <c r="H127" s="233"/>
      <c r="I127" s="233"/>
      <c r="J127" s="233"/>
      <c r="K127" s="233"/>
      <c r="L127" s="233"/>
      <c r="M127" s="247"/>
      <c r="N127" s="233"/>
      <c r="O127" s="247"/>
      <c r="P127" s="233"/>
      <c r="Q127" s="233"/>
      <c r="R127" s="233"/>
    </row>
    <row customHeight="1" ht="12">
      <c r="A128" s="233" t="s">
        <v>2439</v>
      </c>
      <c r="B128" s="234" t="s">
        <v>2606</v>
      </c>
      <c r="C128" s="233"/>
      <c r="D128" s="233"/>
      <c r="E128" s="233"/>
      <c r="F128" s="233"/>
      <c r="G128" s="233"/>
      <c r="H128" s="233"/>
      <c r="I128" s="233"/>
      <c r="J128" s="233"/>
      <c r="K128" s="233"/>
      <c r="L128" s="233"/>
      <c r="M128" s="247"/>
      <c r="N128" s="233"/>
      <c r="O128" s="247"/>
      <c r="P128" s="233"/>
      <c r="Q128" s="233"/>
      <c r="R128" s="233"/>
    </row>
    <row customHeight="1" ht="12">
      <c r="A129" s="233" t="s">
        <v>2443</v>
      </c>
      <c r="B129" s="234" t="s">
        <v>2607</v>
      </c>
      <c r="C129" s="233"/>
      <c r="D129" s="233"/>
      <c r="E129" s="233"/>
      <c r="F129" s="233"/>
      <c r="G129" s="233"/>
      <c r="H129" s="233"/>
      <c r="I129" s="233"/>
      <c r="J129" s="233"/>
      <c r="K129" s="233"/>
      <c r="L129" s="233"/>
      <c r="M129" s="247"/>
      <c r="N129" s="233"/>
      <c r="O129" s="247"/>
      <c r="P129" s="233"/>
      <c r="Q129" s="233"/>
      <c r="R129" s="233"/>
    </row>
    <row customHeight="1" ht="12">
      <c r="A130" s="233" t="s">
        <v>2447</v>
      </c>
      <c r="B130" s="234" t="s">
        <v>2608</v>
      </c>
      <c r="C130" s="233"/>
      <c r="D130" s="233"/>
      <c r="E130" s="233"/>
      <c r="F130" s="233"/>
      <c r="G130" s="233"/>
      <c r="H130" s="233"/>
      <c r="I130" s="233"/>
      <c r="J130" s="233"/>
      <c r="K130" s="233"/>
      <c r="L130" s="247"/>
      <c r="M130" s="247"/>
      <c r="N130" s="233"/>
      <c r="O130" s="233"/>
      <c r="P130" s="233"/>
      <c r="Q130" s="233"/>
      <c r="R130" s="233"/>
    </row>
    <row customHeight="1" ht="12">
      <c r="A131" s="233" t="s">
        <v>2451</v>
      </c>
      <c r="B131" s="234" t="s">
        <v>2609</v>
      </c>
      <c r="C131" s="233"/>
      <c r="D131" s="233"/>
      <c r="E131" s="233"/>
      <c r="F131" s="233"/>
      <c r="G131" s="233"/>
      <c r="H131" s="233"/>
      <c r="I131" s="233"/>
      <c r="J131" s="233"/>
      <c r="K131" s="233"/>
      <c r="L131" s="247"/>
      <c r="M131" s="247"/>
      <c r="N131" s="233"/>
      <c r="O131" s="233"/>
      <c r="P131" s="233"/>
      <c r="Q131" s="233"/>
      <c r="R131" s="233"/>
    </row>
    <row customHeight="1" ht="12">
      <c r="A132" s="233" t="s">
        <v>2455</v>
      </c>
      <c r="B132" s="234" t="s">
        <v>2610</v>
      </c>
      <c r="C132" s="233"/>
      <c r="D132" s="233"/>
      <c r="E132" s="233"/>
      <c r="F132" s="233"/>
      <c r="G132" s="233"/>
      <c r="H132" s="233"/>
      <c r="I132" s="233"/>
      <c r="J132" s="233"/>
      <c r="K132" s="233"/>
      <c r="L132" s="247"/>
      <c r="M132" s="247"/>
      <c r="N132" s="233"/>
      <c r="O132" s="233"/>
      <c r="P132" s="233"/>
      <c r="Q132" s="233"/>
      <c r="R132" s="233"/>
    </row>
    <row customHeight="1" ht="12">
      <c r="A133" s="233" t="s">
        <v>2459</v>
      </c>
      <c r="B133" s="234" t="s">
        <v>2611</v>
      </c>
      <c r="C133" s="233"/>
      <c r="D133" s="233"/>
      <c r="E133" s="233"/>
      <c r="F133" s="233"/>
      <c r="G133" s="233"/>
      <c r="H133" s="233"/>
      <c r="I133" s="233"/>
      <c r="J133" s="233"/>
      <c r="K133" s="233"/>
      <c r="L133" s="247"/>
      <c r="M133" s="247"/>
      <c r="N133" s="233"/>
      <c r="O133" s="233"/>
      <c r="P133" s="233"/>
      <c r="Q133" s="233"/>
      <c r="R133" s="233"/>
    </row>
    <row customHeight="1" ht="12">
      <c r="A134" s="233" t="s">
        <v>2463</v>
      </c>
      <c r="B134" s="234" t="s">
        <v>2612</v>
      </c>
      <c r="C134" s="233"/>
      <c r="D134" s="233"/>
      <c r="E134" s="233"/>
      <c r="F134" s="233"/>
      <c r="G134" s="233"/>
      <c r="H134" s="233"/>
      <c r="I134" s="233"/>
      <c r="J134" s="233"/>
      <c r="K134" s="233"/>
      <c r="L134" s="247"/>
      <c r="M134" s="247"/>
      <c r="N134" s="233"/>
      <c r="O134" s="233"/>
      <c r="P134" s="233"/>
      <c r="Q134" s="233"/>
      <c r="R134" s="233"/>
    </row>
    <row customHeight="1" ht="12">
      <c r="A135" s="233" t="s">
        <v>2467</v>
      </c>
      <c r="B135" s="234" t="s">
        <v>2613</v>
      </c>
      <c r="C135" s="233"/>
      <c r="D135" s="233"/>
      <c r="E135" s="233"/>
      <c r="F135" s="233"/>
      <c r="G135" s="233"/>
      <c r="H135" s="233"/>
      <c r="I135" s="233"/>
      <c r="J135" s="233"/>
      <c r="K135" s="247"/>
      <c r="L135" s="247"/>
      <c r="M135" s="247"/>
      <c r="N135" s="233"/>
      <c r="O135" s="233"/>
      <c r="P135" s="233"/>
      <c r="Q135" s="233"/>
      <c r="R135" s="233"/>
    </row>
    <row customHeight="1" ht="12">
      <c r="A136" s="233" t="s">
        <v>2470</v>
      </c>
      <c r="B136" s="234" t="s">
        <v>2614</v>
      </c>
      <c r="C136" s="233"/>
      <c r="D136" s="233"/>
      <c r="E136" s="233"/>
      <c r="F136" s="233"/>
      <c r="G136" s="233"/>
      <c r="H136" s="233"/>
      <c r="I136" s="233"/>
      <c r="J136" s="233"/>
      <c r="K136" s="247"/>
      <c r="L136" s="247"/>
      <c r="M136" s="247"/>
      <c r="N136" s="233"/>
      <c r="O136" s="233"/>
      <c r="P136" s="233"/>
      <c r="Q136" s="233"/>
      <c r="R136" s="233"/>
    </row>
    <row customHeight="1" ht="12">
      <c r="A137" s="233" t="s">
        <v>2473</v>
      </c>
      <c r="B137" s="234" t="s">
        <v>2615</v>
      </c>
      <c r="C137" s="233"/>
      <c r="D137" s="233"/>
      <c r="E137" s="233"/>
      <c r="F137" s="233"/>
      <c r="G137" s="233"/>
      <c r="H137" s="233"/>
      <c r="I137" s="233"/>
      <c r="J137" s="233"/>
      <c r="K137" s="247"/>
      <c r="L137" s="247"/>
      <c r="M137" s="247"/>
      <c r="N137" s="233"/>
      <c r="O137" s="233"/>
      <c r="P137" s="233"/>
      <c r="Q137" s="233"/>
      <c r="R137" s="233"/>
    </row>
    <row customHeight="1" ht="12">
      <c r="A138" s="233" t="s">
        <v>2476</v>
      </c>
      <c r="B138" s="234" t="s">
        <v>2616</v>
      </c>
      <c r="C138" s="233"/>
      <c r="D138" s="233"/>
      <c r="E138" s="233"/>
      <c r="F138" s="233"/>
      <c r="G138" s="233"/>
      <c r="H138" s="233"/>
      <c r="I138" s="233"/>
      <c r="J138" s="233"/>
      <c r="K138" s="247"/>
      <c r="L138" s="247"/>
      <c r="M138" s="247"/>
      <c r="N138" s="233"/>
      <c r="O138" s="233"/>
      <c r="P138" s="233"/>
      <c r="Q138" s="233"/>
      <c r="R138" s="233"/>
    </row>
    <row customHeight="1" ht="12">
      <c r="A139" s="233" t="s">
        <v>2479</v>
      </c>
      <c r="B139" s="234" t="s">
        <v>2617</v>
      </c>
      <c r="C139" s="233"/>
      <c r="D139" s="233"/>
      <c r="E139" s="233"/>
      <c r="F139" s="233"/>
      <c r="G139" s="233"/>
      <c r="H139" s="233"/>
      <c r="I139" s="233"/>
      <c r="J139" s="233"/>
      <c r="K139" s="247"/>
      <c r="L139" s="247"/>
      <c r="M139" s="247"/>
      <c r="N139" s="233"/>
      <c r="O139" s="233"/>
      <c r="P139" s="233"/>
      <c r="Q139" s="233"/>
      <c r="R139" s="233"/>
    </row>
    <row customHeight="1" ht="12">
      <c r="A140" s="233" t="s">
        <v>2482</v>
      </c>
      <c r="B140" s="234" t="s">
        <v>2618</v>
      </c>
      <c r="C140" s="233"/>
      <c r="D140" s="233"/>
      <c r="E140" s="233"/>
      <c r="F140" s="233"/>
      <c r="G140" s="233"/>
      <c r="H140" s="233"/>
      <c r="I140" s="233"/>
      <c r="J140" s="233"/>
      <c r="K140" s="247"/>
      <c r="L140" s="247"/>
      <c r="M140" s="247"/>
      <c r="N140" s="233"/>
      <c r="O140" s="233"/>
      <c r="P140" s="233"/>
      <c r="Q140" s="233"/>
      <c r="R140" s="233"/>
    </row>
    <row customHeight="1" ht="12">
      <c r="A141" s="233" t="s">
        <v>2485</v>
      </c>
      <c r="B141" s="234" t="s">
        <v>2619</v>
      </c>
      <c r="C141" s="233"/>
      <c r="D141" s="233"/>
      <c r="E141" s="233"/>
      <c r="F141" s="233"/>
      <c r="G141" s="233"/>
      <c r="H141" s="233"/>
      <c r="I141" s="233"/>
      <c r="J141" s="233"/>
      <c r="K141" s="247"/>
      <c r="L141" s="247"/>
      <c r="M141" s="247"/>
      <c r="N141" s="233"/>
      <c r="O141" s="233"/>
      <c r="P141" s="233"/>
      <c r="Q141" s="233"/>
      <c r="R141" s="233"/>
    </row>
    <row customHeight="1" ht="12">
      <c r="A142" s="233" t="s">
        <v>2489</v>
      </c>
      <c r="B142" s="234" t="s">
        <v>2620</v>
      </c>
      <c r="C142" s="233"/>
      <c r="D142" s="233"/>
      <c r="E142" s="233"/>
      <c r="F142" s="233"/>
      <c r="G142" s="233"/>
      <c r="H142" s="233"/>
      <c r="I142" s="233"/>
      <c r="J142" s="233"/>
      <c r="K142" s="247"/>
      <c r="L142" s="247"/>
      <c r="M142" s="247"/>
      <c r="N142" s="233"/>
      <c r="O142" s="233"/>
      <c r="P142" s="233"/>
      <c r="Q142" s="233"/>
      <c r="R142" s="233"/>
    </row>
    <row customHeight="1" ht="12">
      <c r="A143" s="233" t="s">
        <v>2492</v>
      </c>
      <c r="B143" s="234" t="s">
        <v>2621</v>
      </c>
      <c r="C143" s="233"/>
      <c r="D143" s="233"/>
      <c r="E143" s="233"/>
      <c r="F143" s="233"/>
      <c r="G143" s="233"/>
      <c r="H143" s="233"/>
      <c r="I143" s="233"/>
      <c r="J143" s="233"/>
      <c r="K143" s="247"/>
      <c r="L143" s="247"/>
      <c r="M143" s="247"/>
      <c r="N143" s="233"/>
      <c r="O143" s="233"/>
      <c r="P143" s="233"/>
      <c r="Q143" s="233"/>
      <c r="R143" s="233"/>
    </row>
    <row customHeight="1" ht="12">
      <c r="A144" s="233" t="s">
        <v>2495</v>
      </c>
      <c r="B144" s="234" t="s">
        <v>2622</v>
      </c>
      <c r="C144" s="233"/>
      <c r="D144" s="233"/>
      <c r="E144" s="233"/>
      <c r="F144" s="233"/>
      <c r="G144" s="233"/>
      <c r="H144" s="233"/>
      <c r="I144" s="233"/>
      <c r="J144" s="233"/>
      <c r="K144" s="247"/>
      <c r="L144" s="247"/>
      <c r="M144" s="247"/>
      <c r="N144" s="233"/>
      <c r="O144" s="233"/>
      <c r="P144" s="233"/>
      <c r="Q144" s="233"/>
      <c r="R144" s="233"/>
    </row>
    <row customHeight="1" ht="12">
      <c r="A145" s="233" t="s">
        <v>2498</v>
      </c>
      <c r="B145" s="234" t="s">
        <v>2623</v>
      </c>
      <c r="C145" s="233"/>
      <c r="D145" s="233"/>
      <c r="E145" s="233"/>
      <c r="F145" s="233"/>
      <c r="G145" s="233"/>
      <c r="H145" s="233"/>
      <c r="I145" s="233"/>
      <c r="J145" s="233"/>
      <c r="K145" s="247"/>
      <c r="L145" s="247"/>
      <c r="M145" s="247"/>
      <c r="N145" s="233"/>
      <c r="O145" s="233"/>
      <c r="P145" s="233"/>
      <c r="R145" s="233"/>
    </row>
    <row customHeight="1" ht="12">
      <c r="A146" s="233" t="s">
        <v>2502</v>
      </c>
      <c r="B146" s="234" t="s">
        <v>2624</v>
      </c>
      <c r="C146" s="233"/>
      <c r="D146" s="233"/>
      <c r="E146" s="233"/>
      <c r="F146" s="233"/>
      <c r="G146" s="233"/>
      <c r="H146" s="233"/>
      <c r="I146" s="233"/>
      <c r="J146" s="233"/>
      <c r="K146" s="247"/>
      <c r="L146" s="247"/>
      <c r="M146" s="247"/>
      <c r="N146" s="233"/>
      <c r="O146" s="233"/>
      <c r="P146" s="233"/>
      <c r="R146" s="233"/>
    </row>
    <row customHeight="1" ht="12">
      <c r="A147" s="233" t="s">
        <v>2505</v>
      </c>
      <c r="B147" s="234" t="s">
        <v>2625</v>
      </c>
      <c r="C147" s="233"/>
      <c r="D147" s="233"/>
      <c r="E147" s="233"/>
      <c r="F147" s="233"/>
      <c r="G147" s="233"/>
      <c r="H147" s="233"/>
      <c r="I147" s="233"/>
      <c r="J147" s="233"/>
      <c r="K147" s="247"/>
      <c r="L147" s="247"/>
      <c r="M147" s="247"/>
      <c r="N147" s="233"/>
      <c r="O147" s="233"/>
      <c r="P147" s="233"/>
      <c r="R147" s="233"/>
    </row>
    <row customHeight="1" ht="12">
      <c r="A148" s="233" t="s">
        <v>2507</v>
      </c>
      <c r="B148" s="234" t="s">
        <v>2626</v>
      </c>
      <c r="C148" s="233"/>
      <c r="D148" s="233"/>
      <c r="E148" s="233"/>
      <c r="F148" s="233"/>
      <c r="G148" s="233"/>
      <c r="H148" s="233"/>
      <c r="I148" s="233"/>
      <c r="J148" s="233"/>
      <c r="K148" s="247"/>
      <c r="L148" s="247"/>
      <c r="M148" s="247"/>
      <c r="N148" s="233"/>
      <c r="O148" s="233"/>
      <c r="P148" s="233"/>
      <c r="R148" s="233"/>
    </row>
    <row customHeight="1" ht="12">
      <c r="A149" s="233" t="s">
        <v>2509</v>
      </c>
      <c r="B149" s="234" t="s">
        <v>2627</v>
      </c>
      <c r="C149" s="233"/>
      <c r="D149" s="233"/>
      <c r="E149" s="233"/>
      <c r="F149" s="233"/>
      <c r="G149" s="233"/>
      <c r="H149" s="233"/>
      <c r="I149" s="233"/>
      <c r="J149" s="233"/>
      <c r="K149" s="247"/>
      <c r="L149" s="247"/>
      <c r="M149" s="247"/>
      <c r="N149" s="233"/>
      <c r="O149" s="233"/>
      <c r="P149" s="233"/>
      <c r="R149" s="233"/>
    </row>
    <row customHeight="1" ht="12">
      <c r="A150" s="233" t="s">
        <v>2512</v>
      </c>
      <c r="B150" s="234" t="s">
        <v>2628</v>
      </c>
      <c r="C150" s="233"/>
      <c r="D150" s="233"/>
      <c r="E150" s="233"/>
      <c r="F150" s="233"/>
      <c r="G150" s="233"/>
      <c r="H150" s="233"/>
      <c r="I150" s="233"/>
      <c r="J150" s="233"/>
      <c r="K150" s="247"/>
      <c r="L150" s="247"/>
      <c r="M150" s="247"/>
      <c r="N150" s="233"/>
      <c r="O150" s="233"/>
      <c r="P150" s="233"/>
      <c r="R150" s="233"/>
    </row>
    <row customHeight="1" ht="12">
      <c r="A151" s="233" t="s">
        <v>2514</v>
      </c>
      <c r="B151" s="234" t="s">
        <v>2629</v>
      </c>
      <c r="C151" s="233"/>
      <c r="D151" s="233"/>
      <c r="E151" s="233"/>
      <c r="F151" s="233"/>
      <c r="G151" s="233"/>
      <c r="H151" s="233"/>
      <c r="I151" s="233"/>
      <c r="J151" s="233"/>
      <c r="K151" s="247"/>
      <c r="L151" s="247"/>
      <c r="M151" s="247"/>
      <c r="N151" s="233"/>
      <c r="O151" s="233"/>
      <c r="P151" s="233"/>
      <c r="R151" s="233"/>
    </row>
    <row customHeight="1" ht="12">
      <c r="A152" s="233" t="s">
        <v>2517</v>
      </c>
      <c r="B152" s="234" t="s">
        <v>2630</v>
      </c>
      <c r="C152" s="233"/>
      <c r="D152" s="233"/>
      <c r="E152" s="233"/>
      <c r="F152" s="233"/>
      <c r="G152" s="233"/>
      <c r="H152" s="233"/>
      <c r="I152" s="233"/>
      <c r="J152" s="233"/>
      <c r="K152" s="247"/>
      <c r="L152" s="247"/>
      <c r="M152" s="247"/>
      <c r="N152" s="233"/>
      <c r="O152" s="233"/>
      <c r="P152" s="233"/>
      <c r="R152" s="233"/>
    </row>
    <row customHeight="1" ht="12">
      <c r="A153" s="233" t="s">
        <v>2519</v>
      </c>
      <c r="B153" s="234" t="s">
        <v>2631</v>
      </c>
      <c r="C153" s="233"/>
      <c r="D153" s="233"/>
      <c r="E153" s="233"/>
      <c r="F153" s="233"/>
      <c r="G153" s="233"/>
      <c r="H153" s="233"/>
      <c r="I153" s="233"/>
      <c r="J153" s="233"/>
      <c r="K153" s="247"/>
      <c r="L153" s="247"/>
      <c r="M153" s="247"/>
      <c r="N153" s="233"/>
      <c r="O153" s="233"/>
      <c r="P153" s="233"/>
      <c r="R153" s="233"/>
    </row>
    <row customHeight="1" ht="12">
      <c r="A154" s="233" t="s">
        <v>2521</v>
      </c>
      <c r="B154" s="234" t="s">
        <v>2632</v>
      </c>
      <c r="C154" s="233"/>
      <c r="D154" s="233"/>
      <c r="E154" s="233"/>
      <c r="F154" s="233"/>
      <c r="G154" s="233"/>
      <c r="H154" s="233"/>
      <c r="I154" s="233"/>
      <c r="J154" s="233"/>
      <c r="K154" s="247"/>
      <c r="L154" s="247"/>
      <c r="M154" s="247"/>
      <c r="N154" s="233"/>
      <c r="O154" s="233"/>
      <c r="P154" s="233"/>
      <c r="R154" s="233"/>
    </row>
    <row customHeight="1" ht="12">
      <c r="A155" s="233" t="s">
        <v>2523</v>
      </c>
      <c r="B155" s="234" t="s">
        <v>2633</v>
      </c>
      <c r="C155" s="233"/>
      <c r="D155" s="233"/>
      <c r="E155" s="233"/>
      <c r="F155" s="233"/>
      <c r="G155" s="233"/>
      <c r="H155" s="233"/>
      <c r="I155" s="233"/>
      <c r="J155" s="233"/>
      <c r="K155" s="247"/>
      <c r="L155" s="247"/>
      <c r="M155" s="247"/>
      <c r="N155" s="233"/>
      <c r="O155" s="233"/>
      <c r="P155" s="233"/>
      <c r="R155" s="233"/>
    </row>
    <row customHeight="1" ht="12">
      <c r="A156" s="233" t="s">
        <v>2525</v>
      </c>
      <c r="B156" s="234" t="s">
        <v>2634</v>
      </c>
      <c r="C156" s="233"/>
      <c r="D156" s="233"/>
      <c r="E156" s="233"/>
      <c r="F156" s="233"/>
      <c r="G156" s="233"/>
      <c r="H156" s="233"/>
      <c r="I156" s="233"/>
      <c r="J156" s="233"/>
      <c r="K156" s="247"/>
      <c r="L156" s="247"/>
      <c r="M156" s="247"/>
      <c r="N156" s="233"/>
      <c r="O156" s="233"/>
      <c r="P156" s="233"/>
      <c r="R156" s="233"/>
    </row>
    <row customHeight="1" ht="12">
      <c r="A157" s="233" t="s">
        <v>2527</v>
      </c>
      <c r="B157" s="234" t="s">
        <v>2635</v>
      </c>
      <c r="C157" s="233"/>
      <c r="D157" s="233"/>
      <c r="E157" s="233"/>
      <c r="F157" s="233"/>
      <c r="G157" s="233"/>
      <c r="H157" s="233"/>
      <c r="I157" s="233"/>
      <c r="J157" s="233"/>
      <c r="K157" s="247"/>
      <c r="L157" s="247"/>
      <c r="M157" s="247"/>
      <c r="N157" s="233"/>
      <c r="O157" s="233"/>
      <c r="P157" s="233"/>
      <c r="R157" s="233"/>
    </row>
    <row customHeight="1" ht="12">
      <c r="A158" s="233" t="s">
        <v>2529</v>
      </c>
      <c r="B158" s="234" t="s">
        <v>2636</v>
      </c>
      <c r="C158" s="233"/>
      <c r="D158" s="233"/>
      <c r="E158" s="233"/>
      <c r="F158" s="233"/>
      <c r="G158" s="233"/>
      <c r="H158" s="233"/>
      <c r="I158" s="233"/>
      <c r="J158" s="233"/>
      <c r="K158" s="247"/>
      <c r="L158" s="247"/>
      <c r="M158" s="247"/>
      <c r="N158" s="233"/>
      <c r="O158" s="233"/>
      <c r="P158" s="233"/>
      <c r="R158" s="233"/>
    </row>
    <row customHeight="1" ht="12">
      <c r="A159" s="233" t="s">
        <v>2531</v>
      </c>
      <c r="B159" s="234" t="s">
        <v>2637</v>
      </c>
      <c r="C159" s="233"/>
      <c r="D159" s="233"/>
      <c r="E159" s="233"/>
      <c r="F159" s="233"/>
      <c r="G159" s="233"/>
      <c r="H159" s="233"/>
      <c r="I159" s="233"/>
      <c r="J159" s="233"/>
      <c r="K159" s="247"/>
      <c r="L159" s="247"/>
      <c r="M159" s="247"/>
      <c r="N159" s="233"/>
      <c r="O159" s="233"/>
      <c r="P159" s="233"/>
      <c r="R159" s="233"/>
    </row>
    <row customHeight="1" ht="12">
      <c r="A160" s="233" t="s">
        <v>2533</v>
      </c>
      <c r="B160" s="234" t="s">
        <v>2638</v>
      </c>
      <c r="C160" s="233"/>
      <c r="D160" s="233"/>
      <c r="E160" s="233"/>
      <c r="F160" s="233"/>
      <c r="G160" s="233"/>
      <c r="H160" s="233"/>
      <c r="I160" s="233"/>
      <c r="J160" s="233"/>
      <c r="K160" s="247"/>
      <c r="L160" s="247"/>
      <c r="M160" s="247"/>
      <c r="N160" s="233"/>
      <c r="O160" s="233"/>
      <c r="P160" s="233"/>
      <c r="R160" s="233"/>
    </row>
    <row customHeight="1" ht="12">
      <c r="A161" s="233" t="s">
        <v>2535</v>
      </c>
      <c r="B161" s="234" t="s">
        <v>2639</v>
      </c>
      <c r="C161" s="233"/>
      <c r="D161" s="233"/>
      <c r="E161" s="233"/>
      <c r="F161" s="233"/>
      <c r="G161" s="233"/>
      <c r="H161" s="233"/>
      <c r="I161" s="233"/>
      <c r="J161" s="233"/>
      <c r="K161" s="247"/>
      <c r="L161" s="247"/>
      <c r="M161" s="247"/>
      <c r="N161" s="233"/>
      <c r="O161" s="233"/>
      <c r="P161" s="233"/>
      <c r="R161" s="233"/>
    </row>
    <row customHeight="1" ht="12">
      <c r="A162" s="233" t="s">
        <v>2537</v>
      </c>
      <c r="B162" s="234" t="s">
        <v>2640</v>
      </c>
      <c r="C162" s="233"/>
      <c r="D162" s="233"/>
      <c r="E162" s="233"/>
      <c r="F162" s="233"/>
      <c r="G162" s="233"/>
      <c r="H162" s="233"/>
      <c r="I162" s="233"/>
      <c r="J162" s="233"/>
      <c r="K162" s="247"/>
      <c r="L162" s="247"/>
      <c r="M162" s="247"/>
      <c r="N162" s="233"/>
      <c r="O162" s="233"/>
      <c r="P162" s="233"/>
      <c r="R162" s="233"/>
    </row>
    <row customHeight="1" ht="12">
      <c r="A163" s="233" t="s">
        <v>2539</v>
      </c>
      <c r="B163" s="234" t="s">
        <v>2641</v>
      </c>
      <c r="C163" s="233"/>
      <c r="D163" s="233"/>
      <c r="E163" s="233"/>
      <c r="F163" s="233"/>
      <c r="G163" s="233"/>
      <c r="H163" s="233"/>
      <c r="I163" s="233"/>
      <c r="J163" s="233"/>
      <c r="K163" s="247"/>
      <c r="L163" s="247"/>
      <c r="M163" s="247"/>
      <c r="N163" s="233"/>
      <c r="O163" s="233"/>
      <c r="P163" s="233"/>
      <c r="R163" s="233"/>
    </row>
    <row customHeight="1" ht="12">
      <c r="A164" s="233" t="s">
        <v>2541</v>
      </c>
      <c r="B164" s="234" t="s">
        <v>2642</v>
      </c>
      <c r="C164" s="233"/>
      <c r="D164" s="233"/>
      <c r="E164" s="233"/>
      <c r="F164" s="233"/>
      <c r="G164" s="233"/>
      <c r="H164" s="233"/>
      <c r="I164" s="233"/>
      <c r="J164" s="233"/>
      <c r="L164" s="247"/>
      <c r="M164" s="247"/>
      <c r="N164" s="233"/>
      <c r="O164" s="233"/>
      <c r="P164" s="233"/>
      <c r="R164" s="233"/>
    </row>
    <row customHeight="1" ht="12">
      <c r="A165" s="233" t="s">
        <v>2543</v>
      </c>
      <c r="B165" s="234" t="s">
        <v>2643</v>
      </c>
      <c r="C165" s="233"/>
      <c r="D165" s="233"/>
      <c r="E165" s="233"/>
      <c r="F165" s="233"/>
      <c r="G165" s="233"/>
      <c r="H165" s="233"/>
      <c r="I165" s="233"/>
      <c r="J165" s="233"/>
      <c r="L165" s="247"/>
      <c r="M165" s="247"/>
      <c r="N165" s="233"/>
      <c r="O165" s="233"/>
      <c r="P165" s="233"/>
      <c r="R165" s="233"/>
    </row>
    <row customHeight="1" ht="12">
      <c r="A166" s="233" t="s">
        <v>2545</v>
      </c>
      <c r="B166" s="234" t="s">
        <v>2644</v>
      </c>
      <c r="C166" s="233"/>
      <c r="D166" s="233"/>
      <c r="E166" s="233"/>
      <c r="F166" s="233"/>
      <c r="G166" s="233"/>
      <c r="H166" s="233"/>
      <c r="I166" s="233"/>
      <c r="J166" s="233"/>
      <c r="L166" s="247"/>
      <c r="M166" s="247"/>
      <c r="N166" s="233"/>
      <c r="O166" s="233"/>
      <c r="P166" s="233"/>
      <c r="R166" s="233"/>
    </row>
    <row customHeight="1" ht="12">
      <c r="A167" s="233" t="s">
        <v>2548</v>
      </c>
      <c r="B167" s="234" t="s">
        <v>2645</v>
      </c>
      <c r="C167" s="233"/>
      <c r="D167" s="233"/>
      <c r="E167" s="233"/>
      <c r="F167" s="233"/>
      <c r="G167" s="233"/>
      <c r="H167" s="233"/>
      <c r="I167" s="233"/>
      <c r="J167" s="233"/>
      <c r="L167" s="247"/>
      <c r="M167" s="247"/>
      <c r="N167" s="233"/>
      <c r="O167" s="233"/>
      <c r="P167" s="233"/>
      <c r="R167" s="233"/>
    </row>
    <row customHeight="1" ht="12">
      <c r="A168" s="233" t="s">
        <v>2550</v>
      </c>
      <c r="B168" s="234" t="s">
        <v>2646</v>
      </c>
      <c r="C168" s="233"/>
      <c r="D168" s="233"/>
      <c r="E168" s="233"/>
      <c r="F168" s="233"/>
      <c r="G168" s="233"/>
      <c r="H168" s="233"/>
      <c r="I168" s="233"/>
      <c r="J168" s="233"/>
      <c r="L168" s="247"/>
      <c r="M168" s="247"/>
      <c r="N168" s="233"/>
      <c r="O168" s="233"/>
      <c r="P168" s="233"/>
      <c r="R168" s="233"/>
    </row>
    <row customHeight="1" ht="12">
      <c r="A169" s="233" t="s">
        <v>2552</v>
      </c>
      <c r="B169" s="234" t="s">
        <v>2647</v>
      </c>
      <c r="C169" s="233"/>
      <c r="D169" s="233"/>
      <c r="E169" s="233"/>
      <c r="F169" s="233"/>
      <c r="H169" s="233"/>
      <c r="I169" s="233"/>
      <c r="J169" s="233"/>
      <c r="L169" s="247"/>
      <c r="M169" s="247"/>
      <c r="N169" s="233"/>
      <c r="O169" s="233"/>
      <c r="P169" s="233"/>
      <c r="R169" s="233"/>
    </row>
    <row customHeight="1" ht="12">
      <c r="A170" s="233" t="s">
        <v>2554</v>
      </c>
      <c r="B170" s="234" t="s">
        <v>2648</v>
      </c>
      <c r="C170" s="233"/>
      <c r="D170" s="233"/>
      <c r="E170" s="233"/>
      <c r="F170" s="233"/>
      <c r="H170" s="233"/>
      <c r="I170" s="233"/>
      <c r="J170" s="233"/>
      <c r="L170" s="247"/>
      <c r="M170" s="247"/>
      <c r="N170" s="233"/>
      <c r="O170" s="233"/>
      <c r="P170" s="233"/>
      <c r="R170" s="233"/>
    </row>
    <row customHeight="1" ht="12">
      <c r="A171" s="233" t="s">
        <v>2556</v>
      </c>
      <c r="B171" s="234" t="s">
        <v>2649</v>
      </c>
      <c r="C171" s="233"/>
      <c r="D171" s="233"/>
      <c r="E171" s="233"/>
      <c r="F171" s="233"/>
      <c r="H171" s="233"/>
      <c r="I171" s="233"/>
      <c r="J171" s="233"/>
      <c r="L171" s="247"/>
      <c r="M171" s="247"/>
      <c r="N171" s="233"/>
      <c r="O171" s="233"/>
      <c r="P171" s="233"/>
      <c r="R171" s="233"/>
    </row>
    <row customHeight="1" ht="12">
      <c r="A172" s="233" t="s">
        <v>2559</v>
      </c>
      <c r="B172" s="234" t="s">
        <v>2650</v>
      </c>
      <c r="C172" s="233"/>
      <c r="D172" s="233"/>
      <c r="E172" s="233"/>
      <c r="F172" s="233"/>
      <c r="H172" s="233"/>
      <c r="I172" s="233"/>
      <c r="J172" s="233"/>
      <c r="L172" s="247"/>
      <c r="M172" s="247"/>
      <c r="N172" s="233"/>
      <c r="O172" s="233"/>
      <c r="P172" s="233"/>
      <c r="R172" s="233"/>
    </row>
    <row customHeight="1" ht="12">
      <c r="A173" s="233" t="s">
        <v>2562</v>
      </c>
      <c r="B173" s="234" t="s">
        <v>2651</v>
      </c>
      <c r="C173" s="233"/>
      <c r="D173" s="233"/>
      <c r="E173" s="233"/>
      <c r="F173" s="233"/>
      <c r="H173" s="233"/>
      <c r="I173" s="233"/>
      <c r="J173" s="233"/>
      <c r="L173" s="247"/>
      <c r="M173" s="247"/>
      <c r="N173" s="233"/>
      <c r="O173" s="233"/>
      <c r="P173" s="233"/>
      <c r="R173" s="233"/>
    </row>
    <row customHeight="1" ht="12">
      <c r="A174" s="233" t="s">
        <v>2564</v>
      </c>
      <c r="B174" s="234" t="s">
        <v>2652</v>
      </c>
      <c r="C174" s="233"/>
      <c r="D174" s="233"/>
      <c r="E174" s="233"/>
      <c r="F174" s="233"/>
      <c r="H174" s="233"/>
      <c r="I174" s="233"/>
      <c r="J174" s="233"/>
      <c r="L174" s="247"/>
      <c r="M174" s="247"/>
      <c r="N174" s="233"/>
      <c r="O174" s="233"/>
      <c r="P174" s="233"/>
      <c r="R174" s="233"/>
    </row>
    <row customHeight="1" ht="12">
      <c r="A175" s="233" t="s">
        <v>2566</v>
      </c>
      <c r="B175" s="234" t="s">
        <v>2653</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B5CD4-ED5C-E128-CCA8-C8D415847B58}" mc:Ignorable="x14ac xr xr2 xr3">
  <sheetPr>
    <tabColor rgb="FFFFCC99"/>
  </sheetPr>
  <dimension ref="A1:CY8"/>
  <sheetViews>
    <sheetView topLeftCell="A1" showGridLines="0" workbookViewId="0">
      <selection activeCell="A1" sqref="A1"/>
    </sheetView>
  </sheetViews>
  <sheetFormatPr customHeight="1" defaultRowHeight="11.25"/>
  <sheetData>
    <row customHeight="1" ht="11.25">
      <c r="A1" s="0" t="s">
        <v>2654</v>
      </c>
      <c r="B1" s="0" t="s">
        <v>2655</v>
      </c>
      <c r="C1" s="0" t="s">
        <v>2656</v>
      </c>
      <c r="D1" s="0" t="s">
        <v>2657</v>
      </c>
      <c r="E1" s="0" t="s">
        <v>2658</v>
      </c>
      <c r="F1" s="0" t="s">
        <v>2659</v>
      </c>
      <c r="G1" s="0" t="s">
        <v>2660</v>
      </c>
      <c r="H1" s="0" t="s">
        <v>2661</v>
      </c>
      <c r="I1" s="0" t="s">
        <v>2662</v>
      </c>
      <c r="J1" s="0" t="s">
        <v>2663</v>
      </c>
      <c r="K1" s="0" t="s">
        <v>2664</v>
      </c>
      <c r="L1" s="0" t="s">
        <v>2665</v>
      </c>
      <c r="M1" s="0" t="s">
        <v>2666</v>
      </c>
      <c r="N1" s="0" t="s">
        <v>2667</v>
      </c>
      <c r="O1" s="0" t="s">
        <v>2668</v>
      </c>
      <c r="P1" s="0" t="s">
        <v>2669</v>
      </c>
      <c r="Q1" s="0" t="s">
        <v>2670</v>
      </c>
      <c r="R1" s="0" t="s">
        <v>2671</v>
      </c>
      <c r="S1" s="0" t="s">
        <v>2672</v>
      </c>
      <c r="T1" s="0" t="s">
        <v>2673</v>
      </c>
      <c r="U1" s="0" t="s">
        <v>2674</v>
      </c>
      <c r="V1" s="0" t="s">
        <v>2675</v>
      </c>
      <c r="W1" s="0" t="s">
        <v>2676</v>
      </c>
      <c r="X1" s="0" t="s">
        <v>2677</v>
      </c>
      <c r="Y1" s="0" t="s">
        <v>2678</v>
      </c>
      <c r="Z1" s="0" t="s">
        <v>2679</v>
      </c>
      <c r="AA1" s="0" t="s">
        <v>2680</v>
      </c>
      <c r="AB1" s="0" t="s">
        <v>2681</v>
      </c>
      <c r="AC1" s="0" t="s">
        <v>2682</v>
      </c>
      <c r="AD1" s="0" t="s">
        <v>2683</v>
      </c>
      <c r="AE1" s="0" t="s">
        <v>2684</v>
      </c>
      <c r="AF1" s="0" t="s">
        <v>2685</v>
      </c>
      <c r="AG1" s="0" t="s">
        <v>2686</v>
      </c>
      <c r="AH1" s="0" t="s">
        <v>2687</v>
      </c>
      <c r="AI1" s="0" t="s">
        <v>2688</v>
      </c>
      <c r="AJ1" s="0" t="s">
        <v>2689</v>
      </c>
      <c r="AK1" s="0" t="s">
        <v>2690</v>
      </c>
      <c r="AL1" s="0" t="s">
        <v>2691</v>
      </c>
      <c r="AM1" s="0" t="s">
        <v>2692</v>
      </c>
      <c r="AN1" s="0" t="s">
        <v>2693</v>
      </c>
      <c r="AO1" s="0" t="s">
        <v>2694</v>
      </c>
      <c r="AP1" s="0" t="s">
        <v>2695</v>
      </c>
      <c r="AQ1" s="0" t="s">
        <v>2696</v>
      </c>
      <c r="AR1" s="0" t="s">
        <v>2697</v>
      </c>
      <c r="AS1" s="0" t="s">
        <v>2698</v>
      </c>
      <c r="AT1" s="0" t="s">
        <v>2699</v>
      </c>
      <c r="AU1" s="0" t="s">
        <v>2700</v>
      </c>
      <c r="AV1" s="0" t="s">
        <v>2701</v>
      </c>
      <c r="AW1" s="0" t="s">
        <v>2702</v>
      </c>
      <c r="AX1" s="0" t="s">
        <v>2703</v>
      </c>
      <c r="AY1" s="0" t="s">
        <v>2704</v>
      </c>
      <c r="AZ1" s="0" t="s">
        <v>2705</v>
      </c>
      <c r="BA1" s="0" t="s">
        <v>2706</v>
      </c>
      <c r="BB1" s="0" t="s">
        <v>2707</v>
      </c>
      <c r="BC1" s="0" t="s">
        <v>2708</v>
      </c>
      <c r="BD1" s="0" t="s">
        <v>2709</v>
      </c>
      <c r="BE1" s="0" t="s">
        <v>2710</v>
      </c>
      <c r="BF1" s="0" t="s">
        <v>2711</v>
      </c>
      <c r="BG1" s="0" t="s">
        <v>2712</v>
      </c>
      <c r="BH1" s="0" t="s">
        <v>2713</v>
      </c>
      <c r="BI1" s="0" t="s">
        <v>2714</v>
      </c>
      <c r="BJ1" s="0" t="s">
        <v>2715</v>
      </c>
      <c r="BK1" s="0" t="s">
        <v>2716</v>
      </c>
      <c r="BL1" s="0" t="s">
        <v>2717</v>
      </c>
      <c r="BM1" s="0" t="s">
        <v>2718</v>
      </c>
      <c r="BN1" s="0" t="s">
        <v>2719</v>
      </c>
      <c r="BO1" s="0" t="s">
        <v>2720</v>
      </c>
      <c r="BP1" s="0" t="s">
        <v>2721</v>
      </c>
      <c r="BQ1" s="0" t="s">
        <v>2722</v>
      </c>
      <c r="BR1" s="0" t="s">
        <v>2723</v>
      </c>
      <c r="BS1" s="0" t="s">
        <v>2724</v>
      </c>
      <c r="BT1" s="0" t="s">
        <v>2725</v>
      </c>
      <c r="BU1" s="0" t="s">
        <v>2726</v>
      </c>
      <c r="BV1" s="0" t="s">
        <v>2727</v>
      </c>
      <c r="BW1" s="0" t="s">
        <v>2728</v>
      </c>
      <c r="BX1" s="0" t="s">
        <v>2729</v>
      </c>
      <c r="BY1" s="0" t="s">
        <v>2730</v>
      </c>
      <c r="BZ1" s="0" t="s">
        <v>2731</v>
      </c>
      <c r="CA1" s="0" t="s">
        <v>2732</v>
      </c>
      <c r="CB1" s="0" t="s">
        <v>2733</v>
      </c>
      <c r="CC1" s="0" t="s">
        <v>2734</v>
      </c>
      <c r="CD1" s="0" t="s">
        <v>2735</v>
      </c>
      <c r="CE1" s="0" t="s">
        <v>2736</v>
      </c>
      <c r="CF1" s="0" t="s">
        <v>2737</v>
      </c>
      <c r="CG1" s="0" t="s">
        <v>2738</v>
      </c>
      <c r="CH1" s="0" t="s">
        <v>2739</v>
      </c>
      <c r="CI1" s="0" t="s">
        <v>2740</v>
      </c>
      <c r="CJ1" s="0" t="s">
        <v>2741</v>
      </c>
      <c r="CK1" s="0" t="s">
        <v>2742</v>
      </c>
      <c r="CL1" s="0" t="s">
        <v>2743</v>
      </c>
      <c r="CM1" s="0" t="s">
        <v>2744</v>
      </c>
      <c r="CN1" s="0" t="s">
        <v>2745</v>
      </c>
      <c r="CO1" s="0" t="s">
        <v>2746</v>
      </c>
      <c r="CP1" s="0" t="s">
        <v>2747</v>
      </c>
      <c r="CQ1" s="0" t="s">
        <v>2748</v>
      </c>
      <c r="CR1" s="0" t="s">
        <v>2749</v>
      </c>
      <c r="CS1" s="0" t="s">
        <v>2750</v>
      </c>
      <c r="CT1" s="0" t="s">
        <v>2751</v>
      </c>
      <c r="CU1" s="0" t="s">
        <v>2752</v>
      </c>
      <c r="CV1" s="0" t="s">
        <v>2753</v>
      </c>
      <c r="CW1" s="0" t="s">
        <v>2754</v>
      </c>
      <c r="CX1" s="0" t="s">
        <v>2755</v>
      </c>
      <c r="CY1" s="0" t="s">
        <v>2756</v>
      </c>
    </row>
    <row customHeight="1" ht="11.25">
      <c r="A2" s="0" t="s">
        <v>152</v>
      </c>
      <c r="B2" s="0" t="s">
        <v>152</v>
      </c>
      <c r="C2" s="0" t="s">
        <v>152</v>
      </c>
      <c r="D2" s="0" t="s">
        <v>152</v>
      </c>
      <c r="E2" s="0" t="s">
        <v>152</v>
      </c>
      <c r="F2" s="0" t="s">
        <v>2757</v>
      </c>
      <c r="G2" s="0" t="s">
        <v>152</v>
      </c>
      <c r="H2" s="0" t="s">
        <v>152</v>
      </c>
      <c r="I2" s="0" t="s">
        <v>614</v>
      </c>
      <c r="J2" s="0" t="s">
        <v>152</v>
      </c>
      <c r="K2" s="0" t="s">
        <v>2758</v>
      </c>
      <c r="L2" s="0" t="s">
        <v>152</v>
      </c>
      <c r="M2" s="0" t="s">
        <v>114</v>
      </c>
      <c r="N2" s="0" t="s">
        <v>152</v>
      </c>
      <c r="O2" s="0" t="s">
        <v>2759</v>
      </c>
      <c r="P2" s="0" t="s">
        <v>2760</v>
      </c>
      <c r="Q2" s="0" t="s">
        <v>2761</v>
      </c>
      <c r="R2" s="0" t="s">
        <v>205</v>
      </c>
      <c r="S2" s="0" t="s">
        <v>205</v>
      </c>
      <c r="T2" s="0" t="s">
        <v>399</v>
      </c>
      <c r="U2" s="0" t="s">
        <v>399</v>
      </c>
      <c r="V2" s="0" t="s">
        <v>400</v>
      </c>
      <c r="W2" s="0" t="s">
        <v>2762</v>
      </c>
      <c r="X2" s="0" t="s">
        <v>2763</v>
      </c>
      <c r="Y2" s="0" t="s">
        <v>2764</v>
      </c>
      <c r="Z2" s="0" t="s">
        <v>2764</v>
      </c>
      <c r="AA2" s="0" t="s">
        <v>2765</v>
      </c>
      <c r="AB2" s="0" t="s">
        <v>2766</v>
      </c>
      <c r="AC2" s="0" t="s">
        <v>152</v>
      </c>
      <c r="AD2" s="0" t="s">
        <v>2767</v>
      </c>
      <c r="AE2" s="0" t="s">
        <v>2768</v>
      </c>
      <c r="AF2" s="0" t="s">
        <v>2769</v>
      </c>
      <c r="AG2" s="0" t="s">
        <v>2769</v>
      </c>
      <c r="AH2" s="0" t="s">
        <v>2770</v>
      </c>
      <c r="AI2" s="0" t="s">
        <v>2771</v>
      </c>
      <c r="AJ2" s="0" t="s">
        <v>2772</v>
      </c>
      <c r="AK2" s="0" t="s">
        <v>2773</v>
      </c>
      <c r="AL2" s="0" t="s">
        <v>2765</v>
      </c>
      <c r="AM2" s="0" t="s">
        <v>2766</v>
      </c>
      <c r="AN2" s="0" t="s">
        <v>152</v>
      </c>
      <c r="AO2" s="0" t="s">
        <v>2774</v>
      </c>
      <c r="AP2" s="0" t="s">
        <v>2775</v>
      </c>
      <c r="AQ2" s="0" t="s">
        <v>2776</v>
      </c>
      <c r="AR2" s="0" t="s">
        <v>2777</v>
      </c>
      <c r="AS2" s="0" t="s">
        <v>2777</v>
      </c>
      <c r="AT2" s="0" t="s">
        <v>2778</v>
      </c>
      <c r="AU2" s="0" t="s">
        <v>2778</v>
      </c>
      <c r="AV2" s="0" t="s">
        <v>2778</v>
      </c>
      <c r="AW2" s="0" t="s">
        <v>2778</v>
      </c>
      <c r="AX2" s="0" t="s">
        <v>2778</v>
      </c>
      <c r="AY2" s="0" t="s">
        <v>2778</v>
      </c>
      <c r="AZ2" s="0" t="s">
        <v>2778</v>
      </c>
      <c r="BA2" s="0" t="s">
        <v>2778</v>
      </c>
      <c r="BB2" s="0" t="s">
        <v>2778</v>
      </c>
      <c r="BC2" s="0" t="s">
        <v>2778</v>
      </c>
      <c r="BD2" s="0" t="s">
        <v>2777</v>
      </c>
      <c r="BE2" s="0" t="s">
        <v>2777</v>
      </c>
      <c r="BF2" s="0" t="s">
        <v>152</v>
      </c>
      <c r="BG2" s="0" t="s">
        <v>152</v>
      </c>
      <c r="BH2" s="0" t="s">
        <v>152</v>
      </c>
      <c r="BI2" s="0" t="s">
        <v>152</v>
      </c>
      <c r="BJ2" s="0" t="s">
        <v>2778</v>
      </c>
      <c r="BK2" s="0" t="s">
        <v>152</v>
      </c>
      <c r="BL2" s="0" t="s">
        <v>152</v>
      </c>
      <c r="BM2" s="0" t="s">
        <v>152</v>
      </c>
      <c r="BN2" s="0" t="s">
        <v>152</v>
      </c>
      <c r="BO2" s="0" t="s">
        <v>152</v>
      </c>
      <c r="BP2" s="0" t="s">
        <v>2778</v>
      </c>
      <c r="BQ2" s="0" t="s">
        <v>152</v>
      </c>
      <c r="BR2" s="0" t="s">
        <v>152</v>
      </c>
      <c r="BS2" s="0" t="s">
        <v>152</v>
      </c>
      <c r="BT2" s="0" t="s">
        <v>152</v>
      </c>
      <c r="BU2" s="0" t="s">
        <v>152</v>
      </c>
      <c r="BV2" s="0" t="s">
        <v>2778</v>
      </c>
      <c r="BW2" s="0" t="s">
        <v>152</v>
      </c>
      <c r="BX2" s="0" t="s">
        <v>152</v>
      </c>
      <c r="BY2" s="0" t="s">
        <v>152</v>
      </c>
      <c r="BZ2" s="0" t="s">
        <v>152</v>
      </c>
      <c r="CA2" s="0" t="s">
        <v>152</v>
      </c>
      <c r="CB2" s="0" t="s">
        <v>2778</v>
      </c>
      <c r="CC2" s="0" t="s">
        <v>152</v>
      </c>
      <c r="CD2" s="0" t="s">
        <v>152</v>
      </c>
      <c r="CE2" s="0" t="s">
        <v>152</v>
      </c>
      <c r="CF2" s="0" t="s">
        <v>152</v>
      </c>
      <c r="CG2" s="0" t="s">
        <v>152</v>
      </c>
      <c r="CH2" s="0" t="s">
        <v>2778</v>
      </c>
      <c r="CI2" s="0" t="s">
        <v>152</v>
      </c>
      <c r="CJ2" s="0" t="s">
        <v>152</v>
      </c>
      <c r="CK2" s="0" t="s">
        <v>152</v>
      </c>
      <c r="CL2" s="0" t="s">
        <v>152</v>
      </c>
      <c r="CM2" s="0" t="s">
        <v>152</v>
      </c>
      <c r="CN2" s="0" t="s">
        <v>2779</v>
      </c>
      <c r="CO2" s="0" t="s">
        <v>2780</v>
      </c>
      <c r="CP2" s="0" t="s">
        <v>2781</v>
      </c>
      <c r="CQ2" s="0" t="s">
        <v>2782</v>
      </c>
      <c r="CR2" s="0" t="s">
        <v>2783</v>
      </c>
      <c r="CS2" s="0" t="s">
        <v>426</v>
      </c>
      <c r="CT2" s="0" t="s">
        <v>425</v>
      </c>
      <c r="CU2" s="0" t="s">
        <v>2784</v>
      </c>
      <c r="CV2" s="0" t="s">
        <v>2785</v>
      </c>
      <c r="CW2" s="0" t="s">
        <v>2783</v>
      </c>
      <c r="CX2" s="0" t="s">
        <v>2786</v>
      </c>
      <c r="CY2" s="0" t="s">
        <v>2787</v>
      </c>
    </row>
    <row customHeight="1" ht="11.25">
      <c r="A3" s="0" t="s">
        <v>152</v>
      </c>
      <c r="B3" s="0" t="s">
        <v>152</v>
      </c>
      <c r="C3" s="0" t="s">
        <v>152</v>
      </c>
      <c r="D3" s="0" t="s">
        <v>152</v>
      </c>
      <c r="E3" s="0" t="s">
        <v>152</v>
      </c>
      <c r="F3" s="0" t="s">
        <v>2757</v>
      </c>
      <c r="G3" s="0" t="s">
        <v>152</v>
      </c>
      <c r="H3" s="0" t="s">
        <v>152</v>
      </c>
      <c r="I3" s="0" t="s">
        <v>335</v>
      </c>
      <c r="J3" s="0" t="s">
        <v>152</v>
      </c>
      <c r="K3" s="0" t="s">
        <v>2788</v>
      </c>
      <c r="L3" s="0" t="s">
        <v>152</v>
      </c>
      <c r="M3" s="0" t="s">
        <v>114</v>
      </c>
      <c r="N3" s="0" t="s">
        <v>152</v>
      </c>
      <c r="O3" s="0" t="s">
        <v>2759</v>
      </c>
      <c r="P3" s="0" t="s">
        <v>2760</v>
      </c>
      <c r="Q3" s="0" t="s">
        <v>2761</v>
      </c>
      <c r="R3" s="0" t="s">
        <v>205</v>
      </c>
      <c r="S3" s="0" t="s">
        <v>205</v>
      </c>
      <c r="T3" s="0" t="s">
        <v>2789</v>
      </c>
      <c r="U3" s="0" t="s">
        <v>2789</v>
      </c>
      <c r="V3" s="0" t="s">
        <v>2790</v>
      </c>
      <c r="W3" s="0" t="s">
        <v>2791</v>
      </c>
      <c r="X3" s="0" t="s">
        <v>2792</v>
      </c>
      <c r="Y3" s="0" t="s">
        <v>2791</v>
      </c>
      <c r="Z3" s="0" t="s">
        <v>335</v>
      </c>
      <c r="AA3" s="0" t="s">
        <v>2793</v>
      </c>
      <c r="AB3" s="0" t="s">
        <v>2794</v>
      </c>
      <c r="AC3" s="0" t="s">
        <v>152</v>
      </c>
      <c r="AD3" s="0" t="s">
        <v>2767</v>
      </c>
      <c r="AE3" s="0" t="s">
        <v>2768</v>
      </c>
      <c r="AF3" s="0" t="s">
        <v>2795</v>
      </c>
      <c r="AG3" s="0" t="s">
        <v>2795</v>
      </c>
      <c r="AH3" s="0" t="s">
        <v>2770</v>
      </c>
      <c r="AI3" s="0" t="s">
        <v>2796</v>
      </c>
      <c r="AJ3" s="0" t="s">
        <v>2779</v>
      </c>
      <c r="AK3" s="0" t="s">
        <v>2797</v>
      </c>
      <c r="AL3" s="0" t="s">
        <v>2793</v>
      </c>
      <c r="AM3" s="0" t="s">
        <v>2794</v>
      </c>
      <c r="AN3" s="0" t="s">
        <v>152</v>
      </c>
      <c r="AO3" s="0" t="s">
        <v>2774</v>
      </c>
      <c r="AP3" s="0" t="s">
        <v>2775</v>
      </c>
      <c r="AQ3" s="0" t="s">
        <v>2776</v>
      </c>
      <c r="AR3" s="0" t="s">
        <v>2798</v>
      </c>
      <c r="AS3" s="0" t="s">
        <v>2798</v>
      </c>
      <c r="AT3" s="0" t="s">
        <v>2778</v>
      </c>
      <c r="AU3" s="0" t="s">
        <v>2778</v>
      </c>
      <c r="AV3" s="0" t="s">
        <v>2778</v>
      </c>
      <c r="AW3" s="0" t="s">
        <v>2778</v>
      </c>
      <c r="AX3" s="0" t="s">
        <v>2778</v>
      </c>
      <c r="AY3" s="0" t="s">
        <v>2778</v>
      </c>
      <c r="AZ3" s="0" t="s">
        <v>2778</v>
      </c>
      <c r="BA3" s="0" t="s">
        <v>2778</v>
      </c>
      <c r="BB3" s="0" t="s">
        <v>2778</v>
      </c>
      <c r="BC3" s="0" t="s">
        <v>2778</v>
      </c>
      <c r="BD3" s="0" t="s">
        <v>2798</v>
      </c>
      <c r="BE3" s="0" t="s">
        <v>2798</v>
      </c>
      <c r="BF3" s="0" t="s">
        <v>152</v>
      </c>
      <c r="BG3" s="0" t="s">
        <v>152</v>
      </c>
      <c r="BH3" s="0" t="s">
        <v>152</v>
      </c>
      <c r="BI3" s="0" t="s">
        <v>152</v>
      </c>
      <c r="BJ3" s="0" t="s">
        <v>2778</v>
      </c>
      <c r="BK3" s="0" t="s">
        <v>152</v>
      </c>
      <c r="BL3" s="0" t="s">
        <v>152</v>
      </c>
      <c r="BM3" s="0" t="s">
        <v>152</v>
      </c>
      <c r="BN3" s="0" t="s">
        <v>152</v>
      </c>
      <c r="BO3" s="0" t="s">
        <v>152</v>
      </c>
      <c r="BP3" s="0" t="s">
        <v>2778</v>
      </c>
      <c r="BQ3" s="0" t="s">
        <v>152</v>
      </c>
      <c r="BR3" s="0" t="s">
        <v>152</v>
      </c>
      <c r="BS3" s="0" t="s">
        <v>152</v>
      </c>
      <c r="BT3" s="0" t="s">
        <v>152</v>
      </c>
      <c r="BU3" s="0" t="s">
        <v>152</v>
      </c>
      <c r="BV3" s="0" t="s">
        <v>2778</v>
      </c>
      <c r="BW3" s="0" t="s">
        <v>152</v>
      </c>
      <c r="BX3" s="0" t="s">
        <v>152</v>
      </c>
      <c r="BY3" s="0" t="s">
        <v>152</v>
      </c>
      <c r="BZ3" s="0" t="s">
        <v>152</v>
      </c>
      <c r="CA3" s="0" t="s">
        <v>152</v>
      </c>
      <c r="CB3" s="0" t="s">
        <v>2778</v>
      </c>
      <c r="CC3" s="0" t="s">
        <v>152</v>
      </c>
      <c r="CD3" s="0" t="s">
        <v>152</v>
      </c>
      <c r="CE3" s="0" t="s">
        <v>152</v>
      </c>
      <c r="CF3" s="0" t="s">
        <v>152</v>
      </c>
      <c r="CG3" s="0" t="s">
        <v>152</v>
      </c>
      <c r="CH3" s="0" t="s">
        <v>2778</v>
      </c>
      <c r="CI3" s="0" t="s">
        <v>152</v>
      </c>
      <c r="CJ3" s="0" t="s">
        <v>152</v>
      </c>
      <c r="CK3" s="0" t="s">
        <v>152</v>
      </c>
      <c r="CL3" s="0" t="s">
        <v>152</v>
      </c>
      <c r="CM3" s="0" t="s">
        <v>152</v>
      </c>
      <c r="CN3" s="0" t="s">
        <v>2779</v>
      </c>
      <c r="CO3" s="0" t="s">
        <v>2780</v>
      </c>
      <c r="CP3" s="0" t="s">
        <v>2781</v>
      </c>
      <c r="CQ3" s="0" t="s">
        <v>2782</v>
      </c>
      <c r="CR3" s="0" t="s">
        <v>2783</v>
      </c>
      <c r="CS3" s="0" t="s">
        <v>426</v>
      </c>
      <c r="CT3" s="0" t="s">
        <v>425</v>
      </c>
      <c r="CU3" s="0" t="s">
        <v>2799</v>
      </c>
      <c r="CV3" s="0" t="s">
        <v>2800</v>
      </c>
      <c r="CW3" s="0" t="s">
        <v>2783</v>
      </c>
      <c r="CX3" s="0" t="s">
        <v>2786</v>
      </c>
      <c r="CY3" s="0" t="s">
        <v>2801</v>
      </c>
    </row>
    <row customHeight="1" ht="11.25">
      <c r="A4" s="0" t="s">
        <v>152</v>
      </c>
      <c r="B4" s="0" t="s">
        <v>152</v>
      </c>
      <c r="C4" s="0" t="s">
        <v>152</v>
      </c>
      <c r="D4" s="0" t="s">
        <v>152</v>
      </c>
      <c r="E4" s="0" t="s">
        <v>152</v>
      </c>
      <c r="F4" s="0" t="s">
        <v>2757</v>
      </c>
      <c r="G4" s="0" t="s">
        <v>152</v>
      </c>
      <c r="H4" s="0" t="s">
        <v>152</v>
      </c>
      <c r="I4" s="0" t="s">
        <v>624</v>
      </c>
      <c r="J4" s="0" t="s">
        <v>152</v>
      </c>
      <c r="K4" s="0" t="s">
        <v>2802</v>
      </c>
      <c r="L4" s="0" t="s">
        <v>152</v>
      </c>
      <c r="M4" s="0" t="s">
        <v>114</v>
      </c>
      <c r="N4" s="0" t="s">
        <v>152</v>
      </c>
      <c r="O4" s="0" t="s">
        <v>2759</v>
      </c>
      <c r="P4" s="0" t="s">
        <v>2760</v>
      </c>
      <c r="Q4" s="0" t="s">
        <v>2761</v>
      </c>
      <c r="R4" s="0" t="s">
        <v>205</v>
      </c>
      <c r="S4" s="0" t="s">
        <v>205</v>
      </c>
      <c r="T4" s="0" t="s">
        <v>2803</v>
      </c>
      <c r="U4" s="0" t="s">
        <v>2803</v>
      </c>
      <c r="V4" s="0" t="s">
        <v>2804</v>
      </c>
      <c r="W4" s="0" t="s">
        <v>2805</v>
      </c>
      <c r="X4" s="0" t="s">
        <v>2806</v>
      </c>
      <c r="Y4" s="0" t="s">
        <v>2807</v>
      </c>
      <c r="Z4" s="0" t="s">
        <v>335</v>
      </c>
      <c r="AA4" s="0" t="s">
        <v>2808</v>
      </c>
      <c r="AB4" s="0" t="s">
        <v>2809</v>
      </c>
      <c r="AC4" s="0" t="s">
        <v>152</v>
      </c>
      <c r="AD4" s="0" t="s">
        <v>2767</v>
      </c>
      <c r="AE4" s="0" t="s">
        <v>2768</v>
      </c>
      <c r="AF4" s="0" t="s">
        <v>2810</v>
      </c>
      <c r="AG4" s="0" t="s">
        <v>2810</v>
      </c>
      <c r="AH4" s="0" t="s">
        <v>2770</v>
      </c>
      <c r="AI4" s="0" t="s">
        <v>2796</v>
      </c>
      <c r="AJ4" s="0" t="s">
        <v>2811</v>
      </c>
      <c r="AK4" s="0" t="s">
        <v>2797</v>
      </c>
      <c r="AL4" s="0" t="s">
        <v>2808</v>
      </c>
      <c r="AM4" s="0" t="s">
        <v>2809</v>
      </c>
      <c r="AN4" s="0" t="s">
        <v>152</v>
      </c>
      <c r="AO4" s="0" t="s">
        <v>2774</v>
      </c>
      <c r="AP4" s="0" t="s">
        <v>2775</v>
      </c>
      <c r="AQ4" s="0" t="s">
        <v>2776</v>
      </c>
      <c r="AR4" s="0" t="s">
        <v>2812</v>
      </c>
      <c r="AS4" s="0" t="s">
        <v>2812</v>
      </c>
      <c r="AT4" s="0" t="s">
        <v>2778</v>
      </c>
      <c r="AU4" s="0" t="s">
        <v>2778</v>
      </c>
      <c r="AV4" s="0" t="s">
        <v>2778</v>
      </c>
      <c r="AW4" s="0" t="s">
        <v>2778</v>
      </c>
      <c r="AX4" s="0" t="s">
        <v>2778</v>
      </c>
      <c r="AY4" s="0" t="s">
        <v>2778</v>
      </c>
      <c r="AZ4" s="0" t="s">
        <v>2778</v>
      </c>
      <c r="BA4" s="0" t="s">
        <v>2778</v>
      </c>
      <c r="BB4" s="0" t="s">
        <v>2778</v>
      </c>
      <c r="BC4" s="0" t="s">
        <v>2778</v>
      </c>
      <c r="BD4" s="0" t="s">
        <v>2812</v>
      </c>
      <c r="BE4" s="0" t="s">
        <v>2812</v>
      </c>
      <c r="BF4" s="0" t="s">
        <v>152</v>
      </c>
      <c r="BG4" s="0" t="s">
        <v>152</v>
      </c>
      <c r="BH4" s="0" t="s">
        <v>152</v>
      </c>
      <c r="BI4" s="0" t="s">
        <v>152</v>
      </c>
      <c r="BJ4" s="0" t="s">
        <v>2778</v>
      </c>
      <c r="BK4" s="0" t="s">
        <v>152</v>
      </c>
      <c r="BL4" s="0" t="s">
        <v>152</v>
      </c>
      <c r="BM4" s="0" t="s">
        <v>152</v>
      </c>
      <c r="BN4" s="0" t="s">
        <v>152</v>
      </c>
      <c r="BO4" s="0" t="s">
        <v>152</v>
      </c>
      <c r="BP4" s="0" t="s">
        <v>2778</v>
      </c>
      <c r="BQ4" s="0" t="s">
        <v>152</v>
      </c>
      <c r="BR4" s="0" t="s">
        <v>152</v>
      </c>
      <c r="BS4" s="0" t="s">
        <v>152</v>
      </c>
      <c r="BT4" s="0" t="s">
        <v>152</v>
      </c>
      <c r="BU4" s="0" t="s">
        <v>152</v>
      </c>
      <c r="BV4" s="0" t="s">
        <v>2778</v>
      </c>
      <c r="BW4" s="0" t="s">
        <v>152</v>
      </c>
      <c r="BX4" s="0" t="s">
        <v>152</v>
      </c>
      <c r="BY4" s="0" t="s">
        <v>152</v>
      </c>
      <c r="BZ4" s="0" t="s">
        <v>152</v>
      </c>
      <c r="CA4" s="0" t="s">
        <v>152</v>
      </c>
      <c r="CB4" s="0" t="s">
        <v>2778</v>
      </c>
      <c r="CC4" s="0" t="s">
        <v>152</v>
      </c>
      <c r="CD4" s="0" t="s">
        <v>152</v>
      </c>
      <c r="CE4" s="0" t="s">
        <v>152</v>
      </c>
      <c r="CF4" s="0" t="s">
        <v>152</v>
      </c>
      <c r="CG4" s="0" t="s">
        <v>152</v>
      </c>
      <c r="CH4" s="0" t="s">
        <v>2778</v>
      </c>
      <c r="CI4" s="0" t="s">
        <v>152</v>
      </c>
      <c r="CJ4" s="0" t="s">
        <v>152</v>
      </c>
      <c r="CK4" s="0" t="s">
        <v>152</v>
      </c>
      <c r="CL4" s="0" t="s">
        <v>152</v>
      </c>
      <c r="CM4" s="0" t="s">
        <v>152</v>
      </c>
      <c r="CN4" s="0" t="s">
        <v>2779</v>
      </c>
      <c r="CO4" s="0" t="s">
        <v>2780</v>
      </c>
      <c r="CP4" s="0" t="s">
        <v>2781</v>
      </c>
      <c r="CQ4" s="0" t="s">
        <v>2782</v>
      </c>
      <c r="CR4" s="0" t="s">
        <v>2783</v>
      </c>
      <c r="CS4" s="0" t="s">
        <v>426</v>
      </c>
      <c r="CT4" s="0" t="s">
        <v>2236</v>
      </c>
      <c r="CU4" s="0" t="s">
        <v>614</v>
      </c>
      <c r="CV4" s="0" t="s">
        <v>2813</v>
      </c>
      <c r="CW4" s="0" t="s">
        <v>2783</v>
      </c>
      <c r="CX4" s="0" t="s">
        <v>2786</v>
      </c>
      <c r="CY4" s="0" t="s">
        <v>2814</v>
      </c>
    </row>
    <row customHeight="1" ht="11.25">
      <c r="A5" s="0" t="s">
        <v>152</v>
      </c>
      <c r="B5" s="0" t="s">
        <v>152</v>
      </c>
      <c r="C5" s="0" t="s">
        <v>152</v>
      </c>
      <c r="D5" s="0" t="s">
        <v>152</v>
      </c>
      <c r="E5" s="0" t="s">
        <v>152</v>
      </c>
      <c r="F5" s="0" t="s">
        <v>2757</v>
      </c>
      <c r="G5" s="0" t="s">
        <v>152</v>
      </c>
      <c r="H5" s="0" t="s">
        <v>152</v>
      </c>
      <c r="I5" s="0" t="s">
        <v>629</v>
      </c>
      <c r="J5" s="0" t="s">
        <v>152</v>
      </c>
      <c r="K5" s="0" t="s">
        <v>2815</v>
      </c>
      <c r="L5" s="0" t="s">
        <v>152</v>
      </c>
      <c r="M5" s="0" t="s">
        <v>114</v>
      </c>
      <c r="N5" s="0" t="s">
        <v>152</v>
      </c>
      <c r="O5" s="0" t="s">
        <v>2759</v>
      </c>
      <c r="P5" s="0" t="s">
        <v>2760</v>
      </c>
      <c r="Q5" s="0" t="s">
        <v>2761</v>
      </c>
      <c r="R5" s="0" t="s">
        <v>205</v>
      </c>
      <c r="S5" s="0" t="s">
        <v>205</v>
      </c>
      <c r="T5" s="0" t="s">
        <v>2816</v>
      </c>
      <c r="U5" s="0" t="s">
        <v>2816</v>
      </c>
      <c r="V5" s="0" t="s">
        <v>2817</v>
      </c>
      <c r="W5" s="0" t="s">
        <v>2818</v>
      </c>
      <c r="X5" s="0" t="s">
        <v>2819</v>
      </c>
      <c r="Y5" s="0" t="s">
        <v>2818</v>
      </c>
      <c r="Z5" s="0" t="s">
        <v>335</v>
      </c>
      <c r="AA5" s="0" t="s">
        <v>2820</v>
      </c>
      <c r="AB5" s="0" t="s">
        <v>2821</v>
      </c>
      <c r="AC5" s="0" t="s">
        <v>152</v>
      </c>
      <c r="AD5" s="0" t="s">
        <v>2767</v>
      </c>
      <c r="AE5" s="0" t="s">
        <v>2822</v>
      </c>
      <c r="AF5" s="0" t="s">
        <v>2823</v>
      </c>
      <c r="AG5" s="0" t="s">
        <v>2823</v>
      </c>
      <c r="AH5" s="0" t="s">
        <v>2770</v>
      </c>
      <c r="AI5" s="0" t="s">
        <v>2796</v>
      </c>
      <c r="AJ5" s="0" t="s">
        <v>2824</v>
      </c>
      <c r="AK5" s="0" t="s">
        <v>2825</v>
      </c>
      <c r="AL5" s="0" t="s">
        <v>2826</v>
      </c>
      <c r="AM5" s="0" t="s">
        <v>2826</v>
      </c>
      <c r="AN5" s="0" t="s">
        <v>152</v>
      </c>
      <c r="AO5" s="0" t="s">
        <v>2774</v>
      </c>
      <c r="AP5" s="0" t="s">
        <v>2775</v>
      </c>
      <c r="AQ5" s="0" t="s">
        <v>2776</v>
      </c>
      <c r="AR5" s="0" t="s">
        <v>2827</v>
      </c>
      <c r="AS5" s="0" t="s">
        <v>2827</v>
      </c>
      <c r="AT5" s="0" t="s">
        <v>2778</v>
      </c>
      <c r="AU5" s="0" t="s">
        <v>2778</v>
      </c>
      <c r="AV5" s="0" t="s">
        <v>2778</v>
      </c>
      <c r="AW5" s="0" t="s">
        <v>2778</v>
      </c>
      <c r="AX5" s="0" t="s">
        <v>2778</v>
      </c>
      <c r="AY5" s="0" t="s">
        <v>2778</v>
      </c>
      <c r="AZ5" s="0" t="s">
        <v>2778</v>
      </c>
      <c r="BA5" s="0" t="s">
        <v>2778</v>
      </c>
      <c r="BB5" s="0" t="s">
        <v>2778</v>
      </c>
      <c r="BC5" s="0" t="s">
        <v>2778</v>
      </c>
      <c r="BD5" s="0" t="s">
        <v>2827</v>
      </c>
      <c r="BE5" s="0" t="s">
        <v>2827</v>
      </c>
      <c r="BF5" s="0" t="s">
        <v>152</v>
      </c>
      <c r="BG5" s="0" t="s">
        <v>152</v>
      </c>
      <c r="BH5" s="0" t="s">
        <v>152</v>
      </c>
      <c r="BI5" s="0" t="s">
        <v>152</v>
      </c>
      <c r="BJ5" s="0" t="s">
        <v>2778</v>
      </c>
      <c r="BK5" s="0" t="s">
        <v>152</v>
      </c>
      <c r="BL5" s="0" t="s">
        <v>152</v>
      </c>
      <c r="BM5" s="0" t="s">
        <v>152</v>
      </c>
      <c r="BN5" s="0" t="s">
        <v>152</v>
      </c>
      <c r="BO5" s="0" t="s">
        <v>152</v>
      </c>
      <c r="BP5" s="0" t="s">
        <v>2778</v>
      </c>
      <c r="BQ5" s="0" t="s">
        <v>152</v>
      </c>
      <c r="BR5" s="0" t="s">
        <v>152</v>
      </c>
      <c r="BS5" s="0" t="s">
        <v>152</v>
      </c>
      <c r="BT5" s="0" t="s">
        <v>152</v>
      </c>
      <c r="BU5" s="0" t="s">
        <v>152</v>
      </c>
      <c r="BV5" s="0" t="s">
        <v>2778</v>
      </c>
      <c r="BW5" s="0" t="s">
        <v>152</v>
      </c>
      <c r="BX5" s="0" t="s">
        <v>152</v>
      </c>
      <c r="BY5" s="0" t="s">
        <v>152</v>
      </c>
      <c r="BZ5" s="0" t="s">
        <v>152</v>
      </c>
      <c r="CA5" s="0" t="s">
        <v>152</v>
      </c>
      <c r="CB5" s="0" t="s">
        <v>2778</v>
      </c>
      <c r="CC5" s="0" t="s">
        <v>152</v>
      </c>
      <c r="CD5" s="0" t="s">
        <v>152</v>
      </c>
      <c r="CE5" s="0" t="s">
        <v>152</v>
      </c>
      <c r="CF5" s="0" t="s">
        <v>152</v>
      </c>
      <c r="CG5" s="0" t="s">
        <v>152</v>
      </c>
      <c r="CH5" s="0" t="s">
        <v>2778</v>
      </c>
      <c r="CI5" s="0" t="s">
        <v>152</v>
      </c>
      <c r="CJ5" s="0" t="s">
        <v>152</v>
      </c>
      <c r="CK5" s="0" t="s">
        <v>152</v>
      </c>
      <c r="CL5" s="0" t="s">
        <v>152</v>
      </c>
      <c r="CM5" s="0" t="s">
        <v>152</v>
      </c>
      <c r="CN5" s="0" t="s">
        <v>2779</v>
      </c>
      <c r="CO5" s="0" t="s">
        <v>2780</v>
      </c>
      <c r="CP5" s="0" t="s">
        <v>2781</v>
      </c>
      <c r="CQ5" s="0" t="s">
        <v>2782</v>
      </c>
      <c r="CR5" s="0" t="s">
        <v>2783</v>
      </c>
      <c r="CS5" s="0" t="s">
        <v>426</v>
      </c>
      <c r="CT5" s="0" t="s">
        <v>425</v>
      </c>
      <c r="CU5" s="0" t="s">
        <v>2828</v>
      </c>
      <c r="CV5" s="0" t="s">
        <v>2829</v>
      </c>
      <c r="CW5" s="0" t="s">
        <v>2783</v>
      </c>
      <c r="CX5" s="0" t="s">
        <v>2786</v>
      </c>
      <c r="CY5" s="0" t="s">
        <v>2830</v>
      </c>
    </row>
    <row customHeight="1" ht="11.25">
      <c r="A6" s="0" t="s">
        <v>152</v>
      </c>
      <c r="B6" s="0" t="s">
        <v>152</v>
      </c>
      <c r="C6" s="0" t="s">
        <v>152</v>
      </c>
      <c r="D6" s="0" t="s">
        <v>152</v>
      </c>
      <c r="E6" s="0" t="s">
        <v>152</v>
      </c>
      <c r="F6" s="0" t="s">
        <v>2757</v>
      </c>
      <c r="G6" s="0" t="s">
        <v>152</v>
      </c>
      <c r="H6" s="0" t="s">
        <v>152</v>
      </c>
      <c r="I6" s="0" t="s">
        <v>632</v>
      </c>
      <c r="J6" s="0" t="s">
        <v>152</v>
      </c>
      <c r="K6" s="0" t="s">
        <v>423</v>
      </c>
      <c r="L6" s="0" t="s">
        <v>152</v>
      </c>
      <c r="M6" s="0" t="s">
        <v>114</v>
      </c>
      <c r="N6" s="0" t="s">
        <v>152</v>
      </c>
      <c r="O6" s="0" t="s">
        <v>2759</v>
      </c>
      <c r="P6" s="0" t="s">
        <v>2760</v>
      </c>
      <c r="Q6" s="0" t="s">
        <v>2761</v>
      </c>
      <c r="R6" s="0" t="s">
        <v>205</v>
      </c>
      <c r="S6" s="0" t="s">
        <v>205</v>
      </c>
      <c r="T6" s="0" t="s">
        <v>399</v>
      </c>
      <c r="U6" s="0" t="s">
        <v>399</v>
      </c>
      <c r="V6" s="0" t="s">
        <v>400</v>
      </c>
      <c r="W6" s="0" t="s">
        <v>2762</v>
      </c>
      <c r="X6" s="0" t="s">
        <v>2763</v>
      </c>
      <c r="Y6" s="0" t="s">
        <v>2831</v>
      </c>
      <c r="Z6" s="0" t="s">
        <v>2832</v>
      </c>
      <c r="AA6" s="0" t="s">
        <v>2833</v>
      </c>
      <c r="AB6" s="0" t="s">
        <v>2834</v>
      </c>
      <c r="AC6" s="0" t="s">
        <v>152</v>
      </c>
      <c r="AD6" s="0" t="s">
        <v>2767</v>
      </c>
      <c r="AE6" s="0" t="s">
        <v>2835</v>
      </c>
      <c r="AF6" s="0" t="s">
        <v>2836</v>
      </c>
      <c r="AG6" s="0" t="s">
        <v>2836</v>
      </c>
      <c r="AH6" s="0" t="s">
        <v>2770</v>
      </c>
      <c r="AI6" s="0" t="s">
        <v>2796</v>
      </c>
      <c r="AJ6" s="0" t="s">
        <v>2837</v>
      </c>
      <c r="AK6" s="0" t="s">
        <v>2838</v>
      </c>
      <c r="AL6" s="0" t="s">
        <v>2833</v>
      </c>
      <c r="AM6" s="0" t="s">
        <v>2839</v>
      </c>
      <c r="AN6" s="0" t="s">
        <v>152</v>
      </c>
      <c r="AO6" s="0" t="s">
        <v>2774</v>
      </c>
      <c r="AP6" s="0" t="s">
        <v>2775</v>
      </c>
      <c r="AQ6" s="0" t="s">
        <v>2776</v>
      </c>
      <c r="AR6" s="0" t="s">
        <v>2798</v>
      </c>
      <c r="AS6" s="0" t="s">
        <v>2798</v>
      </c>
      <c r="AT6" s="0" t="s">
        <v>2778</v>
      </c>
      <c r="AU6" s="0" t="s">
        <v>2778</v>
      </c>
      <c r="AV6" s="0" t="s">
        <v>2778</v>
      </c>
      <c r="AW6" s="0" t="s">
        <v>2778</v>
      </c>
      <c r="AX6" s="0" t="s">
        <v>2778</v>
      </c>
      <c r="AY6" s="0" t="s">
        <v>2778</v>
      </c>
      <c r="AZ6" s="0" t="s">
        <v>2778</v>
      </c>
      <c r="BA6" s="0" t="s">
        <v>2778</v>
      </c>
      <c r="BB6" s="0" t="s">
        <v>2778</v>
      </c>
      <c r="BC6" s="0" t="s">
        <v>2778</v>
      </c>
      <c r="BD6" s="0" t="s">
        <v>2798</v>
      </c>
      <c r="BE6" s="0" t="s">
        <v>2798</v>
      </c>
      <c r="BF6" s="0" t="s">
        <v>152</v>
      </c>
      <c r="BG6" s="0" t="s">
        <v>152</v>
      </c>
      <c r="BH6" s="0" t="s">
        <v>152</v>
      </c>
      <c r="BI6" s="0" t="s">
        <v>152</v>
      </c>
      <c r="BJ6" s="0" t="s">
        <v>2778</v>
      </c>
      <c r="BK6" s="0" t="s">
        <v>152</v>
      </c>
      <c r="BL6" s="0" t="s">
        <v>152</v>
      </c>
      <c r="BM6" s="0" t="s">
        <v>152</v>
      </c>
      <c r="BN6" s="0" t="s">
        <v>152</v>
      </c>
      <c r="BO6" s="0" t="s">
        <v>152</v>
      </c>
      <c r="BP6" s="0" t="s">
        <v>2778</v>
      </c>
      <c r="BQ6" s="0" t="s">
        <v>152</v>
      </c>
      <c r="BR6" s="0" t="s">
        <v>152</v>
      </c>
      <c r="BS6" s="0" t="s">
        <v>152</v>
      </c>
      <c r="BT6" s="0" t="s">
        <v>152</v>
      </c>
      <c r="BU6" s="0" t="s">
        <v>152</v>
      </c>
      <c r="BV6" s="0" t="s">
        <v>2778</v>
      </c>
      <c r="BW6" s="0" t="s">
        <v>152</v>
      </c>
      <c r="BX6" s="0" t="s">
        <v>152</v>
      </c>
      <c r="BY6" s="0" t="s">
        <v>152</v>
      </c>
      <c r="BZ6" s="0" t="s">
        <v>152</v>
      </c>
      <c r="CA6" s="0" t="s">
        <v>152</v>
      </c>
      <c r="CB6" s="0" t="s">
        <v>2778</v>
      </c>
      <c r="CC6" s="0" t="s">
        <v>152</v>
      </c>
      <c r="CD6" s="0" t="s">
        <v>152</v>
      </c>
      <c r="CE6" s="0" t="s">
        <v>152</v>
      </c>
      <c r="CF6" s="0" t="s">
        <v>152</v>
      </c>
      <c r="CG6" s="0" t="s">
        <v>152</v>
      </c>
      <c r="CH6" s="0" t="s">
        <v>2778</v>
      </c>
      <c r="CI6" s="0" t="s">
        <v>152</v>
      </c>
      <c r="CJ6" s="0" t="s">
        <v>152</v>
      </c>
      <c r="CK6" s="0" t="s">
        <v>152</v>
      </c>
      <c r="CL6" s="0" t="s">
        <v>152</v>
      </c>
      <c r="CM6" s="0" t="s">
        <v>152</v>
      </c>
      <c r="CN6" s="0" t="s">
        <v>2779</v>
      </c>
      <c r="CO6" s="0" t="s">
        <v>2780</v>
      </c>
      <c r="CP6" s="0" t="s">
        <v>2781</v>
      </c>
      <c r="CQ6" s="0" t="s">
        <v>2782</v>
      </c>
      <c r="CR6" s="0" t="s">
        <v>2783</v>
      </c>
      <c r="CS6" s="0" t="s">
        <v>426</v>
      </c>
      <c r="CT6" s="0" t="s">
        <v>425</v>
      </c>
      <c r="CU6" s="0" t="s">
        <v>427</v>
      </c>
      <c r="CV6" s="0" t="s">
        <v>428</v>
      </c>
      <c r="CW6" s="0" t="s">
        <v>2783</v>
      </c>
      <c r="CX6" s="0" t="s">
        <v>2786</v>
      </c>
      <c r="CY6" s="0" t="s">
        <v>424</v>
      </c>
    </row>
    <row customHeight="1" ht="11.25">
      <c r="A7" s="0" t="s">
        <v>152</v>
      </c>
      <c r="B7" s="0" t="s">
        <v>152</v>
      </c>
      <c r="C7" s="0" t="s">
        <v>152</v>
      </c>
      <c r="D7" s="0" t="s">
        <v>152</v>
      </c>
      <c r="E7" s="0" t="s">
        <v>152</v>
      </c>
      <c r="F7" s="0" t="s">
        <v>2757</v>
      </c>
      <c r="G7" s="0" t="s">
        <v>152</v>
      </c>
      <c r="H7" s="0" t="s">
        <v>152</v>
      </c>
      <c r="I7" s="0" t="s">
        <v>651</v>
      </c>
      <c r="J7" s="0" t="s">
        <v>152</v>
      </c>
      <c r="K7" s="0" t="s">
        <v>2840</v>
      </c>
      <c r="L7" s="0" t="s">
        <v>152</v>
      </c>
      <c r="M7" s="0" t="s">
        <v>114</v>
      </c>
      <c r="N7" s="0" t="s">
        <v>152</v>
      </c>
      <c r="O7" s="0" t="s">
        <v>2759</v>
      </c>
      <c r="P7" s="0" t="s">
        <v>2760</v>
      </c>
      <c r="Q7" s="0" t="s">
        <v>2761</v>
      </c>
      <c r="R7" s="0" t="s">
        <v>205</v>
      </c>
      <c r="S7" s="0" t="s">
        <v>205</v>
      </c>
      <c r="T7" s="0" t="s">
        <v>2789</v>
      </c>
      <c r="U7" s="0" t="s">
        <v>2789</v>
      </c>
      <c r="V7" s="0" t="s">
        <v>2790</v>
      </c>
      <c r="W7" s="0" t="s">
        <v>2791</v>
      </c>
      <c r="X7" s="0" t="s">
        <v>2792</v>
      </c>
      <c r="Y7" s="0" t="s">
        <v>2841</v>
      </c>
      <c r="Z7" s="0" t="s">
        <v>335</v>
      </c>
      <c r="AA7" s="0" t="s">
        <v>2842</v>
      </c>
      <c r="AB7" s="0" t="s">
        <v>2843</v>
      </c>
      <c r="AC7" s="0" t="s">
        <v>152</v>
      </c>
      <c r="AD7" s="0" t="s">
        <v>2767</v>
      </c>
      <c r="AE7" s="0" t="s">
        <v>2768</v>
      </c>
      <c r="AF7" s="0" t="s">
        <v>2795</v>
      </c>
      <c r="AG7" s="0" t="s">
        <v>2795</v>
      </c>
      <c r="AH7" s="0" t="s">
        <v>2770</v>
      </c>
      <c r="AI7" s="0" t="s">
        <v>2771</v>
      </c>
      <c r="AJ7" s="0" t="s">
        <v>2844</v>
      </c>
      <c r="AK7" s="0" t="s">
        <v>2845</v>
      </c>
      <c r="AL7" s="0" t="s">
        <v>2842</v>
      </c>
      <c r="AM7" s="0" t="s">
        <v>2843</v>
      </c>
      <c r="AN7" s="0" t="s">
        <v>152</v>
      </c>
      <c r="AO7" s="0" t="s">
        <v>2774</v>
      </c>
      <c r="AP7" s="0" t="s">
        <v>2846</v>
      </c>
      <c r="AQ7" s="0" t="s">
        <v>2776</v>
      </c>
      <c r="AR7" s="0" t="s">
        <v>2847</v>
      </c>
      <c r="AS7" s="0" t="s">
        <v>2847</v>
      </c>
      <c r="AT7" s="0" t="s">
        <v>2778</v>
      </c>
      <c r="AU7" s="0" t="s">
        <v>2778</v>
      </c>
      <c r="AV7" s="0" t="s">
        <v>2778</v>
      </c>
      <c r="AW7" s="0" t="s">
        <v>2778</v>
      </c>
      <c r="AX7" s="0" t="s">
        <v>2778</v>
      </c>
      <c r="AY7" s="0" t="s">
        <v>2778</v>
      </c>
      <c r="AZ7" s="0" t="s">
        <v>2778</v>
      </c>
      <c r="BA7" s="0" t="s">
        <v>2778</v>
      </c>
      <c r="BB7" s="0" t="s">
        <v>2778</v>
      </c>
      <c r="BC7" s="0" t="s">
        <v>2778</v>
      </c>
      <c r="BD7" s="0" t="s">
        <v>2847</v>
      </c>
      <c r="BE7" s="0" t="s">
        <v>2847</v>
      </c>
      <c r="BF7" s="0" t="s">
        <v>152</v>
      </c>
      <c r="BG7" s="0" t="s">
        <v>152</v>
      </c>
      <c r="BH7" s="0" t="s">
        <v>152</v>
      </c>
      <c r="BI7" s="0" t="s">
        <v>152</v>
      </c>
      <c r="BJ7" s="0" t="s">
        <v>2778</v>
      </c>
      <c r="BK7" s="0" t="s">
        <v>152</v>
      </c>
      <c r="BL7" s="0" t="s">
        <v>152</v>
      </c>
      <c r="BM7" s="0" t="s">
        <v>152</v>
      </c>
      <c r="BN7" s="0" t="s">
        <v>152</v>
      </c>
      <c r="BO7" s="0" t="s">
        <v>152</v>
      </c>
      <c r="BP7" s="0" t="s">
        <v>2778</v>
      </c>
      <c r="BQ7" s="0" t="s">
        <v>152</v>
      </c>
      <c r="BR7" s="0" t="s">
        <v>152</v>
      </c>
      <c r="BS7" s="0" t="s">
        <v>152</v>
      </c>
      <c r="BT7" s="0" t="s">
        <v>152</v>
      </c>
      <c r="BU7" s="0" t="s">
        <v>152</v>
      </c>
      <c r="BV7" s="0" t="s">
        <v>2778</v>
      </c>
      <c r="BW7" s="0" t="s">
        <v>152</v>
      </c>
      <c r="BX7" s="0" t="s">
        <v>152</v>
      </c>
      <c r="BY7" s="0" t="s">
        <v>152</v>
      </c>
      <c r="BZ7" s="0" t="s">
        <v>152</v>
      </c>
      <c r="CA7" s="0" t="s">
        <v>152</v>
      </c>
      <c r="CB7" s="0" t="s">
        <v>2778</v>
      </c>
      <c r="CC7" s="0" t="s">
        <v>152</v>
      </c>
      <c r="CD7" s="0" t="s">
        <v>152</v>
      </c>
      <c r="CE7" s="0" t="s">
        <v>152</v>
      </c>
      <c r="CF7" s="0" t="s">
        <v>152</v>
      </c>
      <c r="CG7" s="0" t="s">
        <v>152</v>
      </c>
      <c r="CH7" s="0" t="s">
        <v>2778</v>
      </c>
      <c r="CI7" s="0" t="s">
        <v>152</v>
      </c>
      <c r="CJ7" s="0" t="s">
        <v>152</v>
      </c>
      <c r="CK7" s="0" t="s">
        <v>152</v>
      </c>
      <c r="CL7" s="0" t="s">
        <v>152</v>
      </c>
      <c r="CM7" s="0" t="s">
        <v>152</v>
      </c>
      <c r="CN7" s="0" t="s">
        <v>2779</v>
      </c>
      <c r="CO7" s="0" t="s">
        <v>2780</v>
      </c>
      <c r="CP7" s="0" t="s">
        <v>2781</v>
      </c>
      <c r="CQ7" s="0" t="s">
        <v>2782</v>
      </c>
      <c r="CR7" s="0" t="s">
        <v>2783</v>
      </c>
      <c r="CS7" s="0" t="s">
        <v>426</v>
      </c>
      <c r="CT7" s="0" t="s">
        <v>425</v>
      </c>
      <c r="CU7" s="0" t="s">
        <v>2848</v>
      </c>
      <c r="CV7" s="0" t="s">
        <v>2849</v>
      </c>
      <c r="CW7" s="0" t="s">
        <v>2783</v>
      </c>
      <c r="CX7" s="0" t="s">
        <v>2786</v>
      </c>
      <c r="CY7" s="0" t="s">
        <v>2850</v>
      </c>
    </row>
    <row customHeight="1" ht="11.25">
      <c r="A8" s="0" t="s">
        <v>152</v>
      </c>
      <c r="B8" s="0" t="s">
        <v>152</v>
      </c>
      <c r="C8" s="0" t="s">
        <v>152</v>
      </c>
      <c r="D8" s="0" t="s">
        <v>152</v>
      </c>
      <c r="E8" s="0" t="s">
        <v>152</v>
      </c>
      <c r="F8" s="0" t="s">
        <v>2757</v>
      </c>
      <c r="G8" s="0" t="s">
        <v>152</v>
      </c>
      <c r="H8" s="0" t="s">
        <v>152</v>
      </c>
      <c r="I8" s="0" t="s">
        <v>343</v>
      </c>
      <c r="J8" s="0" t="s">
        <v>152</v>
      </c>
      <c r="K8" s="0" t="s">
        <v>2851</v>
      </c>
      <c r="L8" s="0" t="s">
        <v>152</v>
      </c>
      <c r="M8" s="0" t="s">
        <v>114</v>
      </c>
      <c r="N8" s="0" t="s">
        <v>152</v>
      </c>
      <c r="O8" s="0" t="s">
        <v>2759</v>
      </c>
      <c r="P8" s="0" t="s">
        <v>2760</v>
      </c>
      <c r="Q8" s="0" t="s">
        <v>2761</v>
      </c>
      <c r="R8" s="0" t="s">
        <v>205</v>
      </c>
      <c r="S8" s="0" t="s">
        <v>205</v>
      </c>
      <c r="T8" s="0" t="s">
        <v>2852</v>
      </c>
      <c r="U8" s="0" t="s">
        <v>2852</v>
      </c>
      <c r="V8" s="0" t="s">
        <v>2853</v>
      </c>
      <c r="W8" s="0" t="s">
        <v>2854</v>
      </c>
      <c r="X8" s="0" t="s">
        <v>2855</v>
      </c>
      <c r="Y8" s="0" t="s">
        <v>2856</v>
      </c>
      <c r="Z8" s="0" t="s">
        <v>2857</v>
      </c>
      <c r="AA8" s="0" t="s">
        <v>2833</v>
      </c>
      <c r="AB8" s="0" t="s">
        <v>2858</v>
      </c>
      <c r="AC8" s="0" t="s">
        <v>152</v>
      </c>
      <c r="AD8" s="0" t="s">
        <v>2767</v>
      </c>
      <c r="AE8" s="0" t="s">
        <v>2768</v>
      </c>
      <c r="AF8" s="0" t="s">
        <v>2859</v>
      </c>
      <c r="AG8" s="0" t="s">
        <v>2859</v>
      </c>
      <c r="AH8" s="0" t="s">
        <v>2770</v>
      </c>
      <c r="AI8" s="0" t="s">
        <v>2796</v>
      </c>
      <c r="AJ8" s="0" t="s">
        <v>2779</v>
      </c>
      <c r="AK8" s="0" t="s">
        <v>2860</v>
      </c>
      <c r="AL8" s="0" t="s">
        <v>2833</v>
      </c>
      <c r="AM8" s="0" t="s">
        <v>2861</v>
      </c>
      <c r="AN8" s="0" t="s">
        <v>152</v>
      </c>
      <c r="AO8" s="0" t="s">
        <v>2774</v>
      </c>
      <c r="AP8" s="0" t="s">
        <v>2775</v>
      </c>
      <c r="AQ8" s="0" t="s">
        <v>2776</v>
      </c>
      <c r="AR8" s="0" t="s">
        <v>2862</v>
      </c>
      <c r="AS8" s="0" t="s">
        <v>2862</v>
      </c>
      <c r="AT8" s="0" t="s">
        <v>2778</v>
      </c>
      <c r="AU8" s="0" t="s">
        <v>2778</v>
      </c>
      <c r="AV8" s="0" t="s">
        <v>2778</v>
      </c>
      <c r="AW8" s="0" t="s">
        <v>2778</v>
      </c>
      <c r="AX8" s="0" t="s">
        <v>2778</v>
      </c>
      <c r="AY8" s="0" t="s">
        <v>2778</v>
      </c>
      <c r="AZ8" s="0" t="s">
        <v>2778</v>
      </c>
      <c r="BA8" s="0" t="s">
        <v>2778</v>
      </c>
      <c r="BB8" s="0" t="s">
        <v>2778</v>
      </c>
      <c r="BC8" s="0" t="s">
        <v>2778</v>
      </c>
      <c r="BD8" s="0" t="s">
        <v>2862</v>
      </c>
      <c r="BE8" s="0" t="s">
        <v>2862</v>
      </c>
      <c r="BF8" s="0" t="s">
        <v>152</v>
      </c>
      <c r="BG8" s="0" t="s">
        <v>152</v>
      </c>
      <c r="BH8" s="0" t="s">
        <v>152</v>
      </c>
      <c r="BI8" s="0" t="s">
        <v>152</v>
      </c>
      <c r="BJ8" s="0" t="s">
        <v>2778</v>
      </c>
      <c r="BK8" s="0" t="s">
        <v>152</v>
      </c>
      <c r="BL8" s="0" t="s">
        <v>152</v>
      </c>
      <c r="BM8" s="0" t="s">
        <v>152</v>
      </c>
      <c r="BN8" s="0" t="s">
        <v>152</v>
      </c>
      <c r="BO8" s="0" t="s">
        <v>152</v>
      </c>
      <c r="BP8" s="0" t="s">
        <v>2778</v>
      </c>
      <c r="BQ8" s="0" t="s">
        <v>152</v>
      </c>
      <c r="BR8" s="0" t="s">
        <v>152</v>
      </c>
      <c r="BS8" s="0" t="s">
        <v>152</v>
      </c>
      <c r="BT8" s="0" t="s">
        <v>152</v>
      </c>
      <c r="BU8" s="0" t="s">
        <v>152</v>
      </c>
      <c r="BV8" s="0" t="s">
        <v>2778</v>
      </c>
      <c r="BW8" s="0" t="s">
        <v>152</v>
      </c>
      <c r="BX8" s="0" t="s">
        <v>152</v>
      </c>
      <c r="BY8" s="0" t="s">
        <v>152</v>
      </c>
      <c r="BZ8" s="0" t="s">
        <v>152</v>
      </c>
      <c r="CA8" s="0" t="s">
        <v>152</v>
      </c>
      <c r="CB8" s="0" t="s">
        <v>2778</v>
      </c>
      <c r="CC8" s="0" t="s">
        <v>152</v>
      </c>
      <c r="CD8" s="0" t="s">
        <v>152</v>
      </c>
      <c r="CE8" s="0" t="s">
        <v>152</v>
      </c>
      <c r="CF8" s="0" t="s">
        <v>152</v>
      </c>
      <c r="CG8" s="0" t="s">
        <v>152</v>
      </c>
      <c r="CH8" s="0" t="s">
        <v>2778</v>
      </c>
      <c r="CI8" s="0" t="s">
        <v>152</v>
      </c>
      <c r="CJ8" s="0" t="s">
        <v>152</v>
      </c>
      <c r="CK8" s="0" t="s">
        <v>152</v>
      </c>
      <c r="CL8" s="0" t="s">
        <v>152</v>
      </c>
      <c r="CM8" s="0" t="s">
        <v>152</v>
      </c>
      <c r="CN8" s="0" t="s">
        <v>2779</v>
      </c>
      <c r="CO8" s="0" t="s">
        <v>2780</v>
      </c>
      <c r="CP8" s="0" t="s">
        <v>2781</v>
      </c>
      <c r="CQ8" s="0" t="s">
        <v>2782</v>
      </c>
      <c r="CR8" s="0" t="s">
        <v>2783</v>
      </c>
      <c r="CS8" s="0" t="s">
        <v>426</v>
      </c>
      <c r="CT8" s="0" t="s">
        <v>425</v>
      </c>
      <c r="CU8" s="0" t="s">
        <v>2863</v>
      </c>
      <c r="CV8" s="0" t="s">
        <v>2864</v>
      </c>
      <c r="CW8" s="0" t="s">
        <v>2783</v>
      </c>
      <c r="CX8" s="0" t="s">
        <v>2786</v>
      </c>
      <c r="CY8" s="0" t="s">
        <v>2865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E7528-C5F5-7F58-9C98-549B00D72FB4}"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2866</v>
      </c>
      <c r="B1" s="0" t="s">
        <v>2867</v>
      </c>
      <c r="C1" s="0" t="s">
        <v>2868</v>
      </c>
    </row>
    <row customHeight="1" ht="11.25">
      <c r="A2" s="0" t="s">
        <v>2869</v>
      </c>
      <c r="B2" s="0" t="s">
        <v>2869</v>
      </c>
      <c r="C2" s="0" t="s">
        <v>2870</v>
      </c>
    </row>
    <row customHeight="1" ht="11.25">
      <c r="A3" s="0" t="s">
        <v>2871</v>
      </c>
      <c r="B3" s="0" t="s">
        <v>2871</v>
      </c>
      <c r="C3" s="0" t="s">
        <v>2872</v>
      </c>
    </row>
    <row customHeight="1" ht="11.25">
      <c r="A4" s="0" t="s">
        <v>2873</v>
      </c>
      <c r="B4" s="0" t="s">
        <v>2873</v>
      </c>
      <c r="C4" s="0" t="s">
        <v>2874</v>
      </c>
    </row>
    <row customHeight="1" ht="11.25">
      <c r="A5" s="0" t="s">
        <v>2875</v>
      </c>
      <c r="B5" s="0" t="s">
        <v>2875</v>
      </c>
      <c r="C5" s="0" t="s">
        <v>2876</v>
      </c>
    </row>
    <row customHeight="1" ht="11.25">
      <c r="A6" s="0" t="s">
        <v>2877</v>
      </c>
      <c r="B6" s="0" t="s">
        <v>2877</v>
      </c>
      <c r="C6" s="0" t="s">
        <v>2878</v>
      </c>
    </row>
    <row customHeight="1" ht="11.25">
      <c r="A7" s="0" t="s">
        <v>2879</v>
      </c>
      <c r="B7" s="0" t="s">
        <v>2879</v>
      </c>
      <c r="C7" s="0" t="s">
        <v>2880</v>
      </c>
    </row>
    <row customHeight="1" ht="11.25">
      <c r="A8" s="0" t="s">
        <v>2879</v>
      </c>
      <c r="B8" s="0" t="s">
        <v>2879</v>
      </c>
      <c r="C8" s="0" t="s">
        <v>2881</v>
      </c>
    </row>
    <row customHeight="1" ht="11.25">
      <c r="A9" s="0" t="s">
        <v>2882</v>
      </c>
      <c r="B9" s="0" t="s">
        <v>2882</v>
      </c>
      <c r="C9" s="0" t="s">
        <v>2883</v>
      </c>
    </row>
    <row customHeight="1" ht="11.25">
      <c r="A10" s="0" t="s">
        <v>2884</v>
      </c>
      <c r="B10" s="0" t="s">
        <v>2884</v>
      </c>
      <c r="C10" s="0" t="s">
        <v>2885</v>
      </c>
    </row>
    <row customHeight="1" ht="11.25">
      <c r="A11" s="0" t="s">
        <v>2886</v>
      </c>
      <c r="B11" s="0" t="s">
        <v>2886</v>
      </c>
      <c r="C11" s="0" t="s">
        <v>2887</v>
      </c>
    </row>
    <row customHeight="1" ht="11.25">
      <c r="A12" s="0" t="s">
        <v>2852</v>
      </c>
      <c r="B12" s="0" t="s">
        <v>2852</v>
      </c>
      <c r="C12" s="0" t="s">
        <v>2853</v>
      </c>
    </row>
    <row customHeight="1" ht="11.25">
      <c r="A13" s="0" t="s">
        <v>2789</v>
      </c>
      <c r="B13" s="0" t="s">
        <v>2789</v>
      </c>
      <c r="C13" s="0" t="s">
        <v>2790</v>
      </c>
    </row>
    <row customHeight="1" ht="11.25">
      <c r="A14" s="0" t="s">
        <v>2888</v>
      </c>
      <c r="B14" s="0" t="s">
        <v>2888</v>
      </c>
      <c r="C14" s="0" t="s">
        <v>2889</v>
      </c>
    </row>
    <row customHeight="1" ht="11.25">
      <c r="A15" s="0" t="s">
        <v>2890</v>
      </c>
      <c r="B15" s="0" t="s">
        <v>2890</v>
      </c>
      <c r="C15" s="0" t="s">
        <v>2891</v>
      </c>
    </row>
    <row customHeight="1" ht="11.25">
      <c r="A16" s="0" t="s">
        <v>2892</v>
      </c>
      <c r="B16" s="0" t="s">
        <v>2892</v>
      </c>
      <c r="C16" s="0" t="s">
        <v>2893</v>
      </c>
    </row>
    <row customHeight="1" ht="11.25">
      <c r="A17" s="0" t="s">
        <v>2894</v>
      </c>
      <c r="B17" s="0" t="s">
        <v>2894</v>
      </c>
      <c r="C17" s="0" t="s">
        <v>2895</v>
      </c>
    </row>
    <row customHeight="1" ht="11.25">
      <c r="A18" s="0" t="s">
        <v>2896</v>
      </c>
      <c r="B18" s="0" t="s">
        <v>2896</v>
      </c>
      <c r="C18" s="0" t="s">
        <v>2897</v>
      </c>
    </row>
    <row customHeight="1" ht="11.25">
      <c r="A19" s="0" t="s">
        <v>2898</v>
      </c>
      <c r="B19" s="0" t="s">
        <v>2898</v>
      </c>
      <c r="C19" s="0" t="s">
        <v>2899</v>
      </c>
    </row>
    <row customHeight="1" ht="11.25">
      <c r="A20" s="0" t="s">
        <v>2900</v>
      </c>
      <c r="B20" s="0" t="s">
        <v>2900</v>
      </c>
      <c r="C20" s="0" t="s">
        <v>2901</v>
      </c>
    </row>
    <row customHeight="1" ht="11.25">
      <c r="A21" s="0" t="s">
        <v>2902</v>
      </c>
      <c r="B21" s="0" t="s">
        <v>2902</v>
      </c>
      <c r="C21" s="0" t="s">
        <v>2903</v>
      </c>
    </row>
    <row customHeight="1" ht="11.25">
      <c r="A22" s="0" t="s">
        <v>2904</v>
      </c>
      <c r="B22" s="0" t="s">
        <v>2905</v>
      </c>
      <c r="C22" s="0" t="s">
        <v>2906</v>
      </c>
    </row>
    <row customHeight="1" ht="11.25">
      <c r="A23" s="0" t="s">
        <v>2904</v>
      </c>
      <c r="B23" s="0" t="s">
        <v>2907</v>
      </c>
      <c r="C23" s="0" t="s">
        <v>2908</v>
      </c>
    </row>
    <row customHeight="1" ht="11.25">
      <c r="A24" s="0" t="s">
        <v>2904</v>
      </c>
      <c r="B24" s="0" t="s">
        <v>2909</v>
      </c>
      <c r="C24" s="0" t="s">
        <v>2910</v>
      </c>
    </row>
    <row customHeight="1" ht="11.25">
      <c r="A25" s="0" t="s">
        <v>2904</v>
      </c>
      <c r="B25" s="0" t="s">
        <v>2911</v>
      </c>
      <c r="C25" s="0" t="s">
        <v>2912</v>
      </c>
    </row>
    <row customHeight="1" ht="11.25">
      <c r="A26" s="0" t="s">
        <v>2904</v>
      </c>
      <c r="B26" s="0" t="s">
        <v>2913</v>
      </c>
      <c r="C26" s="0" t="s">
        <v>2914</v>
      </c>
    </row>
    <row customHeight="1" ht="11.25">
      <c r="A27" s="0" t="s">
        <v>2904</v>
      </c>
      <c r="B27" s="0" t="s">
        <v>2915</v>
      </c>
      <c r="C27" s="0" t="s">
        <v>2916</v>
      </c>
    </row>
    <row customHeight="1" ht="11.25">
      <c r="A28" s="0" t="s">
        <v>2904</v>
      </c>
      <c r="B28" s="0" t="s">
        <v>2917</v>
      </c>
      <c r="C28" s="0" t="s">
        <v>2918</v>
      </c>
    </row>
    <row customHeight="1" ht="11.25">
      <c r="A29" s="0" t="s">
        <v>2904</v>
      </c>
      <c r="B29" s="0" t="s">
        <v>2919</v>
      </c>
      <c r="C29" s="0" t="s">
        <v>2920</v>
      </c>
    </row>
    <row customHeight="1" ht="11.25">
      <c r="A30" s="0" t="s">
        <v>2921</v>
      </c>
      <c r="B30" s="0" t="s">
        <v>2922</v>
      </c>
      <c r="C30" s="0" t="s">
        <v>2923</v>
      </c>
    </row>
    <row customHeight="1" ht="11.25">
      <c r="A31" s="0" t="s">
        <v>2921</v>
      </c>
      <c r="B31" s="0" t="s">
        <v>2924</v>
      </c>
      <c r="C31" s="0" t="s">
        <v>2925</v>
      </c>
    </row>
    <row customHeight="1" ht="11.25">
      <c r="A32" s="0" t="s">
        <v>2921</v>
      </c>
      <c r="B32" s="0" t="s">
        <v>2926</v>
      </c>
      <c r="C32" s="0" t="s">
        <v>2927</v>
      </c>
    </row>
    <row customHeight="1" ht="11.25">
      <c r="A33" s="0" t="s">
        <v>2921</v>
      </c>
      <c r="B33" s="0" t="s">
        <v>2928</v>
      </c>
      <c r="C33" s="0" t="s">
        <v>2929</v>
      </c>
    </row>
    <row customHeight="1" ht="11.25">
      <c r="A34" s="0" t="s">
        <v>2921</v>
      </c>
      <c r="B34" s="0" t="s">
        <v>2930</v>
      </c>
      <c r="C34" s="0" t="s">
        <v>2931</v>
      </c>
    </row>
    <row customHeight="1" ht="11.25">
      <c r="A35" s="0" t="s">
        <v>2921</v>
      </c>
      <c r="B35" s="0" t="s">
        <v>2932</v>
      </c>
      <c r="C35" s="0" t="s">
        <v>2933</v>
      </c>
    </row>
    <row customHeight="1" ht="11.25">
      <c r="A36" s="0" t="s">
        <v>2921</v>
      </c>
      <c r="B36" s="0" t="s">
        <v>2934</v>
      </c>
      <c r="C36" s="0" t="s">
        <v>2935</v>
      </c>
    </row>
    <row customHeight="1" ht="11.25">
      <c r="A37" s="0" t="s">
        <v>2921</v>
      </c>
      <c r="B37" s="0" t="s">
        <v>2936</v>
      </c>
      <c r="C37" s="0" t="s">
        <v>2937</v>
      </c>
    </row>
    <row customHeight="1" ht="11.25">
      <c r="A38" s="0" t="s">
        <v>2921</v>
      </c>
      <c r="B38" s="0" t="s">
        <v>2938</v>
      </c>
      <c r="C38" s="0" t="s">
        <v>2939</v>
      </c>
    </row>
    <row customHeight="1" ht="11.25">
      <c r="A39" s="0" t="s">
        <v>2940</v>
      </c>
      <c r="B39" s="0" t="s">
        <v>2941</v>
      </c>
      <c r="C39" s="0" t="s">
        <v>2942</v>
      </c>
    </row>
    <row customHeight="1" ht="11.25">
      <c r="A40" s="0" t="s">
        <v>2940</v>
      </c>
      <c r="B40" s="0" t="s">
        <v>2943</v>
      </c>
      <c r="C40" s="0" t="s">
        <v>2944</v>
      </c>
    </row>
    <row customHeight="1" ht="11.25">
      <c r="A41" s="0" t="s">
        <v>2940</v>
      </c>
      <c r="B41" s="0" t="s">
        <v>2945</v>
      </c>
      <c r="C41" s="0" t="s">
        <v>2946</v>
      </c>
    </row>
    <row customHeight="1" ht="11.25">
      <c r="A42" s="0" t="s">
        <v>2940</v>
      </c>
      <c r="B42" s="0" t="s">
        <v>2947</v>
      </c>
      <c r="C42" s="0" t="s">
        <v>2948</v>
      </c>
    </row>
    <row customHeight="1" ht="11.25">
      <c r="A43" s="0" t="s">
        <v>2940</v>
      </c>
      <c r="B43" s="0" t="s">
        <v>2949</v>
      </c>
      <c r="C43" s="0" t="s">
        <v>2950</v>
      </c>
    </row>
    <row customHeight="1" ht="11.25">
      <c r="A44" s="0" t="s">
        <v>2940</v>
      </c>
      <c r="B44" s="0" t="s">
        <v>2951</v>
      </c>
      <c r="C44" s="0" t="s">
        <v>2952</v>
      </c>
    </row>
    <row customHeight="1" ht="11.25">
      <c r="A45" s="0" t="s">
        <v>2940</v>
      </c>
      <c r="B45" s="0" t="s">
        <v>2953</v>
      </c>
      <c r="C45" s="0" t="s">
        <v>2954</v>
      </c>
    </row>
    <row customHeight="1" ht="11.25">
      <c r="A46" s="0" t="s">
        <v>2955</v>
      </c>
      <c r="B46" s="0" t="s">
        <v>2956</v>
      </c>
      <c r="C46" s="0" t="s">
        <v>2957</v>
      </c>
    </row>
    <row customHeight="1" ht="11.25">
      <c r="A47" s="0" t="s">
        <v>2955</v>
      </c>
      <c r="B47" s="0" t="s">
        <v>2958</v>
      </c>
      <c r="C47" s="0" t="s">
        <v>2959</v>
      </c>
    </row>
    <row customHeight="1" ht="11.25">
      <c r="A48" s="0" t="s">
        <v>2955</v>
      </c>
      <c r="B48" s="0" t="s">
        <v>2960</v>
      </c>
      <c r="C48" s="0" t="s">
        <v>2961</v>
      </c>
    </row>
    <row customHeight="1" ht="11.25">
      <c r="A49" s="0" t="s">
        <v>2955</v>
      </c>
      <c r="B49" s="0" t="s">
        <v>2962</v>
      </c>
      <c r="C49" s="0" t="s">
        <v>2963</v>
      </c>
    </row>
    <row customHeight="1" ht="11.25">
      <c r="A50" s="0" t="s">
        <v>2955</v>
      </c>
      <c r="B50" s="0" t="s">
        <v>2964</v>
      </c>
      <c r="C50" s="0" t="s">
        <v>2965</v>
      </c>
    </row>
    <row customHeight="1" ht="11.25">
      <c r="A51" s="0" t="s">
        <v>2955</v>
      </c>
      <c r="B51" s="0" t="s">
        <v>2966</v>
      </c>
      <c r="C51" s="0" t="s">
        <v>2967</v>
      </c>
    </row>
    <row customHeight="1" ht="11.25">
      <c r="A52" s="0" t="s">
        <v>2955</v>
      </c>
      <c r="B52" s="0" t="s">
        <v>2968</v>
      </c>
      <c r="C52" s="0" t="s">
        <v>2969</v>
      </c>
    </row>
    <row customHeight="1" ht="11.25">
      <c r="A53" s="0" t="s">
        <v>2955</v>
      </c>
      <c r="B53" s="0" t="s">
        <v>2970</v>
      </c>
      <c r="C53" s="0" t="s">
        <v>2971</v>
      </c>
    </row>
    <row customHeight="1" ht="11.25">
      <c r="A54" s="0" t="s">
        <v>2955</v>
      </c>
      <c r="B54" s="0" t="s">
        <v>2972</v>
      </c>
      <c r="C54" s="0" t="s">
        <v>2973</v>
      </c>
    </row>
    <row customHeight="1" ht="11.25">
      <c r="A55" s="0" t="s">
        <v>2974</v>
      </c>
      <c r="B55" s="0" t="s">
        <v>2974</v>
      </c>
      <c r="C55" s="0" t="s">
        <v>2975</v>
      </c>
    </row>
    <row customHeight="1" ht="11.25">
      <c r="A56" s="0" t="s">
        <v>2974</v>
      </c>
      <c r="B56" s="0" t="s">
        <v>2976</v>
      </c>
      <c r="C56" s="0" t="s">
        <v>2977</v>
      </c>
    </row>
    <row customHeight="1" ht="11.25">
      <c r="A57" s="0" t="s">
        <v>2974</v>
      </c>
      <c r="B57" s="0" t="s">
        <v>2978</v>
      </c>
      <c r="C57" s="0" t="s">
        <v>2979</v>
      </c>
    </row>
    <row customHeight="1" ht="11.25">
      <c r="A58" s="0" t="s">
        <v>2974</v>
      </c>
      <c r="B58" s="0" t="s">
        <v>2980</v>
      </c>
      <c r="C58" s="0" t="s">
        <v>2981</v>
      </c>
    </row>
    <row customHeight="1" ht="11.25">
      <c r="A59" s="0" t="s">
        <v>2974</v>
      </c>
      <c r="B59" s="0" t="s">
        <v>2982</v>
      </c>
      <c r="C59" s="0" t="s">
        <v>2983</v>
      </c>
    </row>
    <row customHeight="1" ht="11.25">
      <c r="A60" s="0" t="s">
        <v>2974</v>
      </c>
      <c r="B60" s="0" t="s">
        <v>2984</v>
      </c>
      <c r="C60" s="0" t="s">
        <v>2985</v>
      </c>
    </row>
    <row customHeight="1" ht="11.25">
      <c r="A61" s="0" t="s">
        <v>2974</v>
      </c>
      <c r="B61" s="0" t="s">
        <v>2986</v>
      </c>
      <c r="C61" s="0" t="s">
        <v>2987</v>
      </c>
    </row>
    <row customHeight="1" ht="11.25">
      <c r="A62" s="0" t="s">
        <v>2974</v>
      </c>
      <c r="B62" s="0" t="s">
        <v>2988</v>
      </c>
      <c r="C62" s="0" t="s">
        <v>2989</v>
      </c>
    </row>
    <row customHeight="1" ht="11.25">
      <c r="A63" s="0" t="s">
        <v>2974</v>
      </c>
      <c r="B63" s="0" t="s">
        <v>2990</v>
      </c>
      <c r="C63" s="0" t="s">
        <v>2991</v>
      </c>
    </row>
    <row customHeight="1" ht="11.25">
      <c r="A64" s="0" t="s">
        <v>2974</v>
      </c>
      <c r="B64" s="0" t="s">
        <v>2992</v>
      </c>
      <c r="C64" s="0" t="s">
        <v>2993</v>
      </c>
    </row>
    <row customHeight="1" ht="11.25">
      <c r="A65" s="0" t="s">
        <v>2974</v>
      </c>
      <c r="B65" s="0" t="s">
        <v>2994</v>
      </c>
      <c r="C65" s="0" t="s">
        <v>2995</v>
      </c>
    </row>
    <row customHeight="1" ht="11.25">
      <c r="A66" s="0" t="s">
        <v>2974</v>
      </c>
      <c r="B66" s="0" t="s">
        <v>2996</v>
      </c>
      <c r="C66" s="0" t="s">
        <v>2997</v>
      </c>
    </row>
    <row customHeight="1" ht="11.25">
      <c r="A67" s="0" t="s">
        <v>2998</v>
      </c>
      <c r="B67" s="0" t="s">
        <v>2998</v>
      </c>
      <c r="C67" s="0" t="s">
        <v>2999</v>
      </c>
    </row>
    <row customHeight="1" ht="11.25">
      <c r="A68" s="0" t="s">
        <v>2998</v>
      </c>
      <c r="B68" s="0" t="s">
        <v>3000</v>
      </c>
      <c r="C68" s="0" t="s">
        <v>3001</v>
      </c>
    </row>
    <row customHeight="1" ht="11.25">
      <c r="A69" s="0" t="s">
        <v>2998</v>
      </c>
      <c r="B69" s="0" t="s">
        <v>3002</v>
      </c>
      <c r="C69" s="0" t="s">
        <v>3003</v>
      </c>
    </row>
    <row customHeight="1" ht="11.25">
      <c r="A70" s="0" t="s">
        <v>2998</v>
      </c>
      <c r="B70" s="0" t="s">
        <v>3004</v>
      </c>
      <c r="C70" s="0" t="s">
        <v>3005</v>
      </c>
    </row>
    <row customHeight="1" ht="11.25">
      <c r="A71" s="0" t="s">
        <v>2998</v>
      </c>
      <c r="B71" s="0" t="s">
        <v>3006</v>
      </c>
      <c r="C71" s="0" t="s">
        <v>3007</v>
      </c>
    </row>
    <row customHeight="1" ht="11.25">
      <c r="A72" s="0" t="s">
        <v>2998</v>
      </c>
      <c r="B72" s="0" t="s">
        <v>3008</v>
      </c>
      <c r="C72" s="0" t="s">
        <v>3009</v>
      </c>
    </row>
    <row customHeight="1" ht="11.25">
      <c r="A73" s="0" t="s">
        <v>2998</v>
      </c>
      <c r="B73" s="0" t="s">
        <v>3010</v>
      </c>
      <c r="C73" s="0" t="s">
        <v>3011</v>
      </c>
    </row>
    <row customHeight="1" ht="11.25">
      <c r="A74" s="0" t="s">
        <v>2998</v>
      </c>
      <c r="B74" s="0" t="s">
        <v>3012</v>
      </c>
      <c r="C74" s="0" t="s">
        <v>3013</v>
      </c>
    </row>
    <row customHeight="1" ht="11.25">
      <c r="A75" s="0" t="s">
        <v>2998</v>
      </c>
      <c r="B75" s="0" t="s">
        <v>3014</v>
      </c>
      <c r="C75" s="0" t="s">
        <v>3015</v>
      </c>
    </row>
    <row customHeight="1" ht="11.25">
      <c r="A76" s="0" t="s">
        <v>3016</v>
      </c>
      <c r="B76" s="0" t="s">
        <v>3017</v>
      </c>
      <c r="C76" s="0" t="s">
        <v>3018</v>
      </c>
    </row>
    <row customHeight="1" ht="11.25">
      <c r="A77" s="0" t="s">
        <v>3016</v>
      </c>
      <c r="B77" s="0" t="s">
        <v>3019</v>
      </c>
      <c r="C77" s="0" t="s">
        <v>3020</v>
      </c>
    </row>
    <row customHeight="1" ht="11.25">
      <c r="A78" s="0" t="s">
        <v>3016</v>
      </c>
      <c r="B78" s="0" t="s">
        <v>3021</v>
      </c>
      <c r="C78" s="0" t="s">
        <v>3022</v>
      </c>
    </row>
    <row customHeight="1" ht="11.25">
      <c r="A79" s="0" t="s">
        <v>3016</v>
      </c>
      <c r="B79" s="0" t="s">
        <v>3023</v>
      </c>
      <c r="C79" s="0" t="s">
        <v>3024</v>
      </c>
    </row>
    <row customHeight="1" ht="11.25">
      <c r="A80" s="0" t="s">
        <v>3016</v>
      </c>
      <c r="B80" s="0" t="s">
        <v>3025</v>
      </c>
      <c r="C80" s="0" t="s">
        <v>3026</v>
      </c>
    </row>
    <row customHeight="1" ht="11.25">
      <c r="A81" s="0" t="s">
        <v>3016</v>
      </c>
      <c r="B81" s="0" t="s">
        <v>3027</v>
      </c>
      <c r="C81" s="0" t="s">
        <v>3028</v>
      </c>
    </row>
    <row customHeight="1" ht="11.25">
      <c r="A82" s="0" t="s">
        <v>3016</v>
      </c>
      <c r="B82" s="0" t="s">
        <v>3029</v>
      </c>
      <c r="C82" s="0" t="s">
        <v>3030</v>
      </c>
    </row>
    <row customHeight="1" ht="11.25">
      <c r="A83" s="0" t="s">
        <v>3016</v>
      </c>
      <c r="B83" s="0" t="s">
        <v>3031</v>
      </c>
      <c r="C83" s="0" t="s">
        <v>3032</v>
      </c>
    </row>
    <row customHeight="1" ht="11.25">
      <c r="A84" s="0" t="s">
        <v>3016</v>
      </c>
      <c r="B84" s="0" t="s">
        <v>3033</v>
      </c>
      <c r="C84" s="0" t="s">
        <v>3034</v>
      </c>
    </row>
    <row customHeight="1" ht="11.25">
      <c r="A85" s="0" t="s">
        <v>3016</v>
      </c>
      <c r="B85" s="0" t="s">
        <v>3035</v>
      </c>
      <c r="C85" s="0" t="s">
        <v>3036</v>
      </c>
    </row>
    <row customHeight="1" ht="11.25">
      <c r="A86" s="0" t="s">
        <v>3016</v>
      </c>
      <c r="B86" s="0" t="s">
        <v>3037</v>
      </c>
      <c r="C86" s="0" t="s">
        <v>3038</v>
      </c>
    </row>
    <row customHeight="1" ht="11.25">
      <c r="A87" s="0" t="s">
        <v>3016</v>
      </c>
      <c r="B87" s="0" t="s">
        <v>3039</v>
      </c>
      <c r="C87" s="0" t="s">
        <v>3040</v>
      </c>
    </row>
    <row customHeight="1" ht="11.25">
      <c r="A88" s="0" t="s">
        <v>3016</v>
      </c>
      <c r="B88" s="0" t="s">
        <v>3041</v>
      </c>
      <c r="C88" s="0" t="s">
        <v>3042</v>
      </c>
    </row>
    <row customHeight="1" ht="11.25">
      <c r="A89" s="0" t="s">
        <v>3043</v>
      </c>
      <c r="B89" s="0" t="s">
        <v>3043</v>
      </c>
      <c r="C89" s="0" t="s">
        <v>3044</v>
      </c>
    </row>
    <row customHeight="1" ht="11.25">
      <c r="A90" s="0" t="s">
        <v>3043</v>
      </c>
      <c r="B90" s="0" t="s">
        <v>3045</v>
      </c>
      <c r="C90" s="0" t="s">
        <v>3046</v>
      </c>
    </row>
    <row customHeight="1" ht="11.25">
      <c r="A91" s="0" t="s">
        <v>3043</v>
      </c>
      <c r="B91" s="0" t="s">
        <v>3047</v>
      </c>
      <c r="C91" s="0" t="s">
        <v>3048</v>
      </c>
    </row>
    <row customHeight="1" ht="11.25">
      <c r="A92" s="0" t="s">
        <v>3043</v>
      </c>
      <c r="B92" s="0" t="s">
        <v>3049</v>
      </c>
      <c r="C92" s="0" t="s">
        <v>3050</v>
      </c>
    </row>
    <row customHeight="1" ht="11.25">
      <c r="A93" s="0" t="s">
        <v>3043</v>
      </c>
      <c r="B93" s="0" t="s">
        <v>3051</v>
      </c>
      <c r="C93" s="0" t="s">
        <v>3052</v>
      </c>
    </row>
    <row customHeight="1" ht="11.25">
      <c r="A94" s="0" t="s">
        <v>3043</v>
      </c>
      <c r="B94" s="0" t="s">
        <v>3053</v>
      </c>
      <c r="C94" s="0" t="s">
        <v>3054</v>
      </c>
    </row>
    <row customHeight="1" ht="11.25">
      <c r="A95" s="0" t="s">
        <v>3043</v>
      </c>
      <c r="B95" s="0" t="s">
        <v>3055</v>
      </c>
      <c r="C95" s="0" t="s">
        <v>3056</v>
      </c>
    </row>
    <row customHeight="1" ht="11.25">
      <c r="A96" s="0" t="s">
        <v>3043</v>
      </c>
      <c r="B96" s="0" t="s">
        <v>3053</v>
      </c>
      <c r="C96" s="0" t="s">
        <v>3057</v>
      </c>
    </row>
    <row customHeight="1" ht="11.25">
      <c r="A97" s="0" t="s">
        <v>3043</v>
      </c>
      <c r="B97" s="0" t="s">
        <v>3058</v>
      </c>
      <c r="C97" s="0" t="s">
        <v>3059</v>
      </c>
    </row>
    <row customHeight="1" ht="11.25">
      <c r="A98" s="0" t="s">
        <v>3043</v>
      </c>
      <c r="B98" s="0" t="s">
        <v>3060</v>
      </c>
      <c r="C98" s="0" t="s">
        <v>3061</v>
      </c>
    </row>
    <row customHeight="1" ht="11.25">
      <c r="A99" s="0" t="s">
        <v>3043</v>
      </c>
      <c r="B99" s="0" t="s">
        <v>3062</v>
      </c>
      <c r="C99" s="0" t="s">
        <v>3063</v>
      </c>
    </row>
    <row customHeight="1" ht="11.25">
      <c r="A100" s="0" t="s">
        <v>3043</v>
      </c>
      <c r="B100" s="0" t="s">
        <v>3064</v>
      </c>
      <c r="C100" s="0" t="s">
        <v>3065</v>
      </c>
    </row>
    <row customHeight="1" ht="11.25">
      <c r="A101" s="0" t="s">
        <v>3043</v>
      </c>
      <c r="B101" s="0" t="s">
        <v>3066</v>
      </c>
      <c r="C101" s="0" t="s">
        <v>3067</v>
      </c>
    </row>
    <row customHeight="1" ht="11.25">
      <c r="A102" s="0" t="s">
        <v>3043</v>
      </c>
      <c r="B102" s="0" t="s">
        <v>3068</v>
      </c>
      <c r="C102" s="0" t="s">
        <v>3069</v>
      </c>
    </row>
    <row customHeight="1" ht="11.25">
      <c r="A103" s="0" t="s">
        <v>3043</v>
      </c>
      <c r="B103" s="0" t="s">
        <v>3070</v>
      </c>
      <c r="C103" s="0" t="s">
        <v>3071</v>
      </c>
    </row>
    <row customHeight="1" ht="11.25">
      <c r="A104" s="0" t="s">
        <v>3043</v>
      </c>
      <c r="B104" s="0" t="s">
        <v>3072</v>
      </c>
      <c r="C104" s="0" t="s">
        <v>3073</v>
      </c>
    </row>
    <row customHeight="1" ht="11.25">
      <c r="A105" s="0" t="s">
        <v>3043</v>
      </c>
      <c r="B105" s="0" t="s">
        <v>3074</v>
      </c>
      <c r="C105" s="0" t="s">
        <v>3075</v>
      </c>
    </row>
    <row customHeight="1" ht="11.25">
      <c r="A106" s="0" t="s">
        <v>3043</v>
      </c>
      <c r="B106" s="0" t="s">
        <v>3074</v>
      </c>
      <c r="C106" s="0" t="s">
        <v>3076</v>
      </c>
    </row>
    <row customHeight="1" ht="11.25">
      <c r="A107" s="0" t="s">
        <v>3043</v>
      </c>
      <c r="B107" s="0" t="s">
        <v>3045</v>
      </c>
      <c r="C107" s="0" t="s">
        <v>3077</v>
      </c>
    </row>
    <row customHeight="1" ht="11.25">
      <c r="A108" s="0" t="s">
        <v>3078</v>
      </c>
      <c r="B108" s="0" t="s">
        <v>3079</v>
      </c>
      <c r="C108" s="0" t="s">
        <v>3080</v>
      </c>
    </row>
    <row customHeight="1" ht="11.25">
      <c r="A109" s="0" t="s">
        <v>3078</v>
      </c>
      <c r="B109" s="0" t="s">
        <v>3081</v>
      </c>
      <c r="C109" s="0" t="s">
        <v>3082</v>
      </c>
    </row>
    <row customHeight="1" ht="11.25">
      <c r="A110" s="0" t="s">
        <v>3078</v>
      </c>
      <c r="B110" s="0" t="s">
        <v>3083</v>
      </c>
      <c r="C110" s="0" t="s">
        <v>3084</v>
      </c>
    </row>
    <row customHeight="1" ht="11.25">
      <c r="A111" s="0" t="s">
        <v>3078</v>
      </c>
      <c r="B111" s="0" t="s">
        <v>3085</v>
      </c>
      <c r="C111" s="0" t="s">
        <v>3086</v>
      </c>
    </row>
    <row customHeight="1" ht="11.25">
      <c r="A112" s="0" t="s">
        <v>3078</v>
      </c>
      <c r="B112" s="0" t="s">
        <v>3087</v>
      </c>
      <c r="C112" s="0" t="s">
        <v>3088</v>
      </c>
    </row>
    <row customHeight="1" ht="11.25">
      <c r="A113" s="0" t="s">
        <v>3078</v>
      </c>
      <c r="B113" s="0" t="s">
        <v>3089</v>
      </c>
      <c r="C113" s="0" t="s">
        <v>3090</v>
      </c>
    </row>
    <row customHeight="1" ht="11.25">
      <c r="A114" s="0" t="s">
        <v>3078</v>
      </c>
      <c r="B114" s="0" t="s">
        <v>3091</v>
      </c>
      <c r="C114" s="0" t="s">
        <v>3092</v>
      </c>
    </row>
    <row customHeight="1" ht="11.25">
      <c r="A115" s="0" t="s">
        <v>3078</v>
      </c>
      <c r="B115" s="0" t="s">
        <v>3093</v>
      </c>
      <c r="C115" s="0" t="s">
        <v>3094</v>
      </c>
    </row>
    <row customHeight="1" ht="11.25">
      <c r="A116" s="0" t="s">
        <v>3078</v>
      </c>
      <c r="B116" s="0" t="s">
        <v>3095</v>
      </c>
      <c r="C116" s="0" t="s">
        <v>3096</v>
      </c>
    </row>
    <row customHeight="1" ht="11.25">
      <c r="A117" s="0" t="s">
        <v>3078</v>
      </c>
      <c r="B117" s="0" t="s">
        <v>3097</v>
      </c>
      <c r="C117" s="0" t="s">
        <v>3098</v>
      </c>
    </row>
    <row customHeight="1" ht="11.25">
      <c r="A118" s="0" t="s">
        <v>3099</v>
      </c>
      <c r="B118" s="0" t="s">
        <v>3099</v>
      </c>
      <c r="C118" s="0" t="s">
        <v>3100</v>
      </c>
    </row>
    <row customHeight="1" ht="11.25">
      <c r="A119" s="0" t="s">
        <v>3099</v>
      </c>
      <c r="B119" s="0" t="s">
        <v>3101</v>
      </c>
      <c r="C119" s="0" t="s">
        <v>3102</v>
      </c>
    </row>
    <row customHeight="1" ht="11.25">
      <c r="A120" s="0" t="s">
        <v>3099</v>
      </c>
      <c r="B120" s="0" t="s">
        <v>3103</v>
      </c>
      <c r="C120" s="0" t="s">
        <v>3104</v>
      </c>
    </row>
    <row customHeight="1" ht="11.25">
      <c r="A121" s="0" t="s">
        <v>3099</v>
      </c>
      <c r="B121" s="0" t="s">
        <v>3105</v>
      </c>
      <c r="C121" s="0" t="s">
        <v>3106</v>
      </c>
    </row>
    <row customHeight="1" ht="11.25">
      <c r="A122" s="0" t="s">
        <v>3099</v>
      </c>
      <c r="B122" s="0" t="s">
        <v>3107</v>
      </c>
      <c r="C122" s="0" t="s">
        <v>3108</v>
      </c>
    </row>
    <row customHeight="1" ht="11.25">
      <c r="A123" s="0" t="s">
        <v>3099</v>
      </c>
      <c r="B123" s="0" t="s">
        <v>3109</v>
      </c>
      <c r="C123" s="0" t="s">
        <v>3110</v>
      </c>
    </row>
    <row customHeight="1" ht="11.25">
      <c r="A124" s="0" t="s">
        <v>3099</v>
      </c>
      <c r="B124" s="0" t="s">
        <v>3111</v>
      </c>
      <c r="C124" s="0" t="s">
        <v>3112</v>
      </c>
    </row>
    <row customHeight="1" ht="11.25">
      <c r="A125" s="0" t="s">
        <v>3099</v>
      </c>
      <c r="B125" s="0" t="s">
        <v>3113</v>
      </c>
      <c r="C125" s="0" t="s">
        <v>3114</v>
      </c>
    </row>
    <row customHeight="1" ht="11.25">
      <c r="A126" s="0" t="s">
        <v>3099</v>
      </c>
      <c r="B126" s="0" t="s">
        <v>3115</v>
      </c>
      <c r="C126" s="0" t="s">
        <v>3116</v>
      </c>
    </row>
    <row customHeight="1" ht="11.25">
      <c r="A127" s="0" t="s">
        <v>3099</v>
      </c>
      <c r="B127" s="0" t="s">
        <v>3117</v>
      </c>
      <c r="C127" s="0" t="s">
        <v>3118</v>
      </c>
    </row>
    <row customHeight="1" ht="11.25">
      <c r="A128" s="0" t="s">
        <v>3099</v>
      </c>
      <c r="B128" s="0" t="s">
        <v>3119</v>
      </c>
      <c r="C128" s="0" t="s">
        <v>3120</v>
      </c>
    </row>
    <row customHeight="1" ht="11.25">
      <c r="A129" s="0" t="s">
        <v>3099</v>
      </c>
      <c r="B129" s="0" t="s">
        <v>3121</v>
      </c>
      <c r="C129" s="0" t="s">
        <v>3122</v>
      </c>
    </row>
    <row customHeight="1" ht="11.25">
      <c r="A130" s="0" t="s">
        <v>3123</v>
      </c>
      <c r="B130" s="0" t="s">
        <v>3124</v>
      </c>
      <c r="C130" s="0" t="s">
        <v>3125</v>
      </c>
    </row>
    <row customHeight="1" ht="11.25">
      <c r="A131" s="0" t="s">
        <v>3123</v>
      </c>
      <c r="B131" s="0" t="s">
        <v>3126</v>
      </c>
      <c r="C131" s="0" t="s">
        <v>3127</v>
      </c>
    </row>
    <row customHeight="1" ht="11.25">
      <c r="A132" s="0" t="s">
        <v>3123</v>
      </c>
      <c r="B132" s="0" t="s">
        <v>3128</v>
      </c>
      <c r="C132" s="0" t="s">
        <v>3129</v>
      </c>
    </row>
    <row customHeight="1" ht="11.25">
      <c r="A133" s="0" t="s">
        <v>3123</v>
      </c>
      <c r="B133" s="0" t="s">
        <v>3130</v>
      </c>
      <c r="C133" s="0" t="s">
        <v>3131</v>
      </c>
    </row>
    <row customHeight="1" ht="11.25">
      <c r="A134" s="0" t="s">
        <v>3123</v>
      </c>
      <c r="B134" s="0" t="s">
        <v>3132</v>
      </c>
      <c r="C134" s="0" t="s">
        <v>3133</v>
      </c>
    </row>
    <row customHeight="1" ht="11.25">
      <c r="A135" s="0" t="s">
        <v>3123</v>
      </c>
      <c r="B135" s="0" t="s">
        <v>3134</v>
      </c>
      <c r="C135" s="0" t="s">
        <v>3135</v>
      </c>
    </row>
    <row customHeight="1" ht="11.25">
      <c r="A136" s="0" t="s">
        <v>3123</v>
      </c>
      <c r="B136" s="0" t="s">
        <v>3136</v>
      </c>
      <c r="C136" s="0" t="s">
        <v>3137</v>
      </c>
    </row>
    <row customHeight="1" ht="11.25">
      <c r="A137" s="0" t="s">
        <v>3123</v>
      </c>
      <c r="B137" s="0" t="s">
        <v>3138</v>
      </c>
      <c r="C137" s="0" t="s">
        <v>3139</v>
      </c>
    </row>
    <row customHeight="1" ht="11.25">
      <c r="A138" s="0" t="s">
        <v>3123</v>
      </c>
      <c r="B138" s="0" t="s">
        <v>3140</v>
      </c>
      <c r="C138" s="0" t="s">
        <v>3141</v>
      </c>
    </row>
    <row customHeight="1" ht="11.25">
      <c r="A139" s="0" t="s">
        <v>3123</v>
      </c>
      <c r="B139" s="0" t="s">
        <v>3142</v>
      </c>
      <c r="C139" s="0" t="s">
        <v>3143</v>
      </c>
    </row>
    <row customHeight="1" ht="11.25">
      <c r="A140" s="0" t="s">
        <v>3144</v>
      </c>
      <c r="B140" s="0" t="s">
        <v>3144</v>
      </c>
      <c r="C140" s="0" t="s">
        <v>3145</v>
      </c>
    </row>
    <row customHeight="1" ht="11.25">
      <c r="A141" s="0" t="s">
        <v>3144</v>
      </c>
      <c r="B141" s="0" t="s">
        <v>3146</v>
      </c>
      <c r="C141" s="0" t="s">
        <v>3147</v>
      </c>
    </row>
    <row customHeight="1" ht="11.25">
      <c r="A142" s="0" t="s">
        <v>3144</v>
      </c>
      <c r="B142" s="0" t="s">
        <v>3148</v>
      </c>
      <c r="C142" s="0" t="s">
        <v>3149</v>
      </c>
    </row>
    <row customHeight="1" ht="11.25">
      <c r="A143" s="0" t="s">
        <v>3144</v>
      </c>
      <c r="B143" s="0" t="s">
        <v>3150</v>
      </c>
      <c r="C143" s="0" t="s">
        <v>3151</v>
      </c>
    </row>
    <row customHeight="1" ht="11.25">
      <c r="A144" s="0" t="s">
        <v>3144</v>
      </c>
      <c r="B144" s="0" t="s">
        <v>3152</v>
      </c>
      <c r="C144" s="0" t="s">
        <v>3153</v>
      </c>
    </row>
    <row customHeight="1" ht="11.25">
      <c r="A145" s="0" t="s">
        <v>3144</v>
      </c>
      <c r="B145" s="0" t="s">
        <v>3154</v>
      </c>
      <c r="C145" s="0" t="s">
        <v>3155</v>
      </c>
    </row>
    <row customHeight="1" ht="11.25">
      <c r="A146" s="0" t="s">
        <v>3144</v>
      </c>
      <c r="B146" s="0" t="s">
        <v>3156</v>
      </c>
      <c r="C146" s="0" t="s">
        <v>3157</v>
      </c>
    </row>
    <row customHeight="1" ht="11.25">
      <c r="A147" s="0" t="s">
        <v>3144</v>
      </c>
      <c r="B147" s="0" t="s">
        <v>3158</v>
      </c>
      <c r="C147" s="0" t="s">
        <v>3159</v>
      </c>
    </row>
    <row customHeight="1" ht="11.25">
      <c r="A148" s="0" t="s">
        <v>3144</v>
      </c>
      <c r="B148" s="0" t="s">
        <v>3160</v>
      </c>
      <c r="C148" s="0" t="s">
        <v>3161</v>
      </c>
    </row>
    <row customHeight="1" ht="11.25">
      <c r="A149" s="0" t="s">
        <v>3144</v>
      </c>
      <c r="B149" s="0" t="s">
        <v>3162</v>
      </c>
      <c r="C149" s="0" t="s">
        <v>3163</v>
      </c>
    </row>
    <row customHeight="1" ht="11.25">
      <c r="A150" s="0" t="s">
        <v>3144</v>
      </c>
      <c r="B150" s="0" t="s">
        <v>3164</v>
      </c>
      <c r="C150" s="0" t="s">
        <v>3165</v>
      </c>
    </row>
    <row customHeight="1" ht="11.25">
      <c r="A151" s="0" t="s">
        <v>3144</v>
      </c>
      <c r="B151" s="0" t="s">
        <v>3166</v>
      </c>
      <c r="C151" s="0" t="s">
        <v>3167</v>
      </c>
    </row>
    <row customHeight="1" ht="11.25">
      <c r="A152" s="0" t="s">
        <v>3144</v>
      </c>
      <c r="B152" s="0" t="s">
        <v>3168</v>
      </c>
      <c r="C152" s="0" t="s">
        <v>3169</v>
      </c>
    </row>
    <row customHeight="1" ht="11.25">
      <c r="A153" s="0" t="s">
        <v>3144</v>
      </c>
      <c r="B153" s="0" t="s">
        <v>3170</v>
      </c>
      <c r="C153" s="0" t="s">
        <v>3171</v>
      </c>
    </row>
    <row customHeight="1" ht="11.25">
      <c r="A154" s="0" t="s">
        <v>3172</v>
      </c>
      <c r="B154" s="0" t="s">
        <v>3173</v>
      </c>
      <c r="C154" s="0" t="s">
        <v>3174</v>
      </c>
    </row>
    <row customHeight="1" ht="11.25">
      <c r="A155" s="0" t="s">
        <v>3172</v>
      </c>
      <c r="B155" s="0" t="s">
        <v>3175</v>
      </c>
      <c r="C155" s="0" t="s">
        <v>3176</v>
      </c>
    </row>
    <row customHeight="1" ht="11.25">
      <c r="A156" s="0" t="s">
        <v>3172</v>
      </c>
      <c r="B156" s="0" t="s">
        <v>3177</v>
      </c>
      <c r="C156" s="0" t="s">
        <v>3178</v>
      </c>
    </row>
    <row customHeight="1" ht="11.25">
      <c r="A157" s="0" t="s">
        <v>3172</v>
      </c>
      <c r="B157" s="0" t="s">
        <v>3179</v>
      </c>
      <c r="C157" s="0" t="s">
        <v>3180</v>
      </c>
    </row>
    <row customHeight="1" ht="11.25">
      <c r="A158" s="0" t="s">
        <v>3172</v>
      </c>
      <c r="B158" s="0" t="s">
        <v>3181</v>
      </c>
      <c r="C158" s="0" t="s">
        <v>3182</v>
      </c>
    </row>
    <row customHeight="1" ht="11.25">
      <c r="A159" s="0" t="s">
        <v>3172</v>
      </c>
      <c r="B159" s="0" t="s">
        <v>3183</v>
      </c>
      <c r="C159" s="0" t="s">
        <v>3184</v>
      </c>
    </row>
    <row customHeight="1" ht="11.25">
      <c r="A160" s="0" t="s">
        <v>3172</v>
      </c>
      <c r="B160" s="0" t="s">
        <v>3185</v>
      </c>
      <c r="C160" s="0" t="s">
        <v>3186</v>
      </c>
    </row>
    <row customHeight="1" ht="11.25">
      <c r="A161" s="0" t="s">
        <v>3172</v>
      </c>
      <c r="B161" s="0" t="s">
        <v>3187</v>
      </c>
      <c r="C161" s="0" t="s">
        <v>3188</v>
      </c>
    </row>
    <row customHeight="1" ht="11.25">
      <c r="A162" s="0" t="s">
        <v>3172</v>
      </c>
      <c r="B162" s="0" t="s">
        <v>3189</v>
      </c>
      <c r="C162" s="0" t="s">
        <v>3190</v>
      </c>
    </row>
    <row customHeight="1" ht="11.25">
      <c r="A163" s="0" t="s">
        <v>3172</v>
      </c>
      <c r="B163" s="0" t="s">
        <v>3191</v>
      </c>
      <c r="C163" s="0" t="s">
        <v>3192</v>
      </c>
    </row>
    <row customHeight="1" ht="11.25">
      <c r="A164" s="0" t="s">
        <v>3172</v>
      </c>
      <c r="B164" s="0" t="s">
        <v>3193</v>
      </c>
      <c r="C164" s="0" t="s">
        <v>3194</v>
      </c>
    </row>
    <row customHeight="1" ht="11.25">
      <c r="A165" s="0" t="s">
        <v>3172</v>
      </c>
      <c r="B165" s="0" t="s">
        <v>3195</v>
      </c>
      <c r="C165" s="0" t="s">
        <v>3196</v>
      </c>
    </row>
    <row customHeight="1" ht="11.25">
      <c r="A166" s="0" t="s">
        <v>3197</v>
      </c>
      <c r="B166" s="0" t="s">
        <v>3198</v>
      </c>
      <c r="C166" s="0" t="s">
        <v>3199</v>
      </c>
    </row>
    <row customHeight="1" ht="11.25">
      <c r="A167" s="0" t="s">
        <v>3197</v>
      </c>
      <c r="B167" s="0" t="s">
        <v>3200</v>
      </c>
      <c r="C167" s="0" t="s">
        <v>3201</v>
      </c>
    </row>
    <row customHeight="1" ht="11.25">
      <c r="A168" s="0" t="s">
        <v>3197</v>
      </c>
      <c r="B168" s="0" t="s">
        <v>3202</v>
      </c>
      <c r="C168" s="0" t="s">
        <v>3203</v>
      </c>
    </row>
    <row customHeight="1" ht="11.25">
      <c r="A169" s="0" t="s">
        <v>3197</v>
      </c>
      <c r="B169" s="0" t="s">
        <v>3204</v>
      </c>
      <c r="C169" s="0" t="s">
        <v>3205</v>
      </c>
    </row>
    <row customHeight="1" ht="11.25">
      <c r="A170" s="0" t="s">
        <v>3197</v>
      </c>
      <c r="B170" s="0" t="s">
        <v>3206</v>
      </c>
      <c r="C170" s="0" t="s">
        <v>3207</v>
      </c>
    </row>
    <row customHeight="1" ht="11.25">
      <c r="A171" s="0" t="s">
        <v>3197</v>
      </c>
      <c r="B171" s="0" t="s">
        <v>3208</v>
      </c>
      <c r="C171" s="0" t="s">
        <v>3209</v>
      </c>
    </row>
    <row customHeight="1" ht="11.25">
      <c r="A172" s="0" t="s">
        <v>3197</v>
      </c>
      <c r="B172" s="0" t="s">
        <v>3210</v>
      </c>
      <c r="C172" s="0" t="s">
        <v>3211</v>
      </c>
    </row>
    <row customHeight="1" ht="11.25">
      <c r="A173" s="0" t="s">
        <v>3197</v>
      </c>
      <c r="B173" s="0" t="s">
        <v>3212</v>
      </c>
      <c r="C173" s="0" t="s">
        <v>3213</v>
      </c>
    </row>
    <row customHeight="1" ht="11.25">
      <c r="A174" s="0" t="s">
        <v>3197</v>
      </c>
      <c r="B174" s="0" t="s">
        <v>3214</v>
      </c>
      <c r="C174" s="0" t="s">
        <v>3215</v>
      </c>
    </row>
    <row customHeight="1" ht="11.25">
      <c r="A175" s="0" t="s">
        <v>3197</v>
      </c>
      <c r="B175" s="0" t="s">
        <v>3216</v>
      </c>
      <c r="C175" s="0" t="s">
        <v>3217</v>
      </c>
    </row>
    <row customHeight="1" ht="11.25">
      <c r="A176" s="0" t="s">
        <v>3197</v>
      </c>
      <c r="B176" s="0" t="s">
        <v>3218</v>
      </c>
      <c r="C176" s="0" t="s">
        <v>3219</v>
      </c>
    </row>
    <row customHeight="1" ht="11.25">
      <c r="A177" s="0" t="s">
        <v>3197</v>
      </c>
      <c r="B177" s="0" t="s">
        <v>3220</v>
      </c>
      <c r="C177" s="0" t="s">
        <v>3221</v>
      </c>
    </row>
    <row customHeight="1" ht="11.25">
      <c r="A178" s="0" t="s">
        <v>3222</v>
      </c>
      <c r="B178" s="0" t="s">
        <v>3223</v>
      </c>
      <c r="C178" s="0" t="s">
        <v>3224</v>
      </c>
    </row>
    <row customHeight="1" ht="11.25">
      <c r="A179" s="0" t="s">
        <v>3222</v>
      </c>
      <c r="B179" s="0" t="s">
        <v>3225</v>
      </c>
      <c r="C179" s="0" t="s">
        <v>3226</v>
      </c>
    </row>
    <row customHeight="1" ht="11.25">
      <c r="A180" s="0" t="s">
        <v>3222</v>
      </c>
      <c r="B180" s="0" t="s">
        <v>3227</v>
      </c>
      <c r="C180" s="0" t="s">
        <v>3228</v>
      </c>
    </row>
    <row customHeight="1" ht="11.25">
      <c r="A181" s="0" t="s">
        <v>3222</v>
      </c>
      <c r="B181" s="0" t="s">
        <v>3229</v>
      </c>
      <c r="C181" s="0" t="s">
        <v>3230</v>
      </c>
    </row>
    <row customHeight="1" ht="11.25">
      <c r="A182" s="0" t="s">
        <v>3222</v>
      </c>
      <c r="B182" s="0" t="s">
        <v>3231</v>
      </c>
      <c r="C182" s="0" t="s">
        <v>3232</v>
      </c>
    </row>
    <row customHeight="1" ht="11.25">
      <c r="A183" s="0" t="s">
        <v>3222</v>
      </c>
      <c r="B183" s="0" t="s">
        <v>3233</v>
      </c>
      <c r="C183" s="0" t="s">
        <v>3234</v>
      </c>
    </row>
    <row customHeight="1" ht="11.25">
      <c r="A184" s="0" t="s">
        <v>3222</v>
      </c>
      <c r="B184" s="0" t="s">
        <v>3235</v>
      </c>
      <c r="C184" s="0" t="s">
        <v>3236</v>
      </c>
    </row>
    <row customHeight="1" ht="11.25">
      <c r="A185" s="0" t="s">
        <v>3237</v>
      </c>
      <c r="B185" s="0" t="s">
        <v>3238</v>
      </c>
      <c r="C185" s="0" t="s">
        <v>3239</v>
      </c>
    </row>
    <row customHeight="1" ht="11.25">
      <c r="A186" s="0" t="s">
        <v>3237</v>
      </c>
      <c r="B186" s="0" t="s">
        <v>3240</v>
      </c>
      <c r="C186" s="0" t="s">
        <v>3241</v>
      </c>
    </row>
    <row customHeight="1" ht="11.25">
      <c r="A187" s="0" t="s">
        <v>3237</v>
      </c>
      <c r="B187" s="0" t="s">
        <v>3242</v>
      </c>
      <c r="C187" s="0" t="s">
        <v>3243</v>
      </c>
    </row>
    <row customHeight="1" ht="11.25">
      <c r="A188" s="0" t="s">
        <v>3237</v>
      </c>
      <c r="B188" s="0" t="s">
        <v>3244</v>
      </c>
      <c r="C188" s="0" t="s">
        <v>3245</v>
      </c>
    </row>
    <row customHeight="1" ht="11.25">
      <c r="A189" s="0" t="s">
        <v>3237</v>
      </c>
      <c r="B189" s="0" t="s">
        <v>3246</v>
      </c>
      <c r="C189" s="0" t="s">
        <v>3247</v>
      </c>
    </row>
    <row customHeight="1" ht="11.25">
      <c r="A190" s="0" t="s">
        <v>3237</v>
      </c>
      <c r="B190" s="0" t="s">
        <v>3248</v>
      </c>
      <c r="C190" s="0" t="s">
        <v>3249</v>
      </c>
    </row>
    <row customHeight="1" ht="11.25">
      <c r="A191" s="0" t="s">
        <v>3237</v>
      </c>
      <c r="B191" s="0" t="s">
        <v>3250</v>
      </c>
      <c r="C191" s="0" t="s">
        <v>3251</v>
      </c>
    </row>
    <row customHeight="1" ht="11.25">
      <c r="A192" s="0" t="s">
        <v>3237</v>
      </c>
      <c r="B192" s="0" t="s">
        <v>3252</v>
      </c>
      <c r="C192" s="0" t="s">
        <v>3253</v>
      </c>
    </row>
    <row customHeight="1" ht="11.25">
      <c r="A193" s="0" t="s">
        <v>3237</v>
      </c>
      <c r="B193" s="0" t="s">
        <v>3254</v>
      </c>
      <c r="C193" s="0" t="s">
        <v>3255</v>
      </c>
    </row>
    <row customHeight="1" ht="11.25">
      <c r="A194" s="0" t="s">
        <v>3256</v>
      </c>
      <c r="B194" s="0" t="s">
        <v>3257</v>
      </c>
      <c r="C194" s="0" t="s">
        <v>3258</v>
      </c>
    </row>
    <row customHeight="1" ht="11.25">
      <c r="A195" s="0" t="s">
        <v>3256</v>
      </c>
      <c r="B195" s="0" t="s">
        <v>3259</v>
      </c>
      <c r="C195" s="0" t="s">
        <v>3260</v>
      </c>
    </row>
    <row customHeight="1" ht="11.25">
      <c r="A196" s="0" t="s">
        <v>3256</v>
      </c>
      <c r="B196" s="0" t="s">
        <v>3261</v>
      </c>
      <c r="C196" s="0" t="s">
        <v>3262</v>
      </c>
    </row>
    <row customHeight="1" ht="11.25">
      <c r="A197" s="0" t="s">
        <v>3256</v>
      </c>
      <c r="B197" s="0" t="s">
        <v>3263</v>
      </c>
      <c r="C197" s="0" t="s">
        <v>3264</v>
      </c>
    </row>
    <row customHeight="1" ht="11.25">
      <c r="A198" s="0" t="s">
        <v>3256</v>
      </c>
      <c r="B198" s="0" t="s">
        <v>3265</v>
      </c>
      <c r="C198" s="0" t="s">
        <v>3266</v>
      </c>
    </row>
    <row customHeight="1" ht="11.25">
      <c r="A199" s="0" t="s">
        <v>3256</v>
      </c>
      <c r="B199" s="0" t="s">
        <v>3267</v>
      </c>
      <c r="C199" s="0" t="s">
        <v>3268</v>
      </c>
    </row>
    <row customHeight="1" ht="11.25">
      <c r="A200" s="0" t="s">
        <v>3256</v>
      </c>
      <c r="B200" s="0" t="s">
        <v>3269</v>
      </c>
      <c r="C200" s="0" t="s">
        <v>3270</v>
      </c>
    </row>
    <row customHeight="1" ht="11.25">
      <c r="A201" s="0" t="s">
        <v>3256</v>
      </c>
      <c r="B201" s="0" t="s">
        <v>3271</v>
      </c>
      <c r="C201" s="0" t="s">
        <v>3272</v>
      </c>
    </row>
    <row customHeight="1" ht="11.25">
      <c r="A202" s="0" t="s">
        <v>3256</v>
      </c>
      <c r="B202" s="0" t="s">
        <v>3273</v>
      </c>
      <c r="C202" s="0" t="s">
        <v>3274</v>
      </c>
    </row>
    <row customHeight="1" ht="11.25">
      <c r="A203" s="0" t="s">
        <v>3256</v>
      </c>
      <c r="B203" s="0" t="s">
        <v>3275</v>
      </c>
      <c r="C203" s="0" t="s">
        <v>3276</v>
      </c>
    </row>
    <row customHeight="1" ht="11.25">
      <c r="A204" s="0" t="s">
        <v>3277</v>
      </c>
      <c r="B204" s="0" t="s">
        <v>3278</v>
      </c>
      <c r="C204" s="0" t="s">
        <v>3279</v>
      </c>
    </row>
    <row customHeight="1" ht="11.25">
      <c r="A205" s="0" t="s">
        <v>3277</v>
      </c>
      <c r="B205" s="0" t="s">
        <v>3280</v>
      </c>
      <c r="C205" s="0" t="s">
        <v>3281</v>
      </c>
    </row>
    <row customHeight="1" ht="11.25">
      <c r="A206" s="0" t="s">
        <v>3277</v>
      </c>
      <c r="B206" s="0" t="s">
        <v>3282</v>
      </c>
      <c r="C206" s="0" t="s">
        <v>3283</v>
      </c>
    </row>
    <row customHeight="1" ht="11.25">
      <c r="A207" s="0" t="s">
        <v>3277</v>
      </c>
      <c r="B207" s="0" t="s">
        <v>3284</v>
      </c>
      <c r="C207" s="0" t="s">
        <v>3285</v>
      </c>
    </row>
    <row customHeight="1" ht="11.25">
      <c r="A208" s="0" t="s">
        <v>3277</v>
      </c>
      <c r="B208" s="0" t="s">
        <v>3286</v>
      </c>
      <c r="C208" s="0" t="s">
        <v>3287</v>
      </c>
    </row>
    <row customHeight="1" ht="11.25">
      <c r="A209" s="0" t="s">
        <v>3277</v>
      </c>
      <c r="B209" s="0" t="s">
        <v>3288</v>
      </c>
      <c r="C209" s="0" t="s">
        <v>3289</v>
      </c>
    </row>
    <row customHeight="1" ht="11.25">
      <c r="A210" s="0" t="s">
        <v>3277</v>
      </c>
      <c r="B210" s="0" t="s">
        <v>3290</v>
      </c>
      <c r="C210" s="0" t="s">
        <v>3291</v>
      </c>
    </row>
    <row customHeight="1" ht="11.25">
      <c r="A211" s="0" t="s">
        <v>3277</v>
      </c>
      <c r="B211" s="0" t="s">
        <v>3292</v>
      </c>
      <c r="C211" s="0" t="s">
        <v>3293</v>
      </c>
    </row>
    <row customHeight="1" ht="11.25">
      <c r="A212" s="0" t="s">
        <v>3277</v>
      </c>
      <c r="B212" s="0" t="s">
        <v>3294</v>
      </c>
      <c r="C212" s="0" t="s">
        <v>3295</v>
      </c>
    </row>
    <row customHeight="1" ht="11.25">
      <c r="A213" s="0" t="s">
        <v>3277</v>
      </c>
      <c r="B213" s="0" t="s">
        <v>3296</v>
      </c>
      <c r="C213" s="0" t="s">
        <v>3297</v>
      </c>
    </row>
    <row customHeight="1" ht="11.25">
      <c r="A214" s="0" t="s">
        <v>3277</v>
      </c>
      <c r="B214" s="0" t="s">
        <v>3298</v>
      </c>
      <c r="C214" s="0" t="s">
        <v>3299</v>
      </c>
    </row>
    <row customHeight="1" ht="11.25">
      <c r="A215" s="0" t="s">
        <v>3300</v>
      </c>
      <c r="B215" s="0" t="s">
        <v>3300</v>
      </c>
      <c r="C215" s="0" t="s">
        <v>3301</v>
      </c>
    </row>
    <row customHeight="1" ht="11.25">
      <c r="A216" s="0" t="s">
        <v>3302</v>
      </c>
      <c r="B216" s="0" t="s">
        <v>3302</v>
      </c>
      <c r="C216" s="0" t="s">
        <v>3303</v>
      </c>
    </row>
    <row customHeight="1" ht="11.25">
      <c r="A217" s="0" t="s">
        <v>3304</v>
      </c>
      <c r="B217" s="0" t="s">
        <v>3304</v>
      </c>
      <c r="C217" s="0" t="s">
        <v>3305</v>
      </c>
    </row>
    <row customHeight="1" ht="11.25">
      <c r="A218" s="0" t="s">
        <v>2803</v>
      </c>
      <c r="B218" s="0" t="s">
        <v>2803</v>
      </c>
      <c r="C218" s="0" t="s">
        <v>2804</v>
      </c>
    </row>
    <row customHeight="1" ht="11.25">
      <c r="A219" s="0" t="s">
        <v>3306</v>
      </c>
      <c r="B219" s="0" t="s">
        <v>3306</v>
      </c>
      <c r="C219" s="0" t="s">
        <v>3307</v>
      </c>
    </row>
    <row customHeight="1" ht="11.25">
      <c r="A220" s="0" t="s">
        <v>3308</v>
      </c>
      <c r="B220" s="0" t="s">
        <v>3308</v>
      </c>
      <c r="C220" s="0" t="s">
        <v>3309</v>
      </c>
    </row>
    <row customHeight="1" ht="11.25">
      <c r="A221" s="0" t="s">
        <v>3310</v>
      </c>
      <c r="B221" s="0" t="s">
        <v>3310</v>
      </c>
      <c r="C221" s="0" t="s">
        <v>3311</v>
      </c>
    </row>
    <row customHeight="1" ht="11.25">
      <c r="A222" s="0" t="s">
        <v>3312</v>
      </c>
      <c r="B222" s="0" t="s">
        <v>3312</v>
      </c>
      <c r="C222" s="0" t="s">
        <v>3313</v>
      </c>
    </row>
    <row customHeight="1" ht="11.25">
      <c r="A223" s="0" t="s">
        <v>3314</v>
      </c>
      <c r="B223" s="0" t="s">
        <v>3314</v>
      </c>
      <c r="C223" s="0" t="s">
        <v>3315</v>
      </c>
    </row>
    <row customHeight="1" ht="11.25">
      <c r="A224" s="0" t="s">
        <v>399</v>
      </c>
      <c r="B224" s="0" t="s">
        <v>399</v>
      </c>
      <c r="C224" s="0" t="s">
        <v>400</v>
      </c>
    </row>
    <row customHeight="1" ht="11.25">
      <c r="A225" s="0" t="s">
        <v>3316</v>
      </c>
      <c r="B225" s="0" t="s">
        <v>3316</v>
      </c>
      <c r="C225" s="0" t="s">
        <v>3317</v>
      </c>
    </row>
    <row customHeight="1" ht="11.25">
      <c r="A226" s="0" t="s">
        <v>3318</v>
      </c>
      <c r="B226" s="0" t="s">
        <v>3318</v>
      </c>
      <c r="C226" s="0" t="s">
        <v>3319</v>
      </c>
    </row>
    <row customHeight="1" ht="11.25">
      <c r="A227" s="0" t="s">
        <v>3320</v>
      </c>
      <c r="B227" s="0" t="s">
        <v>3320</v>
      </c>
      <c r="C227" s="0" t="s">
        <v>3321</v>
      </c>
    </row>
    <row customHeight="1" ht="11.25">
      <c r="A228" s="0" t="s">
        <v>3322</v>
      </c>
      <c r="B228" s="0" t="s">
        <v>3322</v>
      </c>
      <c r="C228" s="0" t="s">
        <v>3323</v>
      </c>
    </row>
    <row customHeight="1" ht="11.25">
      <c r="A229" s="0" t="s">
        <v>2816</v>
      </c>
      <c r="B229" s="0" t="s">
        <v>2816</v>
      </c>
      <c r="C229" s="0" t="s">
        <v>2817</v>
      </c>
    </row>
    <row customHeight="1" ht="11.25">
      <c r="A230" s="0" t="s">
        <v>3324</v>
      </c>
      <c r="B230" s="0" t="s">
        <v>3324</v>
      </c>
      <c r="C230" s="0" t="s">
        <v>3325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4C678-2AE8-B638-E4BA-55526565CC8D}"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3326</v>
      </c>
      <c r="B1" s="0" t="s">
        <v>3327</v>
      </c>
      <c r="C1" s="0" t="s">
        <v>3328</v>
      </c>
      <c r="D1" s="0" t="s">
        <v>3329</v>
      </c>
      <c r="E1" s="0" t="s">
        <v>3330</v>
      </c>
      <c r="F1" s="0" t="s">
        <v>3331</v>
      </c>
      <c r="G1" s="0" t="s">
        <v>3332</v>
      </c>
      <c r="H1" s="0" t="s">
        <v>3333</v>
      </c>
      <c r="I1" s="0" t="s">
        <v>3334</v>
      </c>
      <c r="J1" s="0" t="s">
        <v>3335</v>
      </c>
      <c r="K1" s="0" t="s">
        <v>3336</v>
      </c>
      <c r="L1" s="0" t="s">
        <v>3337</v>
      </c>
      <c r="M1" s="0" t="s">
        <v>3338</v>
      </c>
      <c r="N1" s="0" t="s">
        <v>3339</v>
      </c>
      <c r="O1" s="0" t="s">
        <v>3340</v>
      </c>
      <c r="P1" s="0" t="s">
        <v>3341</v>
      </c>
      <c r="Q1" s="0" t="s">
        <v>3342</v>
      </c>
      <c r="R1" s="0" t="s">
        <v>3343</v>
      </c>
      <c r="S1" s="0" t="s">
        <v>3344</v>
      </c>
    </row>
    <row customHeight="1" ht="11.25">
      <c r="A2" s="0">
        <v>2655</v>
      </c>
      <c r="B2" s="0" t="s">
        <v>114</v>
      </c>
      <c r="C2" s="0">
        <v>28976938</v>
      </c>
      <c r="D2" s="0" t="s">
        <v>3345</v>
      </c>
      <c r="E2" s="0" t="s">
        <v>3346</v>
      </c>
      <c r="F2" s="0" t="s">
        <v>3347</v>
      </c>
      <c r="G2" s="0" t="s">
        <v>3348</v>
      </c>
      <c r="H2" s="0" t="s">
        <v>3349</v>
      </c>
      <c r="I2" s="0" t="s">
        <v>3350</v>
      </c>
      <c r="J2" s="0" t="s">
        <v>3351</v>
      </c>
      <c r="K2" s="0" t="s">
        <v>3352</v>
      </c>
      <c r="L2" s="0" t="s">
        <v>3353</v>
      </c>
      <c r="M2" s="0" t="s">
        <v>3354</v>
      </c>
      <c r="N2" s="0" t="s">
        <v>3355</v>
      </c>
      <c r="O2" s="0" t="s">
        <v>3356</v>
      </c>
      <c r="P2" s="0" t="s">
        <v>3357</v>
      </c>
      <c r="Q2" s="0" t="s">
        <v>3358</v>
      </c>
      <c r="R2" s="0" t="b">
        <v>0</v>
      </c>
      <c r="S2" s="0" t="s">
        <v>3359</v>
      </c>
    </row>
    <row customHeight="1" ht="11.25">
      <c r="A3" s="0">
        <v>2655</v>
      </c>
      <c r="B3" s="0" t="s">
        <v>114</v>
      </c>
      <c r="C3" s="0">
        <v>27804990</v>
      </c>
      <c r="D3" s="0" t="s">
        <v>3360</v>
      </c>
      <c r="E3" s="0" t="s">
        <v>3361</v>
      </c>
      <c r="F3" s="0" t="s">
        <v>3362</v>
      </c>
      <c r="G3" s="0" t="s">
        <v>3363</v>
      </c>
      <c r="H3" s="0" t="s">
        <v>3364</v>
      </c>
      <c r="I3" s="0" t="s">
        <v>3365</v>
      </c>
      <c r="J3" s="0" t="s">
        <v>3351</v>
      </c>
      <c r="K3" s="0" t="s">
        <v>3366</v>
      </c>
      <c r="L3" s="0" t="s">
        <v>3367</v>
      </c>
      <c r="M3" s="0" t="s">
        <v>3368</v>
      </c>
      <c r="N3" s="0" t="s">
        <v>3369</v>
      </c>
      <c r="O3" s="0" t="s">
        <v>3370</v>
      </c>
      <c r="P3" s="0" t="s">
        <v>3371</v>
      </c>
      <c r="Q3" s="0" t="s">
        <v>3372</v>
      </c>
      <c r="R3" s="0" t="b">
        <v>0</v>
      </c>
      <c r="S3" s="0" t="s">
        <v>3359</v>
      </c>
    </row>
    <row customHeight="1" ht="11.25">
      <c r="A4" s="0">
        <v>2655</v>
      </c>
      <c r="B4" s="0" t="s">
        <v>114</v>
      </c>
      <c r="C4" s="0">
        <v>27804826</v>
      </c>
      <c r="D4" s="0" t="s">
        <v>3373</v>
      </c>
      <c r="E4" s="0" t="s">
        <v>3374</v>
      </c>
      <c r="F4" s="0" t="s">
        <v>3375</v>
      </c>
      <c r="G4" s="0" t="s">
        <v>3376</v>
      </c>
      <c r="H4" s="0" t="s">
        <v>3377</v>
      </c>
      <c r="I4" s="0" t="s">
        <v>3378</v>
      </c>
      <c r="J4" s="0" t="s">
        <v>3351</v>
      </c>
      <c r="K4" s="0" t="s">
        <v>3379</v>
      </c>
      <c r="L4" s="0" t="s">
        <v>3367</v>
      </c>
      <c r="M4" s="0" t="s">
        <v>152</v>
      </c>
      <c r="N4" s="0" t="s">
        <v>3380</v>
      </c>
      <c r="O4" s="0" t="s">
        <v>3381</v>
      </c>
      <c r="P4" s="0" t="s">
        <v>3371</v>
      </c>
      <c r="Q4" s="0" t="s">
        <v>3382</v>
      </c>
      <c r="R4" s="0" t="b">
        <v>0</v>
      </c>
      <c r="S4" s="0" t="s">
        <v>3359</v>
      </c>
    </row>
    <row customHeight="1" ht="11.25">
      <c r="A5" s="0">
        <v>2655</v>
      </c>
      <c r="B5" s="0" t="s">
        <v>114</v>
      </c>
      <c r="C5" s="0">
        <v>26356963</v>
      </c>
      <c r="D5" s="0" t="s">
        <v>3383</v>
      </c>
      <c r="E5" s="0" t="s">
        <v>3384</v>
      </c>
      <c r="F5" s="0" t="s">
        <v>3385</v>
      </c>
      <c r="G5" s="0" t="s">
        <v>3386</v>
      </c>
      <c r="H5" s="0" t="s">
        <v>3387</v>
      </c>
      <c r="I5" s="0" t="s">
        <v>152</v>
      </c>
      <c r="J5" s="0" t="s">
        <v>3351</v>
      </c>
      <c r="K5" s="0" t="s">
        <v>3388</v>
      </c>
      <c r="L5" s="0" t="s">
        <v>3388</v>
      </c>
      <c r="M5" s="0" t="s">
        <v>3389</v>
      </c>
      <c r="N5" s="0" t="s">
        <v>3390</v>
      </c>
      <c r="O5" s="0" t="s">
        <v>3391</v>
      </c>
      <c r="P5" s="0" t="s">
        <v>3392</v>
      </c>
      <c r="Q5" s="0" t="s">
        <v>152</v>
      </c>
      <c r="R5" s="0" t="b">
        <v>0</v>
      </c>
      <c r="S5" s="0" t="s">
        <v>3359</v>
      </c>
    </row>
    <row customHeight="1" ht="11.25">
      <c r="A6" s="0">
        <v>2655</v>
      </c>
      <c r="B6" s="0" t="s">
        <v>114</v>
      </c>
      <c r="C6" s="0">
        <v>26322889</v>
      </c>
      <c r="D6" s="0" t="s">
        <v>3393</v>
      </c>
      <c r="E6" s="0" t="s">
        <v>3394</v>
      </c>
      <c r="F6" s="0" t="s">
        <v>3395</v>
      </c>
      <c r="G6" s="0" t="s">
        <v>3396</v>
      </c>
      <c r="H6" s="0" t="s">
        <v>3397</v>
      </c>
      <c r="I6" s="0" t="s">
        <v>3398</v>
      </c>
      <c r="J6" s="0" t="s">
        <v>3351</v>
      </c>
      <c r="K6" s="0" t="s">
        <v>3399</v>
      </c>
      <c r="L6" s="0" t="s">
        <v>3400</v>
      </c>
      <c r="M6" s="0" t="s">
        <v>3401</v>
      </c>
      <c r="N6" s="0" t="s">
        <v>3402</v>
      </c>
      <c r="O6" s="0" t="s">
        <v>3403</v>
      </c>
      <c r="P6" s="0" t="s">
        <v>3404</v>
      </c>
      <c r="Q6" s="0" t="s">
        <v>3405</v>
      </c>
      <c r="R6" s="0" t="b">
        <v>0</v>
      </c>
      <c r="S6" s="0" t="s">
        <v>3359</v>
      </c>
    </row>
    <row customHeight="1" ht="11.25">
      <c r="A7" s="0">
        <v>2655</v>
      </c>
      <c r="B7" s="0" t="s">
        <v>114</v>
      </c>
      <c r="C7" s="0">
        <v>26356905</v>
      </c>
      <c r="D7" s="0" t="s">
        <v>3406</v>
      </c>
      <c r="E7" s="0" t="s">
        <v>3407</v>
      </c>
      <c r="F7" s="0" t="s">
        <v>3408</v>
      </c>
      <c r="G7" s="0" t="s">
        <v>3363</v>
      </c>
      <c r="H7" s="0" t="s">
        <v>3409</v>
      </c>
      <c r="I7" s="0" t="s">
        <v>3410</v>
      </c>
      <c r="J7" s="0" t="s">
        <v>3351</v>
      </c>
      <c r="K7" s="0" t="s">
        <v>3411</v>
      </c>
      <c r="L7" s="0" t="s">
        <v>3411</v>
      </c>
      <c r="M7" s="0" t="s">
        <v>3412</v>
      </c>
      <c r="N7" s="0" t="s">
        <v>3413</v>
      </c>
      <c r="O7" s="0" t="s">
        <v>3414</v>
      </c>
      <c r="P7" s="0" t="s">
        <v>3415</v>
      </c>
      <c r="Q7" s="0" t="s">
        <v>3416</v>
      </c>
      <c r="R7" s="0" t="b">
        <v>0</v>
      </c>
      <c r="S7" s="0" t="s">
        <v>3359</v>
      </c>
    </row>
    <row customHeight="1" ht="11.25">
      <c r="A8" s="0">
        <v>2655</v>
      </c>
      <c r="B8" s="0" t="s">
        <v>114</v>
      </c>
      <c r="C8" s="0">
        <v>26427149</v>
      </c>
      <c r="D8" s="0" t="s">
        <v>3417</v>
      </c>
      <c r="E8" s="0" t="s">
        <v>3418</v>
      </c>
      <c r="F8" s="0" t="s">
        <v>3347</v>
      </c>
      <c r="G8" s="0" t="s">
        <v>3419</v>
      </c>
      <c r="H8" s="0" t="s">
        <v>3349</v>
      </c>
      <c r="I8" s="0" t="s">
        <v>3350</v>
      </c>
      <c r="J8" s="0" t="s">
        <v>3351</v>
      </c>
      <c r="K8" s="0" t="s">
        <v>3420</v>
      </c>
      <c r="L8" s="0" t="s">
        <v>3421</v>
      </c>
      <c r="M8" s="0" t="s">
        <v>3422</v>
      </c>
      <c r="N8" s="0" t="s">
        <v>3423</v>
      </c>
      <c r="O8" s="0" t="s">
        <v>3424</v>
      </c>
      <c r="P8" s="0" t="s">
        <v>3425</v>
      </c>
      <c r="Q8" s="0" t="s">
        <v>3426</v>
      </c>
      <c r="R8" s="0" t="b">
        <v>0</v>
      </c>
      <c r="S8" s="0" t="s">
        <v>3359</v>
      </c>
    </row>
    <row customHeight="1" ht="11.25">
      <c r="A9" s="0">
        <v>2655</v>
      </c>
      <c r="B9" s="0" t="s">
        <v>114</v>
      </c>
      <c r="C9" s="0">
        <v>27295125</v>
      </c>
      <c r="D9" s="0" t="s">
        <v>3427</v>
      </c>
      <c r="E9" s="0" t="s">
        <v>3428</v>
      </c>
      <c r="F9" s="0" t="s">
        <v>3429</v>
      </c>
      <c r="G9" s="0" t="s">
        <v>3430</v>
      </c>
      <c r="H9" s="0" t="s">
        <v>3431</v>
      </c>
      <c r="I9" s="0" t="s">
        <v>3432</v>
      </c>
      <c r="J9" s="0" t="s">
        <v>156</v>
      </c>
      <c r="K9" s="0" t="s">
        <v>3433</v>
      </c>
      <c r="L9" s="0" t="s">
        <v>3433</v>
      </c>
      <c r="M9" s="0" t="s">
        <v>3434</v>
      </c>
      <c r="N9" s="0" t="s">
        <v>3435</v>
      </c>
      <c r="O9" s="0" t="s">
        <v>3436</v>
      </c>
      <c r="P9" s="0" t="s">
        <v>3437</v>
      </c>
      <c r="Q9" s="0" t="s">
        <v>152</v>
      </c>
      <c r="R9" s="0" t="b">
        <v>0</v>
      </c>
      <c r="S9" s="0" t="s">
        <v>3359</v>
      </c>
    </row>
    <row customHeight="1" ht="11.25">
      <c r="A10" s="0">
        <v>2655</v>
      </c>
      <c r="B10" s="0" t="s">
        <v>114</v>
      </c>
      <c r="C10" s="0">
        <v>26824672</v>
      </c>
      <c r="D10" s="0" t="s">
        <v>3438</v>
      </c>
      <c r="E10" s="0" t="s">
        <v>3439</v>
      </c>
      <c r="F10" s="0" t="s">
        <v>146</v>
      </c>
      <c r="G10" s="0" t="s">
        <v>3440</v>
      </c>
      <c r="H10" s="0" t="s">
        <v>143</v>
      </c>
      <c r="I10" s="0" t="s">
        <v>152</v>
      </c>
      <c r="J10" s="0" t="s">
        <v>156</v>
      </c>
      <c r="K10" s="0" t="s">
        <v>3441</v>
      </c>
      <c r="L10" s="0" t="s">
        <v>3442</v>
      </c>
      <c r="M10" s="0" t="s">
        <v>3443</v>
      </c>
      <c r="N10" s="0" t="s">
        <v>3444</v>
      </c>
      <c r="O10" s="0" t="s">
        <v>152</v>
      </c>
      <c r="P10" s="0" t="s">
        <v>3445</v>
      </c>
      <c r="Q10" s="0" t="s">
        <v>152</v>
      </c>
      <c r="R10" s="0" t="b">
        <v>0</v>
      </c>
      <c r="S10" s="0" t="s">
        <v>3359</v>
      </c>
    </row>
    <row customHeight="1" ht="11.25">
      <c r="A11" s="0">
        <v>2655</v>
      </c>
      <c r="B11" s="0" t="s">
        <v>114</v>
      </c>
      <c r="C11" s="0">
        <v>31826293</v>
      </c>
      <c r="D11" s="0" t="s">
        <v>3446</v>
      </c>
      <c r="E11" s="0" t="s">
        <v>3447</v>
      </c>
      <c r="F11" s="0" t="s">
        <v>3448</v>
      </c>
      <c r="G11" s="0" t="s">
        <v>3449</v>
      </c>
      <c r="H11" s="0" t="s">
        <v>3450</v>
      </c>
      <c r="I11" s="0" t="s">
        <v>3451</v>
      </c>
      <c r="K11" s="0" t="s">
        <v>3452</v>
      </c>
      <c r="L11" s="0" t="s">
        <v>3453</v>
      </c>
      <c r="M11" s="0" t="s">
        <v>152</v>
      </c>
      <c r="N11" s="0" t="s">
        <v>3454</v>
      </c>
      <c r="O11" s="0" t="s">
        <v>3455</v>
      </c>
      <c r="P11" s="0" t="s">
        <v>3456</v>
      </c>
      <c r="Q11" s="0" t="s">
        <v>152</v>
      </c>
      <c r="R11" s="0" t="b">
        <v>0</v>
      </c>
      <c r="S11" s="0" t="s">
        <v>3359</v>
      </c>
    </row>
    <row customHeight="1" ht="11.25">
      <c r="A12" s="0">
        <v>2655</v>
      </c>
      <c r="B12" s="0" t="s">
        <v>114</v>
      </c>
      <c r="C12" s="0">
        <v>26322867</v>
      </c>
      <c r="D12" s="0" t="s">
        <v>3457</v>
      </c>
      <c r="E12" s="0" t="s">
        <v>3458</v>
      </c>
      <c r="F12" s="0" t="s">
        <v>3459</v>
      </c>
      <c r="G12" s="0" t="s">
        <v>3396</v>
      </c>
      <c r="H12" s="0" t="s">
        <v>3460</v>
      </c>
      <c r="I12" s="0" t="s">
        <v>3461</v>
      </c>
      <c r="J12" s="0" t="s">
        <v>3351</v>
      </c>
      <c r="K12" s="0" t="s">
        <v>3462</v>
      </c>
      <c r="L12" s="0" t="s">
        <v>3462</v>
      </c>
      <c r="M12" s="0" t="s">
        <v>3463</v>
      </c>
      <c r="N12" s="0" t="s">
        <v>3464</v>
      </c>
      <c r="O12" s="0" t="s">
        <v>3465</v>
      </c>
      <c r="P12" s="0" t="s">
        <v>3437</v>
      </c>
      <c r="Q12" s="0" t="s">
        <v>3466</v>
      </c>
      <c r="R12" s="0" t="b">
        <v>0</v>
      </c>
      <c r="S12" s="0" t="s">
        <v>3359</v>
      </c>
    </row>
    <row customHeight="1" ht="11.25">
      <c r="A13" s="0">
        <v>2655</v>
      </c>
      <c r="B13" s="0" t="s">
        <v>114</v>
      </c>
      <c r="C13" s="0">
        <v>26824651</v>
      </c>
      <c r="D13" s="0" t="s">
        <v>3467</v>
      </c>
      <c r="E13" s="0" t="s">
        <v>3468</v>
      </c>
      <c r="F13" s="0" t="s">
        <v>146</v>
      </c>
      <c r="G13" s="0" t="s">
        <v>3469</v>
      </c>
      <c r="H13" s="0" t="s">
        <v>143</v>
      </c>
      <c r="I13" s="0" t="s">
        <v>152</v>
      </c>
      <c r="J13" s="0" t="s">
        <v>3351</v>
      </c>
      <c r="K13" s="0" t="s">
        <v>3470</v>
      </c>
      <c r="L13" s="0" t="s">
        <v>3471</v>
      </c>
      <c r="M13" s="0" t="s">
        <v>3472</v>
      </c>
      <c r="N13" s="0" t="s">
        <v>3473</v>
      </c>
      <c r="O13" s="0" t="s">
        <v>3474</v>
      </c>
      <c r="P13" s="0" t="s">
        <v>179</v>
      </c>
      <c r="Q13" s="0" t="s">
        <v>152</v>
      </c>
      <c r="R13" s="0" t="b">
        <v>0</v>
      </c>
      <c r="S13" s="0" t="s">
        <v>3359</v>
      </c>
    </row>
    <row customHeight="1" ht="11.25">
      <c r="A14" s="0">
        <v>2655</v>
      </c>
      <c r="B14" s="0" t="s">
        <v>114</v>
      </c>
      <c r="C14" s="0">
        <v>26824396</v>
      </c>
      <c r="D14" s="0" t="s">
        <v>133</v>
      </c>
      <c r="E14" s="0" t="s">
        <v>136</v>
      </c>
      <c r="F14" s="0" t="s">
        <v>146</v>
      </c>
      <c r="G14" s="0" t="s">
        <v>149</v>
      </c>
      <c r="H14" s="0" t="s">
        <v>143</v>
      </c>
      <c r="I14" s="0" t="s">
        <v>152</v>
      </c>
      <c r="J14" s="0" t="s">
        <v>156</v>
      </c>
      <c r="K14" s="0" t="s">
        <v>160</v>
      </c>
      <c r="L14" s="0" t="s">
        <v>160</v>
      </c>
      <c r="M14" s="0" t="s">
        <v>3475</v>
      </c>
      <c r="N14" s="0" t="s">
        <v>152</v>
      </c>
      <c r="O14" s="0" t="s">
        <v>175</v>
      </c>
      <c r="P14" s="0" t="s">
        <v>179</v>
      </c>
      <c r="Q14" s="0" t="s">
        <v>152</v>
      </c>
      <c r="R14" s="0" t="b">
        <v>0</v>
      </c>
      <c r="S14" s="0" t="s">
        <v>3359</v>
      </c>
    </row>
    <row customHeight="1" ht="11.25">
      <c r="A15" s="0">
        <v>2655</v>
      </c>
      <c r="B15" s="0" t="s">
        <v>114</v>
      </c>
      <c r="C15" s="0">
        <v>31232672</v>
      </c>
      <c r="D15" s="0" t="s">
        <v>3476</v>
      </c>
      <c r="E15" s="0" t="s">
        <v>3477</v>
      </c>
      <c r="F15" s="0" t="s">
        <v>3478</v>
      </c>
      <c r="G15" s="0" t="s">
        <v>3479</v>
      </c>
      <c r="H15" s="0" t="s">
        <v>3480</v>
      </c>
      <c r="I15" s="0" t="s">
        <v>3481</v>
      </c>
      <c r="J15" s="0" t="s">
        <v>3482</v>
      </c>
      <c r="K15" s="0" t="s">
        <v>3483</v>
      </c>
      <c r="L15" s="0" t="s">
        <v>3483</v>
      </c>
      <c r="M15" s="0" t="s">
        <v>3484</v>
      </c>
      <c r="N15" s="0" t="s">
        <v>3485</v>
      </c>
      <c r="O15" s="0" t="s">
        <v>3486</v>
      </c>
      <c r="P15" s="0" t="s">
        <v>3487</v>
      </c>
      <c r="Q15" s="0" t="s">
        <v>152</v>
      </c>
      <c r="R15" s="0" t="b">
        <v>0</v>
      </c>
      <c r="S15" s="0" t="s">
        <v>3359</v>
      </c>
    </row>
    <row customHeight="1" ht="11.25">
      <c r="A16" s="0">
        <v>2655</v>
      </c>
      <c r="B16" s="0" t="s">
        <v>114</v>
      </c>
      <c r="C16" s="0">
        <v>31387447</v>
      </c>
      <c r="D16" s="0" t="s">
        <v>3488</v>
      </c>
      <c r="E16" s="0" t="s">
        <v>3489</v>
      </c>
      <c r="F16" s="0" t="s">
        <v>3490</v>
      </c>
      <c r="G16" s="0" t="s">
        <v>3491</v>
      </c>
      <c r="H16" s="0" t="s">
        <v>3492</v>
      </c>
      <c r="I16" s="0" t="s">
        <v>3493</v>
      </c>
      <c r="J16" s="0" t="s">
        <v>3494</v>
      </c>
      <c r="K16" s="0" t="s">
        <v>3495</v>
      </c>
      <c r="L16" s="0" t="s">
        <v>3495</v>
      </c>
      <c r="M16" s="0" t="s">
        <v>3496</v>
      </c>
      <c r="N16" s="0" t="s">
        <v>3497</v>
      </c>
      <c r="O16" s="0" t="s">
        <v>3498</v>
      </c>
      <c r="P16" s="0" t="s">
        <v>3487</v>
      </c>
      <c r="Q16" s="0" t="s">
        <v>152</v>
      </c>
      <c r="R16" s="0" t="b">
        <v>0</v>
      </c>
      <c r="S16" s="0" t="s">
        <v>3359</v>
      </c>
    </row>
    <row customHeight="1" ht="11.25">
      <c r="A17" s="0">
        <v>2655</v>
      </c>
      <c r="B17" s="0" t="s">
        <v>114</v>
      </c>
      <c r="C17" s="0">
        <v>30808700</v>
      </c>
      <c r="D17" s="0" t="s">
        <v>3499</v>
      </c>
      <c r="E17" s="0" t="s">
        <v>3500</v>
      </c>
      <c r="F17" s="0" t="s">
        <v>3501</v>
      </c>
      <c r="G17" s="0" t="s">
        <v>3440</v>
      </c>
      <c r="H17" s="0" t="s">
        <v>3502</v>
      </c>
      <c r="I17" s="0" t="s">
        <v>3503</v>
      </c>
      <c r="J17" s="0" t="s">
        <v>3494</v>
      </c>
      <c r="K17" s="0" t="s">
        <v>3504</v>
      </c>
      <c r="L17" s="0" t="s">
        <v>3505</v>
      </c>
      <c r="M17" s="0" t="s">
        <v>3506</v>
      </c>
      <c r="N17" s="0" t="s">
        <v>3507</v>
      </c>
      <c r="O17" s="0" t="s">
        <v>3508</v>
      </c>
      <c r="P17" s="0" t="s">
        <v>3456</v>
      </c>
      <c r="Q17" s="0" t="s">
        <v>152</v>
      </c>
      <c r="R17" s="0" t="b">
        <v>1</v>
      </c>
      <c r="S17" s="0" t="s">
        <v>3359</v>
      </c>
    </row>
    <row customHeight="1" ht="11.25">
      <c r="A18" s="0">
        <v>2655</v>
      </c>
      <c r="B18" s="0" t="s">
        <v>114</v>
      </c>
      <c r="C18" s="0">
        <v>31319221</v>
      </c>
      <c r="D18" s="0" t="s">
        <v>3509</v>
      </c>
      <c r="E18" s="0" t="s">
        <v>3510</v>
      </c>
      <c r="F18" s="0" t="s">
        <v>3511</v>
      </c>
      <c r="G18" s="0" t="s">
        <v>3491</v>
      </c>
      <c r="H18" s="0" t="s">
        <v>3512</v>
      </c>
      <c r="I18" s="0" t="s">
        <v>3513</v>
      </c>
      <c r="J18" s="0" t="s">
        <v>3482</v>
      </c>
      <c r="K18" s="0" t="s">
        <v>3514</v>
      </c>
      <c r="L18" s="0" t="s">
        <v>3515</v>
      </c>
      <c r="M18" s="0" t="s">
        <v>3516</v>
      </c>
      <c r="N18" s="0" t="s">
        <v>3517</v>
      </c>
      <c r="O18" s="0" t="s">
        <v>3518</v>
      </c>
      <c r="P18" s="0" t="s">
        <v>3487</v>
      </c>
      <c r="Q18" s="0" t="s">
        <v>152</v>
      </c>
      <c r="R18" s="0" t="b">
        <v>0</v>
      </c>
      <c r="S18" s="0" t="s">
        <v>3359</v>
      </c>
    </row>
    <row customHeight="1" ht="11.25">
      <c r="A19" s="0">
        <v>2655</v>
      </c>
      <c r="B19" s="0" t="s">
        <v>114</v>
      </c>
      <c r="C19" s="0">
        <v>31419990</v>
      </c>
      <c r="D19" s="0" t="s">
        <v>3519</v>
      </c>
      <c r="E19" s="0" t="s">
        <v>3520</v>
      </c>
      <c r="F19" s="0" t="s">
        <v>3521</v>
      </c>
      <c r="G19" s="0" t="s">
        <v>3522</v>
      </c>
      <c r="H19" s="0" t="s">
        <v>3523</v>
      </c>
      <c r="I19" s="0" t="s">
        <v>3524</v>
      </c>
      <c r="J19" s="0" t="s">
        <v>3482</v>
      </c>
      <c r="K19" s="0" t="s">
        <v>3525</v>
      </c>
      <c r="L19" s="0" t="s">
        <v>3525</v>
      </c>
      <c r="M19" s="0" t="s">
        <v>3526</v>
      </c>
      <c r="N19" s="0" t="s">
        <v>3527</v>
      </c>
      <c r="O19" s="0" t="s">
        <v>3528</v>
      </c>
      <c r="P19" s="0" t="s">
        <v>3487</v>
      </c>
      <c r="Q19" s="0" t="s">
        <v>3529</v>
      </c>
      <c r="R19" s="0" t="b">
        <v>0</v>
      </c>
      <c r="S19" s="0" t="s">
        <v>3359</v>
      </c>
    </row>
    <row customHeight="1" ht="11.25">
      <c r="A20" s="0">
        <v>2655</v>
      </c>
      <c r="B20" s="0" t="s">
        <v>114</v>
      </c>
      <c r="C20" s="0">
        <v>31343443</v>
      </c>
      <c r="D20" s="0" t="s">
        <v>3530</v>
      </c>
      <c r="E20" s="0" t="s">
        <v>3531</v>
      </c>
      <c r="F20" s="0" t="s">
        <v>3532</v>
      </c>
      <c r="G20" s="0" t="s">
        <v>3440</v>
      </c>
      <c r="H20" s="0" t="s">
        <v>3533</v>
      </c>
      <c r="I20" s="0" t="s">
        <v>3534</v>
      </c>
      <c r="J20" s="0" t="s">
        <v>3482</v>
      </c>
      <c r="K20" s="0" t="s">
        <v>3535</v>
      </c>
      <c r="L20" s="0" t="s">
        <v>3535</v>
      </c>
      <c r="N20" s="0" t="s">
        <v>3536</v>
      </c>
      <c r="O20" s="0" t="s">
        <v>3537</v>
      </c>
      <c r="P20" s="0" t="s">
        <v>3456</v>
      </c>
      <c r="R20" s="0" t="b">
        <v>0</v>
      </c>
      <c r="S20" s="0" t="s">
        <v>3359</v>
      </c>
    </row>
    <row customHeight="1" ht="11.25">
      <c r="A21" s="0">
        <v>2655</v>
      </c>
      <c r="B21" s="0" t="s">
        <v>114</v>
      </c>
      <c r="C21" s="0">
        <v>31367841</v>
      </c>
      <c r="D21" s="0" t="s">
        <v>3538</v>
      </c>
      <c r="E21" s="0" t="s">
        <v>3539</v>
      </c>
      <c r="F21" s="0" t="s">
        <v>3540</v>
      </c>
      <c r="G21" s="0" t="s">
        <v>3541</v>
      </c>
      <c r="H21" s="0" t="s">
        <v>3542</v>
      </c>
      <c r="I21" s="0" t="s">
        <v>3543</v>
      </c>
      <c r="J21" s="0" t="s">
        <v>3494</v>
      </c>
      <c r="K21" s="0" t="s">
        <v>3544</v>
      </c>
      <c r="L21" s="0" t="s">
        <v>3544</v>
      </c>
      <c r="M21" s="0" t="s">
        <v>152</v>
      </c>
      <c r="N21" s="0" t="s">
        <v>3545</v>
      </c>
      <c r="O21" s="0" t="s">
        <v>3546</v>
      </c>
      <c r="P21" s="0" t="s">
        <v>3487</v>
      </c>
      <c r="Q21" s="0" t="s">
        <v>152</v>
      </c>
      <c r="R21" s="0" t="b">
        <v>0</v>
      </c>
      <c r="S21" s="0" t="s">
        <v>3359</v>
      </c>
    </row>
    <row customHeight="1" ht="11.25">
      <c r="A22" s="0">
        <v>2655</v>
      </c>
      <c r="B22" s="0" t="s">
        <v>114</v>
      </c>
      <c r="C22" s="0">
        <v>31087651</v>
      </c>
      <c r="D22" s="0" t="s">
        <v>3547</v>
      </c>
      <c r="E22" s="0" t="s">
        <v>3548</v>
      </c>
      <c r="F22" s="0" t="s">
        <v>3549</v>
      </c>
      <c r="G22" s="0" t="s">
        <v>3550</v>
      </c>
      <c r="H22" s="0" t="s">
        <v>3551</v>
      </c>
      <c r="I22" s="0" t="s">
        <v>3552</v>
      </c>
      <c r="J22" s="0" t="s">
        <v>3482</v>
      </c>
      <c r="K22" s="0" t="s">
        <v>3553</v>
      </c>
      <c r="L22" s="0" t="s">
        <v>3553</v>
      </c>
      <c r="M22" s="0" t="s">
        <v>3554</v>
      </c>
      <c r="N22" s="0" t="s">
        <v>3555</v>
      </c>
      <c r="O22" s="0" t="s">
        <v>3556</v>
      </c>
      <c r="R22" s="0" t="b">
        <v>0</v>
      </c>
      <c r="S22" s="0" t="s">
        <v>3359</v>
      </c>
    </row>
    <row customHeight="1" ht="11.25">
      <c r="A23" s="0">
        <v>2655</v>
      </c>
      <c r="B23" s="0" t="s">
        <v>114</v>
      </c>
      <c r="C23" s="0">
        <v>31367862</v>
      </c>
      <c r="D23" s="0" t="s">
        <v>3557</v>
      </c>
      <c r="E23" s="0" t="s">
        <v>3558</v>
      </c>
      <c r="F23" s="0" t="s">
        <v>3559</v>
      </c>
      <c r="G23" s="0" t="s">
        <v>3541</v>
      </c>
      <c r="H23" s="0" t="s">
        <v>3560</v>
      </c>
      <c r="I23" s="0" t="s">
        <v>3561</v>
      </c>
      <c r="J23" s="0" t="s">
        <v>3482</v>
      </c>
      <c r="K23" s="0" t="s">
        <v>3562</v>
      </c>
      <c r="L23" s="0" t="s">
        <v>3562</v>
      </c>
      <c r="M23" s="0" t="s">
        <v>152</v>
      </c>
      <c r="N23" s="0" t="s">
        <v>3563</v>
      </c>
      <c r="O23" s="0" t="s">
        <v>3564</v>
      </c>
      <c r="P23" s="0" t="s">
        <v>3487</v>
      </c>
      <c r="Q23" s="0" t="s">
        <v>152</v>
      </c>
      <c r="R23" s="0" t="b">
        <v>0</v>
      </c>
      <c r="S23" s="0" t="s">
        <v>3359</v>
      </c>
    </row>
    <row customHeight="1" ht="11.25">
      <c r="A24" s="0">
        <v>2655</v>
      </c>
      <c r="B24" s="0" t="s">
        <v>114</v>
      </c>
      <c r="C24" s="0">
        <v>26486390</v>
      </c>
      <c r="D24" s="0" t="s">
        <v>3565</v>
      </c>
      <c r="E24" s="0" t="s">
        <v>3566</v>
      </c>
      <c r="F24" s="0" t="s">
        <v>3567</v>
      </c>
      <c r="G24" s="0" t="s">
        <v>3568</v>
      </c>
      <c r="H24" s="0" t="s">
        <v>3569</v>
      </c>
      <c r="I24" s="0" t="s">
        <v>3570</v>
      </c>
      <c r="J24" s="0" t="s">
        <v>3494</v>
      </c>
      <c r="K24" s="0" t="s">
        <v>3571</v>
      </c>
      <c r="L24" s="0" t="s">
        <v>3571</v>
      </c>
      <c r="M24" s="0" t="s">
        <v>3572</v>
      </c>
      <c r="N24" s="0" t="s">
        <v>3573</v>
      </c>
      <c r="O24" s="0" t="s">
        <v>3574</v>
      </c>
      <c r="P24" s="0" t="s">
        <v>3575</v>
      </c>
      <c r="Q24" s="0" t="s">
        <v>152</v>
      </c>
      <c r="R24" s="0" t="b">
        <v>0</v>
      </c>
      <c r="S24" s="0" t="s">
        <v>3359</v>
      </c>
    </row>
    <row customHeight="1" ht="11.25">
      <c r="A25" s="0">
        <v>2655</v>
      </c>
      <c r="B25" s="0" t="s">
        <v>114</v>
      </c>
      <c r="C25" s="0">
        <v>27977465</v>
      </c>
      <c r="D25" s="0" t="s">
        <v>3576</v>
      </c>
      <c r="E25" s="0" t="s">
        <v>3577</v>
      </c>
      <c r="F25" s="0" t="s">
        <v>3578</v>
      </c>
      <c r="G25" s="0" t="s">
        <v>3579</v>
      </c>
      <c r="H25" s="0" t="s">
        <v>3580</v>
      </c>
      <c r="I25" s="0" t="s">
        <v>152</v>
      </c>
      <c r="K25" s="0" t="s">
        <v>3581</v>
      </c>
      <c r="L25" s="0" t="s">
        <v>3581</v>
      </c>
      <c r="M25" s="0" t="s">
        <v>3582</v>
      </c>
      <c r="N25" s="0" t="s">
        <v>3583</v>
      </c>
      <c r="O25" s="0" t="s">
        <v>3584</v>
      </c>
      <c r="P25" s="0" t="s">
        <v>3456</v>
      </c>
      <c r="Q25" s="0" t="s">
        <v>152</v>
      </c>
      <c r="R25" s="0" t="b">
        <v>0</v>
      </c>
      <c r="S25" s="0" t="s">
        <v>3359</v>
      </c>
    </row>
    <row customHeight="1" ht="11.25">
      <c r="A26" s="0">
        <v>2655</v>
      </c>
      <c r="B26" s="0" t="s">
        <v>114</v>
      </c>
      <c r="C26" s="0">
        <v>31003143</v>
      </c>
      <c r="D26" s="0" t="s">
        <v>3585</v>
      </c>
      <c r="E26" s="0" t="s">
        <v>3586</v>
      </c>
      <c r="F26" s="0" t="s">
        <v>3587</v>
      </c>
      <c r="G26" s="0" t="s">
        <v>3579</v>
      </c>
      <c r="H26" s="0" t="s">
        <v>3588</v>
      </c>
      <c r="I26" s="0" t="s">
        <v>3589</v>
      </c>
      <c r="J26" s="0" t="s">
        <v>3494</v>
      </c>
      <c r="K26" s="0" t="s">
        <v>3590</v>
      </c>
      <c r="L26" s="0" t="s">
        <v>3591</v>
      </c>
      <c r="M26" s="0" t="s">
        <v>3592</v>
      </c>
      <c r="N26" s="0" t="s">
        <v>3593</v>
      </c>
      <c r="O26" s="0" t="s">
        <v>3594</v>
      </c>
      <c r="P26" s="0" t="s">
        <v>3487</v>
      </c>
      <c r="Q26" s="0" t="s">
        <v>152</v>
      </c>
      <c r="R26" s="0" t="b">
        <v>1</v>
      </c>
      <c r="S26" s="0" t="s">
        <v>3359</v>
      </c>
    </row>
    <row customHeight="1" ht="11.25">
      <c r="A27" s="0">
        <v>2655</v>
      </c>
      <c r="B27" s="0" t="s">
        <v>114</v>
      </c>
      <c r="C27" s="0">
        <v>31308226</v>
      </c>
      <c r="D27" s="0" t="s">
        <v>3595</v>
      </c>
      <c r="E27" s="0" t="s">
        <v>3596</v>
      </c>
      <c r="F27" s="0" t="s">
        <v>3597</v>
      </c>
      <c r="G27" s="0" t="s">
        <v>3598</v>
      </c>
      <c r="H27" s="0" t="s">
        <v>3599</v>
      </c>
      <c r="I27" s="0" t="s">
        <v>3600</v>
      </c>
      <c r="J27" s="0" t="s">
        <v>3494</v>
      </c>
      <c r="K27" s="0" t="s">
        <v>3601</v>
      </c>
      <c r="L27" s="0" t="s">
        <v>3601</v>
      </c>
      <c r="M27" s="0" t="s">
        <v>3602</v>
      </c>
      <c r="N27" s="0" t="s">
        <v>3603</v>
      </c>
      <c r="O27" s="0" t="s">
        <v>3604</v>
      </c>
      <c r="P27" s="0" t="s">
        <v>3456</v>
      </c>
      <c r="Q27" s="0" t="s">
        <v>152</v>
      </c>
      <c r="R27" s="0" t="b">
        <v>1</v>
      </c>
      <c r="S27" s="0" t="s">
        <v>3359</v>
      </c>
    </row>
    <row customHeight="1" ht="11.25">
      <c r="A28" s="0">
        <v>2655</v>
      </c>
      <c r="B28" s="0" t="s">
        <v>114</v>
      </c>
      <c r="C28" s="0">
        <v>31284269</v>
      </c>
      <c r="D28" s="0" t="s">
        <v>3605</v>
      </c>
      <c r="E28" s="0" t="s">
        <v>3606</v>
      </c>
      <c r="F28" s="0" t="s">
        <v>3607</v>
      </c>
      <c r="G28" s="0" t="s">
        <v>3550</v>
      </c>
      <c r="H28" s="0" t="s">
        <v>3608</v>
      </c>
      <c r="I28" s="0" t="s">
        <v>3609</v>
      </c>
      <c r="J28" s="0" t="s">
        <v>3494</v>
      </c>
      <c r="K28" s="0" t="s">
        <v>3610</v>
      </c>
      <c r="L28" s="0" t="s">
        <v>3611</v>
      </c>
      <c r="M28" s="0" t="s">
        <v>3612</v>
      </c>
      <c r="N28" s="0" t="s">
        <v>3613</v>
      </c>
      <c r="O28" s="0" t="s">
        <v>3614</v>
      </c>
      <c r="P28" s="0" t="s">
        <v>152</v>
      </c>
      <c r="Q28" s="0" t="s">
        <v>152</v>
      </c>
      <c r="R28" s="0" t="b">
        <v>0</v>
      </c>
      <c r="S28" s="0" t="s">
        <v>3359</v>
      </c>
    </row>
    <row customHeight="1" ht="11.25">
      <c r="A29" s="0">
        <v>2655</v>
      </c>
      <c r="B29" s="0" t="s">
        <v>114</v>
      </c>
      <c r="C29" s="0">
        <v>31241680</v>
      </c>
      <c r="D29" s="0" t="s">
        <v>3615</v>
      </c>
      <c r="E29" s="0" t="s">
        <v>3616</v>
      </c>
      <c r="F29" s="0" t="s">
        <v>3617</v>
      </c>
      <c r="G29" s="0" t="s">
        <v>3522</v>
      </c>
      <c r="H29" s="0" t="s">
        <v>3618</v>
      </c>
      <c r="I29" s="0" t="s">
        <v>3619</v>
      </c>
      <c r="J29" s="0" t="s">
        <v>3494</v>
      </c>
      <c r="K29" s="0" t="s">
        <v>3620</v>
      </c>
      <c r="L29" s="0" t="s">
        <v>3620</v>
      </c>
      <c r="M29" s="0" t="s">
        <v>3621</v>
      </c>
      <c r="N29" s="0" t="s">
        <v>3622</v>
      </c>
      <c r="O29" s="0" t="s">
        <v>3623</v>
      </c>
      <c r="P29" s="0" t="s">
        <v>3456</v>
      </c>
      <c r="Q29" s="0" t="s">
        <v>3624</v>
      </c>
      <c r="R29" s="0" t="b">
        <v>0</v>
      </c>
      <c r="S29" s="0" t="s">
        <v>3359</v>
      </c>
    </row>
    <row customHeight="1" ht="11.25">
      <c r="A30" s="0">
        <v>2655</v>
      </c>
      <c r="B30" s="0" t="s">
        <v>114</v>
      </c>
      <c r="C30" s="0">
        <v>31579664</v>
      </c>
      <c r="D30" s="0" t="s">
        <v>3625</v>
      </c>
      <c r="E30" s="0" t="s">
        <v>3626</v>
      </c>
      <c r="F30" s="0" t="s">
        <v>3627</v>
      </c>
      <c r="G30" s="0" t="s">
        <v>3440</v>
      </c>
      <c r="H30" s="0" t="s">
        <v>3628</v>
      </c>
      <c r="I30" s="0" t="s">
        <v>3629</v>
      </c>
      <c r="K30" s="0" t="s">
        <v>3630</v>
      </c>
      <c r="L30" s="0" t="s">
        <v>3631</v>
      </c>
      <c r="M30" s="0" t="s">
        <v>3632</v>
      </c>
      <c r="N30" s="0" t="s">
        <v>152</v>
      </c>
      <c r="O30" s="0" t="s">
        <v>3633</v>
      </c>
      <c r="P30" s="0" t="s">
        <v>3487</v>
      </c>
      <c r="Q30" s="0" t="s">
        <v>3634</v>
      </c>
      <c r="R30" s="0" t="b">
        <v>1</v>
      </c>
      <c r="S30" s="0" t="s">
        <v>3359</v>
      </c>
    </row>
    <row customHeight="1" ht="11.25">
      <c r="A31" s="0">
        <v>2655</v>
      </c>
      <c r="B31" s="0" t="s">
        <v>114</v>
      </c>
      <c r="C31" s="0">
        <v>26322895</v>
      </c>
      <c r="D31" s="0" t="s">
        <v>3635</v>
      </c>
      <c r="E31" s="0" t="s">
        <v>3636</v>
      </c>
      <c r="F31" s="0" t="s">
        <v>3637</v>
      </c>
      <c r="G31" s="0" t="s">
        <v>3363</v>
      </c>
      <c r="H31" s="0" t="s">
        <v>3638</v>
      </c>
      <c r="I31" s="0" t="s">
        <v>3639</v>
      </c>
      <c r="J31" s="0" t="s">
        <v>156</v>
      </c>
      <c r="K31" s="0" t="s">
        <v>3640</v>
      </c>
      <c r="L31" s="0" t="s">
        <v>3640</v>
      </c>
      <c r="M31" s="0" t="s">
        <v>3641</v>
      </c>
      <c r="N31" s="0" t="s">
        <v>3642</v>
      </c>
      <c r="O31" s="0" t="s">
        <v>3643</v>
      </c>
      <c r="P31" s="0" t="s">
        <v>3437</v>
      </c>
      <c r="Q31" s="0" t="s">
        <v>3644</v>
      </c>
      <c r="R31" s="0" t="b">
        <v>0</v>
      </c>
      <c r="S31" s="0" t="s">
        <v>3359</v>
      </c>
    </row>
    <row customHeight="1" ht="11.25">
      <c r="A32" s="0">
        <v>2655</v>
      </c>
      <c r="B32" s="0" t="s">
        <v>114</v>
      </c>
      <c r="C32" s="0">
        <v>28119331</v>
      </c>
      <c r="D32" s="0" t="s">
        <v>3645</v>
      </c>
      <c r="E32" s="0" t="s">
        <v>3646</v>
      </c>
      <c r="F32" s="0" t="s">
        <v>3647</v>
      </c>
      <c r="G32" s="0" t="s">
        <v>3363</v>
      </c>
      <c r="H32" s="0" t="s">
        <v>3648</v>
      </c>
      <c r="I32" s="0" t="s">
        <v>152</v>
      </c>
      <c r="J32" s="0" t="s">
        <v>3649</v>
      </c>
      <c r="K32" s="0" t="s">
        <v>3650</v>
      </c>
      <c r="L32" s="0" t="s">
        <v>3650</v>
      </c>
      <c r="M32" s="0" t="s">
        <v>3651</v>
      </c>
      <c r="N32" s="0" t="s">
        <v>152</v>
      </c>
      <c r="O32" s="0" t="s">
        <v>3652</v>
      </c>
      <c r="P32" s="0" t="s">
        <v>3456</v>
      </c>
      <c r="Q32" s="0" t="s">
        <v>152</v>
      </c>
      <c r="R32" s="0" t="b">
        <v>1</v>
      </c>
      <c r="S32" s="0" t="s">
        <v>3359</v>
      </c>
    </row>
    <row customHeight="1" ht="11.25">
      <c r="A33" s="0">
        <v>2655</v>
      </c>
      <c r="B33" s="0" t="s">
        <v>114</v>
      </c>
      <c r="C33" s="0">
        <v>31775146</v>
      </c>
      <c r="D33" s="0" t="s">
        <v>3653</v>
      </c>
      <c r="E33" s="0" t="s">
        <v>3654</v>
      </c>
      <c r="F33" s="0" t="s">
        <v>3655</v>
      </c>
      <c r="G33" s="0" t="s">
        <v>3656</v>
      </c>
      <c r="H33" s="0" t="s">
        <v>3657</v>
      </c>
      <c r="I33" s="0" t="s">
        <v>3658</v>
      </c>
      <c r="K33" s="0" t="s">
        <v>3659</v>
      </c>
      <c r="L33" s="0" t="s">
        <v>3659</v>
      </c>
      <c r="M33" s="0" t="s">
        <v>3660</v>
      </c>
      <c r="N33" s="0" t="s">
        <v>3661</v>
      </c>
      <c r="O33" s="0" t="s">
        <v>3662</v>
      </c>
      <c r="P33" s="0" t="s">
        <v>3456</v>
      </c>
      <c r="Q33" s="0" t="s">
        <v>152</v>
      </c>
      <c r="R33" s="0" t="b">
        <v>1</v>
      </c>
      <c r="S33" s="0" t="s">
        <v>3359</v>
      </c>
    </row>
    <row customHeight="1" ht="11.25">
      <c r="A34" s="0">
        <v>2655</v>
      </c>
      <c r="B34" s="0" t="s">
        <v>114</v>
      </c>
      <c r="C34" s="0">
        <v>28869965</v>
      </c>
      <c r="D34" s="0" t="s">
        <v>3663</v>
      </c>
      <c r="E34" s="0" t="s">
        <v>3664</v>
      </c>
      <c r="F34" s="0" t="s">
        <v>3665</v>
      </c>
      <c r="G34" s="0" t="s">
        <v>3479</v>
      </c>
      <c r="H34" s="0" t="s">
        <v>3666</v>
      </c>
      <c r="I34" s="0" t="s">
        <v>152</v>
      </c>
      <c r="J34" s="0" t="s">
        <v>3649</v>
      </c>
      <c r="K34" s="0" t="s">
        <v>3667</v>
      </c>
      <c r="L34" s="0" t="s">
        <v>3667</v>
      </c>
      <c r="M34" s="0" t="s">
        <v>3668</v>
      </c>
      <c r="N34" s="0" t="s">
        <v>3669</v>
      </c>
      <c r="O34" s="0" t="s">
        <v>3670</v>
      </c>
      <c r="P34" s="0" t="s">
        <v>3437</v>
      </c>
      <c r="Q34" s="0" t="s">
        <v>3671</v>
      </c>
      <c r="R34" s="0" t="b">
        <v>0</v>
      </c>
      <c r="S34" s="0" t="s">
        <v>3359</v>
      </c>
    </row>
    <row customHeight="1" ht="11.25">
      <c r="A35" s="0">
        <v>2655</v>
      </c>
      <c r="B35" s="0" t="s">
        <v>114</v>
      </c>
      <c r="C35" s="0">
        <v>31356597</v>
      </c>
      <c r="D35" s="0" t="s">
        <v>3672</v>
      </c>
      <c r="E35" s="0" t="s">
        <v>3673</v>
      </c>
      <c r="F35" s="0" t="s">
        <v>3674</v>
      </c>
      <c r="G35" s="0" t="s">
        <v>3550</v>
      </c>
      <c r="H35" s="0" t="s">
        <v>3675</v>
      </c>
      <c r="I35" s="0" t="s">
        <v>3676</v>
      </c>
      <c r="J35" s="0" t="s">
        <v>3649</v>
      </c>
      <c r="K35" s="0" t="s">
        <v>3677</v>
      </c>
      <c r="L35" s="0" t="s">
        <v>3677</v>
      </c>
      <c r="M35" s="0" t="s">
        <v>3678</v>
      </c>
      <c r="N35" s="0" t="s">
        <v>3679</v>
      </c>
      <c r="O35" s="0" t="s">
        <v>3680</v>
      </c>
      <c r="P35" s="0" t="s">
        <v>3437</v>
      </c>
      <c r="Q35" s="0" t="s">
        <v>152</v>
      </c>
      <c r="R35" s="0" t="b">
        <v>0</v>
      </c>
      <c r="S35" s="0" t="s">
        <v>3359</v>
      </c>
    </row>
    <row customHeight="1" ht="11.25">
      <c r="A36" s="0">
        <v>2655</v>
      </c>
      <c r="B36" s="0" t="s">
        <v>114</v>
      </c>
      <c r="C36" s="0">
        <v>28136671</v>
      </c>
      <c r="D36" s="0" t="s">
        <v>3681</v>
      </c>
      <c r="E36" s="0" t="s">
        <v>3682</v>
      </c>
      <c r="F36" s="0" t="s">
        <v>3683</v>
      </c>
      <c r="G36" s="0" t="s">
        <v>3684</v>
      </c>
      <c r="H36" s="0" t="s">
        <v>3685</v>
      </c>
      <c r="I36" s="0" t="s">
        <v>3686</v>
      </c>
      <c r="J36" s="0" t="s">
        <v>3649</v>
      </c>
      <c r="K36" s="0" t="s">
        <v>3687</v>
      </c>
      <c r="L36" s="0" t="s">
        <v>3688</v>
      </c>
      <c r="M36" s="0" t="s">
        <v>3689</v>
      </c>
      <c r="N36" s="0" t="s">
        <v>3690</v>
      </c>
      <c r="O36" s="0" t="s">
        <v>3691</v>
      </c>
      <c r="P36" s="0" t="s">
        <v>3371</v>
      </c>
      <c r="Q36" s="0" t="s">
        <v>152</v>
      </c>
      <c r="R36" s="0" t="b">
        <v>1</v>
      </c>
      <c r="S36" s="0" t="s">
        <v>3359</v>
      </c>
    </row>
    <row customHeight="1" ht="11.25">
      <c r="A37" s="0">
        <v>2655</v>
      </c>
      <c r="B37" s="0" t="s">
        <v>114</v>
      </c>
      <c r="C37" s="0">
        <v>30854705</v>
      </c>
      <c r="D37" s="0" t="s">
        <v>3692</v>
      </c>
      <c r="E37" s="0" t="s">
        <v>3693</v>
      </c>
      <c r="F37" s="0" t="s">
        <v>3694</v>
      </c>
      <c r="G37" s="0" t="s">
        <v>3386</v>
      </c>
      <c r="H37" s="0" t="s">
        <v>3695</v>
      </c>
      <c r="I37" s="0" t="s">
        <v>3696</v>
      </c>
      <c r="J37" s="0" t="s">
        <v>3649</v>
      </c>
      <c r="K37" s="0" t="s">
        <v>3697</v>
      </c>
      <c r="L37" s="0" t="s">
        <v>3697</v>
      </c>
      <c r="M37" s="0" t="s">
        <v>3698</v>
      </c>
      <c r="N37" s="0" t="s">
        <v>3699</v>
      </c>
      <c r="O37" s="0" t="s">
        <v>3700</v>
      </c>
      <c r="P37" s="0" t="s">
        <v>3437</v>
      </c>
      <c r="Q37" s="0" t="s">
        <v>189</v>
      </c>
      <c r="R37" s="0" t="b">
        <v>0</v>
      </c>
      <c r="S37" s="0" t="s">
        <v>3359</v>
      </c>
    </row>
    <row customHeight="1" ht="11.25">
      <c r="A38" s="0">
        <v>2655</v>
      </c>
      <c r="B38" s="0" t="s">
        <v>114</v>
      </c>
      <c r="C38" s="0">
        <v>31656254</v>
      </c>
      <c r="D38" s="0" t="s">
        <v>3701</v>
      </c>
      <c r="E38" s="0" t="s">
        <v>3702</v>
      </c>
      <c r="F38" s="0" t="s">
        <v>3703</v>
      </c>
      <c r="G38" s="0" t="s">
        <v>3704</v>
      </c>
      <c r="H38" s="0" t="s">
        <v>3705</v>
      </c>
      <c r="I38" s="0" t="s">
        <v>3706</v>
      </c>
      <c r="K38" s="0" t="s">
        <v>3707</v>
      </c>
      <c r="L38" s="0" t="s">
        <v>3708</v>
      </c>
      <c r="M38" s="0" t="s">
        <v>3709</v>
      </c>
      <c r="N38" s="0" t="s">
        <v>3710</v>
      </c>
      <c r="O38" s="0" t="s">
        <v>3711</v>
      </c>
      <c r="P38" s="0" t="s">
        <v>3487</v>
      </c>
      <c r="Q38" s="0" t="s">
        <v>3712</v>
      </c>
      <c r="R38" s="0" t="b">
        <v>0</v>
      </c>
      <c r="S38" s="0" t="s">
        <v>3359</v>
      </c>
    </row>
    <row customHeight="1" ht="11.25">
      <c r="A39" s="0">
        <v>2655</v>
      </c>
      <c r="B39" s="0" t="s">
        <v>114</v>
      </c>
      <c r="C39" s="0">
        <v>31424033</v>
      </c>
      <c r="D39" s="0" t="s">
        <v>3713</v>
      </c>
      <c r="E39" s="0" t="s">
        <v>3714</v>
      </c>
      <c r="F39" s="0" t="s">
        <v>3715</v>
      </c>
      <c r="G39" s="0" t="s">
        <v>3716</v>
      </c>
      <c r="H39" s="0" t="s">
        <v>3717</v>
      </c>
      <c r="I39" s="0" t="s">
        <v>152</v>
      </c>
      <c r="J39" s="0" t="s">
        <v>3649</v>
      </c>
      <c r="K39" s="0" t="s">
        <v>152</v>
      </c>
      <c r="L39" s="0" t="s">
        <v>152</v>
      </c>
      <c r="M39" s="0" t="s">
        <v>152</v>
      </c>
      <c r="N39" s="0" t="s">
        <v>152</v>
      </c>
      <c r="O39" s="0" t="s">
        <v>152</v>
      </c>
      <c r="P39" s="0" t="s">
        <v>152</v>
      </c>
      <c r="Q39" s="0" t="s">
        <v>152</v>
      </c>
      <c r="R39" s="0" t="b">
        <v>0</v>
      </c>
      <c r="S39" s="0" t="s">
        <v>3359</v>
      </c>
    </row>
    <row customHeight="1" ht="11.25">
      <c r="A40" s="0">
        <v>2655</v>
      </c>
      <c r="B40" s="0" t="s">
        <v>114</v>
      </c>
      <c r="C40" s="0">
        <v>26428026</v>
      </c>
      <c r="D40" s="0" t="s">
        <v>3718</v>
      </c>
      <c r="E40" s="0" t="s">
        <v>3719</v>
      </c>
      <c r="F40" s="0" t="s">
        <v>3720</v>
      </c>
      <c r="G40" s="0" t="s">
        <v>3721</v>
      </c>
      <c r="H40" s="0" t="s">
        <v>3722</v>
      </c>
      <c r="I40" s="0" t="s">
        <v>152</v>
      </c>
      <c r="K40" s="0" t="s">
        <v>3723</v>
      </c>
      <c r="L40" s="0" t="s">
        <v>3723</v>
      </c>
      <c r="M40" s="0" t="s">
        <v>3724</v>
      </c>
      <c r="N40" s="0" t="s">
        <v>3725</v>
      </c>
      <c r="O40" s="0" t="s">
        <v>3726</v>
      </c>
      <c r="P40" s="0" t="s">
        <v>3487</v>
      </c>
      <c r="Q40" s="0" t="s">
        <v>152</v>
      </c>
      <c r="R40" s="0" t="b">
        <v>1</v>
      </c>
      <c r="S40" s="0" t="s">
        <v>3359</v>
      </c>
    </row>
    <row customHeight="1" ht="11.25">
      <c r="A41" s="0">
        <v>2655</v>
      </c>
      <c r="B41" s="0" t="s">
        <v>114</v>
      </c>
      <c r="C41" s="0">
        <v>28151808</v>
      </c>
      <c r="D41" s="0" t="s">
        <v>3727</v>
      </c>
      <c r="E41" s="0" t="s">
        <v>3728</v>
      </c>
      <c r="F41" s="0" t="s">
        <v>3729</v>
      </c>
      <c r="G41" s="0" t="s">
        <v>3440</v>
      </c>
      <c r="H41" s="0" t="s">
        <v>3730</v>
      </c>
      <c r="I41" s="0" t="s">
        <v>3731</v>
      </c>
      <c r="J41" s="0" t="s">
        <v>3649</v>
      </c>
      <c r="K41" s="0" t="s">
        <v>3732</v>
      </c>
      <c r="L41" s="0" t="s">
        <v>3733</v>
      </c>
      <c r="M41" s="0" t="s">
        <v>3734</v>
      </c>
      <c r="N41" s="0" t="s">
        <v>3735</v>
      </c>
      <c r="O41" s="0" t="s">
        <v>3736</v>
      </c>
      <c r="P41" s="0" t="s">
        <v>3437</v>
      </c>
      <c r="Q41" s="0" t="s">
        <v>152</v>
      </c>
      <c r="R41" s="0" t="b">
        <v>1</v>
      </c>
      <c r="S41" s="0" t="s">
        <v>3359</v>
      </c>
    </row>
    <row customHeight="1" ht="11.25">
      <c r="A42" s="0">
        <v>2655</v>
      </c>
      <c r="B42" s="0" t="s">
        <v>114</v>
      </c>
      <c r="C42" s="0">
        <v>31739633</v>
      </c>
      <c r="D42" s="0" t="s">
        <v>3737</v>
      </c>
      <c r="E42" s="0" t="s">
        <v>3738</v>
      </c>
      <c r="F42" s="0" t="s">
        <v>3739</v>
      </c>
      <c r="G42" s="0" t="s">
        <v>3740</v>
      </c>
      <c r="H42" s="0" t="s">
        <v>3741</v>
      </c>
      <c r="I42" s="0" t="s">
        <v>3742</v>
      </c>
      <c r="K42" s="0" t="s">
        <v>3743</v>
      </c>
      <c r="L42" s="0" t="s">
        <v>3743</v>
      </c>
      <c r="M42" s="0" t="s">
        <v>3744</v>
      </c>
      <c r="N42" s="0" t="s">
        <v>3745</v>
      </c>
      <c r="O42" s="0" t="s">
        <v>3746</v>
      </c>
      <c r="P42" s="0" t="s">
        <v>3456</v>
      </c>
      <c r="Q42" s="0" t="s">
        <v>152</v>
      </c>
      <c r="R42" s="0" t="b">
        <v>0</v>
      </c>
      <c r="S42" s="0" t="s">
        <v>3359</v>
      </c>
    </row>
    <row customHeight="1" ht="11.25">
      <c r="A43" s="0">
        <v>2655</v>
      </c>
      <c r="B43" s="0" t="s">
        <v>114</v>
      </c>
      <c r="C43" s="0">
        <v>31541617</v>
      </c>
      <c r="D43" s="0" t="s">
        <v>3747</v>
      </c>
      <c r="E43" s="0" t="s">
        <v>3748</v>
      </c>
      <c r="F43" s="0" t="s">
        <v>3749</v>
      </c>
      <c r="G43" s="0" t="s">
        <v>3750</v>
      </c>
      <c r="H43" s="0" t="s">
        <v>3751</v>
      </c>
      <c r="I43" s="0" t="s">
        <v>3752</v>
      </c>
      <c r="K43" s="0" t="s">
        <v>3753</v>
      </c>
      <c r="L43" s="0" t="s">
        <v>3753</v>
      </c>
      <c r="M43" s="0" t="s">
        <v>3754</v>
      </c>
      <c r="N43" s="0" t="s">
        <v>3755</v>
      </c>
      <c r="O43" s="0" t="s">
        <v>3756</v>
      </c>
      <c r="P43" s="0" t="s">
        <v>3456</v>
      </c>
      <c r="Q43" s="0" t="s">
        <v>152</v>
      </c>
      <c r="R43" s="0" t="b">
        <v>1</v>
      </c>
      <c r="S43" s="0" t="s">
        <v>3359</v>
      </c>
    </row>
    <row customHeight="1" ht="11.25">
      <c r="A44" s="0">
        <v>2655</v>
      </c>
      <c r="B44" s="0" t="s">
        <v>114</v>
      </c>
      <c r="C44" s="0">
        <v>26356987</v>
      </c>
      <c r="D44" s="0" t="s">
        <v>3757</v>
      </c>
      <c r="E44" s="0" t="s">
        <v>3758</v>
      </c>
      <c r="F44" s="0" t="s">
        <v>3759</v>
      </c>
      <c r="G44" s="0" t="s">
        <v>3760</v>
      </c>
      <c r="H44" s="0" t="s">
        <v>3761</v>
      </c>
      <c r="I44" s="0" t="s">
        <v>3762</v>
      </c>
      <c r="J44" s="0" t="s">
        <v>3649</v>
      </c>
      <c r="K44" s="0" t="s">
        <v>3763</v>
      </c>
      <c r="L44" s="0" t="s">
        <v>3763</v>
      </c>
      <c r="M44" s="0" t="s">
        <v>3764</v>
      </c>
      <c r="N44" s="0" t="s">
        <v>3765</v>
      </c>
      <c r="O44" s="0" t="s">
        <v>3766</v>
      </c>
      <c r="P44" s="0" t="s">
        <v>3456</v>
      </c>
      <c r="Q44" s="0" t="s">
        <v>3767</v>
      </c>
      <c r="R44" s="0" t="b">
        <v>0</v>
      </c>
      <c r="S44" s="0" t="s">
        <v>3359</v>
      </c>
    </row>
    <row customHeight="1" ht="11.25">
      <c r="A45" s="0">
        <v>2655</v>
      </c>
      <c r="B45" s="0" t="s">
        <v>114</v>
      </c>
      <c r="C45" s="0">
        <v>26356891</v>
      </c>
      <c r="D45" s="0" t="s">
        <v>3768</v>
      </c>
      <c r="E45" s="0" t="s">
        <v>3769</v>
      </c>
      <c r="F45" s="0" t="s">
        <v>3770</v>
      </c>
      <c r="G45" s="0" t="s">
        <v>3579</v>
      </c>
      <c r="H45" s="0" t="s">
        <v>3771</v>
      </c>
      <c r="I45" s="0" t="s">
        <v>3772</v>
      </c>
      <c r="J45" s="0" t="s">
        <v>3649</v>
      </c>
      <c r="K45" s="0" t="s">
        <v>3773</v>
      </c>
      <c r="L45" s="0" t="s">
        <v>3773</v>
      </c>
      <c r="M45" s="0" t="s">
        <v>3774</v>
      </c>
      <c r="N45" s="0" t="s">
        <v>3775</v>
      </c>
      <c r="O45" s="0" t="s">
        <v>3776</v>
      </c>
      <c r="P45" s="0" t="s">
        <v>3487</v>
      </c>
      <c r="Q45" s="0" t="s">
        <v>152</v>
      </c>
      <c r="R45" s="0" t="b">
        <v>0</v>
      </c>
      <c r="S45" s="0" t="s">
        <v>3359</v>
      </c>
    </row>
    <row customHeight="1" ht="11.25">
      <c r="A46" s="0">
        <v>2655</v>
      </c>
      <c r="B46" s="0" t="s">
        <v>114</v>
      </c>
      <c r="C46" s="0">
        <v>31241637</v>
      </c>
      <c r="D46" s="0" t="s">
        <v>3777</v>
      </c>
      <c r="E46" s="0" t="s">
        <v>3778</v>
      </c>
      <c r="F46" s="0" t="s">
        <v>3779</v>
      </c>
      <c r="G46" s="0" t="s">
        <v>3598</v>
      </c>
      <c r="H46" s="0" t="s">
        <v>3780</v>
      </c>
      <c r="I46" s="0" t="s">
        <v>3781</v>
      </c>
      <c r="J46" s="0" t="s">
        <v>3649</v>
      </c>
      <c r="K46" s="0" t="s">
        <v>3782</v>
      </c>
      <c r="L46" s="0" t="s">
        <v>3782</v>
      </c>
      <c r="M46" s="0" t="s">
        <v>3783</v>
      </c>
      <c r="N46" s="0" t="s">
        <v>152</v>
      </c>
      <c r="O46" s="0" t="s">
        <v>3784</v>
      </c>
      <c r="P46" s="0" t="s">
        <v>3456</v>
      </c>
      <c r="Q46" s="0" t="s">
        <v>152</v>
      </c>
      <c r="R46" s="0" t="b">
        <v>0</v>
      </c>
      <c r="S46" s="0" t="s">
        <v>3359</v>
      </c>
    </row>
    <row customHeight="1" ht="11.25">
      <c r="A47" s="0">
        <v>2655</v>
      </c>
      <c r="B47" s="0" t="s">
        <v>114</v>
      </c>
      <c r="C47" s="0">
        <v>26356937</v>
      </c>
      <c r="D47" s="0" t="s">
        <v>3785</v>
      </c>
      <c r="E47" s="0" t="s">
        <v>3786</v>
      </c>
      <c r="F47" s="0" t="s">
        <v>3787</v>
      </c>
      <c r="G47" s="0" t="s">
        <v>3656</v>
      </c>
      <c r="H47" s="0" t="s">
        <v>3788</v>
      </c>
      <c r="I47" s="0" t="s">
        <v>3789</v>
      </c>
      <c r="J47" s="0" t="s">
        <v>3649</v>
      </c>
      <c r="K47" s="0" t="s">
        <v>3790</v>
      </c>
      <c r="L47" s="0" t="s">
        <v>3790</v>
      </c>
      <c r="M47" s="0" t="s">
        <v>3791</v>
      </c>
      <c r="N47" s="0" t="s">
        <v>3792</v>
      </c>
      <c r="O47" s="0" t="s">
        <v>3793</v>
      </c>
      <c r="P47" s="0" t="s">
        <v>3456</v>
      </c>
      <c r="Q47" s="0" t="s">
        <v>3794</v>
      </c>
      <c r="R47" s="0" t="b">
        <v>0</v>
      </c>
      <c r="S47" s="0" t="s">
        <v>3359</v>
      </c>
    </row>
    <row customHeight="1" ht="11.25">
      <c r="A48" s="0">
        <v>2655</v>
      </c>
      <c r="B48" s="0" t="s">
        <v>114</v>
      </c>
      <c r="C48" s="0">
        <v>31770754</v>
      </c>
      <c r="D48" s="0" t="s">
        <v>3795</v>
      </c>
      <c r="E48" s="0" t="s">
        <v>3796</v>
      </c>
      <c r="F48" s="0" t="s">
        <v>3797</v>
      </c>
      <c r="G48" s="0" t="s">
        <v>3740</v>
      </c>
      <c r="H48" s="0" t="s">
        <v>3798</v>
      </c>
      <c r="I48" s="0" t="s">
        <v>3799</v>
      </c>
      <c r="K48" s="0" t="s">
        <v>3800</v>
      </c>
      <c r="L48" s="0" t="s">
        <v>3801</v>
      </c>
      <c r="M48" s="0" t="s">
        <v>3802</v>
      </c>
      <c r="N48" s="0" t="s">
        <v>3803</v>
      </c>
      <c r="O48" s="0" t="s">
        <v>3804</v>
      </c>
      <c r="P48" s="0" t="s">
        <v>3487</v>
      </c>
      <c r="Q48" s="0" t="s">
        <v>152</v>
      </c>
      <c r="R48" s="0" t="b">
        <v>1</v>
      </c>
      <c r="S48" s="0" t="s">
        <v>3359</v>
      </c>
    </row>
    <row customHeight="1" ht="11.25">
      <c r="A49" s="0">
        <v>2655</v>
      </c>
      <c r="B49" s="0" t="s">
        <v>114</v>
      </c>
      <c r="C49" s="0">
        <v>31528492</v>
      </c>
      <c r="D49" s="0" t="s">
        <v>3805</v>
      </c>
      <c r="E49" s="0" t="s">
        <v>3806</v>
      </c>
      <c r="F49" s="0" t="s">
        <v>3807</v>
      </c>
      <c r="G49" s="0" t="s">
        <v>3598</v>
      </c>
      <c r="H49" s="0" t="s">
        <v>3808</v>
      </c>
      <c r="I49" s="0" t="s">
        <v>3809</v>
      </c>
      <c r="K49" s="0" t="s">
        <v>3810</v>
      </c>
      <c r="L49" s="0" t="s">
        <v>3810</v>
      </c>
      <c r="M49" s="0" t="s">
        <v>3811</v>
      </c>
      <c r="N49" s="0" t="s">
        <v>3812</v>
      </c>
      <c r="O49" s="0" t="s">
        <v>3813</v>
      </c>
      <c r="P49" s="0" t="s">
        <v>3371</v>
      </c>
      <c r="Q49" s="0" t="s">
        <v>152</v>
      </c>
      <c r="R49" s="0" t="b">
        <v>0</v>
      </c>
      <c r="S49" s="0" t="s">
        <v>3359</v>
      </c>
    </row>
    <row customHeight="1" ht="11.25">
      <c r="A50" s="0">
        <v>2655</v>
      </c>
      <c r="B50" s="0" t="s">
        <v>114</v>
      </c>
      <c r="C50" s="0">
        <v>28270293</v>
      </c>
      <c r="D50" s="0" t="s">
        <v>3814</v>
      </c>
      <c r="E50" s="0" t="s">
        <v>3815</v>
      </c>
      <c r="F50" s="0" t="s">
        <v>3816</v>
      </c>
      <c r="G50" s="0" t="s">
        <v>3579</v>
      </c>
      <c r="H50" s="0" t="s">
        <v>3817</v>
      </c>
      <c r="I50" s="0" t="s">
        <v>3818</v>
      </c>
      <c r="J50" s="0" t="s">
        <v>3649</v>
      </c>
      <c r="K50" s="0" t="s">
        <v>3819</v>
      </c>
      <c r="L50" s="0" t="s">
        <v>3819</v>
      </c>
      <c r="M50" s="0" t="s">
        <v>3820</v>
      </c>
      <c r="N50" s="0" t="s">
        <v>3821</v>
      </c>
      <c r="O50" s="0" t="s">
        <v>3822</v>
      </c>
      <c r="P50" s="0" t="s">
        <v>3437</v>
      </c>
      <c r="Q50" s="0" t="s">
        <v>152</v>
      </c>
      <c r="R50" s="0" t="b">
        <v>0</v>
      </c>
      <c r="S50" s="0" t="s">
        <v>3359</v>
      </c>
    </row>
    <row customHeight="1" ht="11.25">
      <c r="A51" s="0">
        <v>2655</v>
      </c>
      <c r="B51" s="0" t="s">
        <v>114</v>
      </c>
      <c r="C51" s="0">
        <v>28873362</v>
      </c>
      <c r="D51" s="0" t="s">
        <v>3823</v>
      </c>
      <c r="E51" s="0" t="s">
        <v>3824</v>
      </c>
      <c r="F51" s="0" t="s">
        <v>3825</v>
      </c>
      <c r="G51" s="0" t="s">
        <v>3363</v>
      </c>
      <c r="H51" s="0" t="s">
        <v>3826</v>
      </c>
      <c r="I51" s="0" t="s">
        <v>3827</v>
      </c>
      <c r="J51" s="0" t="s">
        <v>3649</v>
      </c>
      <c r="K51" s="0" t="s">
        <v>3828</v>
      </c>
      <c r="L51" s="0" t="s">
        <v>3828</v>
      </c>
      <c r="M51" s="0" t="s">
        <v>3829</v>
      </c>
      <c r="N51" s="0" t="s">
        <v>3830</v>
      </c>
      <c r="O51" s="0" t="s">
        <v>3831</v>
      </c>
      <c r="P51" s="0" t="s">
        <v>3487</v>
      </c>
      <c r="Q51" s="0" t="s">
        <v>3832</v>
      </c>
      <c r="R51" s="0" t="b">
        <v>0</v>
      </c>
      <c r="S51" s="0" t="s">
        <v>3359</v>
      </c>
    </row>
    <row customHeight="1" ht="11.25">
      <c r="A52" s="0">
        <v>2655</v>
      </c>
      <c r="B52" s="0" t="s">
        <v>114</v>
      </c>
      <c r="C52" s="0">
        <v>28976681</v>
      </c>
      <c r="D52" s="0" t="s">
        <v>3833</v>
      </c>
      <c r="E52" s="0" t="s">
        <v>3834</v>
      </c>
      <c r="F52" s="0" t="s">
        <v>3835</v>
      </c>
      <c r="G52" s="0" t="s">
        <v>3579</v>
      </c>
      <c r="H52" s="0" t="s">
        <v>3836</v>
      </c>
      <c r="I52" s="0" t="s">
        <v>3837</v>
      </c>
      <c r="J52" s="0" t="s">
        <v>3649</v>
      </c>
      <c r="K52" s="0" t="s">
        <v>3838</v>
      </c>
      <c r="L52" s="0" t="s">
        <v>3838</v>
      </c>
      <c r="M52" s="0" t="s">
        <v>3839</v>
      </c>
      <c r="N52" s="0" t="s">
        <v>152</v>
      </c>
      <c r="O52" s="0" t="s">
        <v>3840</v>
      </c>
      <c r="P52" s="0" t="s">
        <v>3487</v>
      </c>
      <c r="Q52" s="0" t="s">
        <v>152</v>
      </c>
      <c r="R52" s="0" t="b">
        <v>1</v>
      </c>
      <c r="S52" s="0" t="s">
        <v>3359</v>
      </c>
    </row>
    <row customHeight="1" ht="11.25">
      <c r="A53" s="0">
        <v>2655</v>
      </c>
      <c r="B53" s="0" t="s">
        <v>114</v>
      </c>
      <c r="C53" s="0">
        <v>30992391</v>
      </c>
      <c r="D53" s="0" t="s">
        <v>3841</v>
      </c>
      <c r="E53" s="0" t="s">
        <v>3842</v>
      </c>
      <c r="F53" s="0" t="s">
        <v>3843</v>
      </c>
      <c r="G53" s="0" t="s">
        <v>3479</v>
      </c>
      <c r="H53" s="0" t="s">
        <v>3844</v>
      </c>
      <c r="I53" s="0" t="s">
        <v>3845</v>
      </c>
      <c r="J53" s="0" t="s">
        <v>3649</v>
      </c>
      <c r="K53" s="0" t="s">
        <v>3846</v>
      </c>
      <c r="L53" s="0" t="s">
        <v>3847</v>
      </c>
      <c r="M53" s="0" t="s">
        <v>3848</v>
      </c>
      <c r="N53" s="0" t="s">
        <v>3849</v>
      </c>
      <c r="O53" s="0" t="s">
        <v>3850</v>
      </c>
      <c r="P53" s="0" t="s">
        <v>3487</v>
      </c>
      <c r="Q53" s="0" t="s">
        <v>3851</v>
      </c>
      <c r="R53" s="0" t="b">
        <v>0</v>
      </c>
      <c r="S53" s="0" t="s">
        <v>3359</v>
      </c>
    </row>
    <row customHeight="1" ht="11.25">
      <c r="A54" s="0">
        <v>2655</v>
      </c>
      <c r="B54" s="0" t="s">
        <v>114</v>
      </c>
      <c r="C54" s="0">
        <v>30808511</v>
      </c>
      <c r="D54" s="0" t="s">
        <v>3852</v>
      </c>
      <c r="E54" s="0" t="s">
        <v>3852</v>
      </c>
      <c r="F54" s="0" t="s">
        <v>3853</v>
      </c>
      <c r="G54" s="0" t="s">
        <v>3854</v>
      </c>
      <c r="H54" s="0" t="s">
        <v>3855</v>
      </c>
      <c r="I54" s="0" t="s">
        <v>3856</v>
      </c>
      <c r="J54" s="0" t="s">
        <v>3857</v>
      </c>
      <c r="K54" s="0" t="s">
        <v>3858</v>
      </c>
      <c r="L54" s="0" t="s">
        <v>3859</v>
      </c>
      <c r="M54" s="0" t="s">
        <v>3860</v>
      </c>
      <c r="N54" s="0" t="s">
        <v>152</v>
      </c>
      <c r="O54" s="0" t="s">
        <v>3861</v>
      </c>
      <c r="P54" s="0" t="s">
        <v>3487</v>
      </c>
      <c r="Q54" s="0" t="s">
        <v>3862</v>
      </c>
      <c r="R54" s="0" t="b">
        <v>0</v>
      </c>
      <c r="S54" s="0" t="s">
        <v>3359</v>
      </c>
    </row>
    <row customHeight="1" ht="11.25">
      <c r="A55" s="0">
        <v>2655</v>
      </c>
      <c r="B55" s="0" t="s">
        <v>114</v>
      </c>
      <c r="C55" s="0">
        <v>26987067</v>
      </c>
      <c r="D55" s="0" t="s">
        <v>3863</v>
      </c>
      <c r="E55" s="0" t="s">
        <v>152</v>
      </c>
      <c r="F55" s="0" t="s">
        <v>3853</v>
      </c>
      <c r="G55" s="0" t="s">
        <v>3864</v>
      </c>
      <c r="H55" s="0" t="s">
        <v>3855</v>
      </c>
      <c r="I55" s="0" t="s">
        <v>152</v>
      </c>
      <c r="J55" s="0" t="s">
        <v>156</v>
      </c>
      <c r="K55" s="0" t="s">
        <v>3865</v>
      </c>
      <c r="L55" s="0" t="s">
        <v>3866</v>
      </c>
      <c r="M55" s="0" t="s">
        <v>152</v>
      </c>
      <c r="N55" s="0" t="s">
        <v>152</v>
      </c>
      <c r="O55" s="0" t="s">
        <v>152</v>
      </c>
      <c r="P55" s="0" t="s">
        <v>152</v>
      </c>
      <c r="Q55" s="0" t="s">
        <v>152</v>
      </c>
      <c r="R55" s="0" t="b">
        <v>0</v>
      </c>
      <c r="S55" s="0" t="s">
        <v>3359</v>
      </c>
    </row>
    <row customHeight="1" ht="11.25">
      <c r="A56" s="0">
        <v>2655</v>
      </c>
      <c r="B56" s="0" t="s">
        <v>114</v>
      </c>
      <c r="C56" s="0">
        <v>26520873</v>
      </c>
      <c r="D56" s="0" t="s">
        <v>3867</v>
      </c>
      <c r="E56" s="0" t="s">
        <v>3868</v>
      </c>
      <c r="F56" s="0" t="s">
        <v>3853</v>
      </c>
      <c r="G56" s="0" t="s">
        <v>3869</v>
      </c>
      <c r="H56" s="0" t="s">
        <v>3855</v>
      </c>
      <c r="I56" s="0" t="s">
        <v>3870</v>
      </c>
      <c r="J56" s="0" t="s">
        <v>3857</v>
      </c>
      <c r="K56" s="0" t="s">
        <v>3871</v>
      </c>
      <c r="L56" s="0" t="s">
        <v>3872</v>
      </c>
      <c r="M56" s="0" t="s">
        <v>3873</v>
      </c>
      <c r="N56" s="0" t="s">
        <v>3874</v>
      </c>
      <c r="O56" s="0" t="s">
        <v>3875</v>
      </c>
      <c r="P56" s="0" t="s">
        <v>3487</v>
      </c>
      <c r="Q56" s="0" t="s">
        <v>3876</v>
      </c>
      <c r="R56" s="0" t="b">
        <v>0</v>
      </c>
      <c r="S56" s="0" t="s">
        <v>3359</v>
      </c>
    </row>
    <row customHeight="1" ht="11.25">
      <c r="A57" s="0">
        <v>2655</v>
      </c>
      <c r="B57" s="0" t="s">
        <v>114</v>
      </c>
      <c r="C57" s="0">
        <v>30984255</v>
      </c>
      <c r="D57" s="0" t="s">
        <v>3877</v>
      </c>
      <c r="E57" s="0" t="s">
        <v>3878</v>
      </c>
      <c r="F57" s="0" t="s">
        <v>3879</v>
      </c>
      <c r="G57" s="0" t="s">
        <v>3440</v>
      </c>
      <c r="H57" s="0" t="s">
        <v>3880</v>
      </c>
      <c r="I57" s="0" t="s">
        <v>3881</v>
      </c>
      <c r="J57" s="0" t="s">
        <v>3882</v>
      </c>
      <c r="K57" s="0" t="s">
        <v>3883</v>
      </c>
      <c r="L57" s="0" t="s">
        <v>3883</v>
      </c>
      <c r="M57" s="0" t="s">
        <v>3884</v>
      </c>
      <c r="N57" s="0" t="s">
        <v>3885</v>
      </c>
      <c r="O57" s="0" t="s">
        <v>3886</v>
      </c>
      <c r="P57" s="0" t="s">
        <v>3887</v>
      </c>
      <c r="Q57" s="0" t="s">
        <v>152</v>
      </c>
      <c r="R57" s="0" t="b">
        <v>0</v>
      </c>
      <c r="S57" s="0" t="s">
        <v>3359</v>
      </c>
    </row>
    <row customHeight="1" ht="11.25">
      <c r="A58" s="0">
        <v>2655</v>
      </c>
      <c r="B58" s="0" t="s">
        <v>114</v>
      </c>
      <c r="C58" s="0">
        <v>28976938</v>
      </c>
      <c r="D58" s="0" t="s">
        <v>3345</v>
      </c>
      <c r="E58" s="0" t="s">
        <v>3346</v>
      </c>
      <c r="F58" s="0" t="s">
        <v>3347</v>
      </c>
      <c r="G58" s="0" t="s">
        <v>3348</v>
      </c>
      <c r="H58" s="0" t="s">
        <v>3349</v>
      </c>
      <c r="I58" s="0" t="s">
        <v>3350</v>
      </c>
      <c r="J58" s="0" t="s">
        <v>3351</v>
      </c>
      <c r="K58" s="0" t="s">
        <v>3352</v>
      </c>
      <c r="L58" s="0" t="s">
        <v>3353</v>
      </c>
      <c r="M58" s="0" t="s">
        <v>3354</v>
      </c>
      <c r="N58" s="0" t="s">
        <v>3355</v>
      </c>
      <c r="O58" s="0" t="s">
        <v>3356</v>
      </c>
      <c r="P58" s="0" t="s">
        <v>3357</v>
      </c>
      <c r="Q58" s="0" t="s">
        <v>3358</v>
      </c>
      <c r="R58" s="0" t="b">
        <v>0</v>
      </c>
      <c r="S58" s="0" t="s">
        <v>3888</v>
      </c>
    </row>
    <row customHeight="1" ht="11.25">
      <c r="A59" s="0">
        <v>2655</v>
      </c>
      <c r="B59" s="0" t="s">
        <v>114</v>
      </c>
      <c r="C59" s="0">
        <v>26356915</v>
      </c>
      <c r="D59" s="0" t="s">
        <v>3889</v>
      </c>
      <c r="E59" s="0" t="s">
        <v>3890</v>
      </c>
      <c r="F59" s="0" t="s">
        <v>3891</v>
      </c>
      <c r="G59" s="0" t="s">
        <v>3568</v>
      </c>
      <c r="H59" s="0" t="s">
        <v>3892</v>
      </c>
      <c r="I59" s="0" t="s">
        <v>3893</v>
      </c>
      <c r="J59" s="0" t="s">
        <v>3351</v>
      </c>
      <c r="K59" s="0" t="s">
        <v>3894</v>
      </c>
      <c r="L59" s="0" t="s">
        <v>3894</v>
      </c>
      <c r="M59" s="0" t="s">
        <v>3895</v>
      </c>
      <c r="N59" s="0" t="s">
        <v>3896</v>
      </c>
      <c r="O59" s="0" t="s">
        <v>3897</v>
      </c>
      <c r="P59" s="0" t="s">
        <v>3437</v>
      </c>
      <c r="Q59" s="0" t="s">
        <v>189</v>
      </c>
      <c r="R59" s="0" t="b">
        <v>0</v>
      </c>
      <c r="S59" s="0" t="s">
        <v>3888</v>
      </c>
    </row>
    <row customHeight="1" ht="11.25">
      <c r="A60" s="0">
        <v>2655</v>
      </c>
      <c r="B60" s="0" t="s">
        <v>114</v>
      </c>
      <c r="C60" s="0">
        <v>27857950</v>
      </c>
      <c r="D60" s="0" t="s">
        <v>3898</v>
      </c>
      <c r="E60" s="0" t="s">
        <v>3899</v>
      </c>
      <c r="F60" s="0" t="s">
        <v>3900</v>
      </c>
      <c r="G60" s="0" t="s">
        <v>3760</v>
      </c>
      <c r="H60" s="0" t="s">
        <v>3901</v>
      </c>
      <c r="I60" s="0" t="s">
        <v>152</v>
      </c>
      <c r="J60" s="0" t="s">
        <v>3351</v>
      </c>
      <c r="K60" s="0" t="s">
        <v>3902</v>
      </c>
      <c r="L60" s="0" t="s">
        <v>3902</v>
      </c>
      <c r="M60" s="0" t="s">
        <v>3903</v>
      </c>
      <c r="N60" s="0" t="s">
        <v>3904</v>
      </c>
      <c r="O60" s="0" t="s">
        <v>3905</v>
      </c>
      <c r="P60" s="0" t="s">
        <v>3456</v>
      </c>
      <c r="Q60" s="0" t="s">
        <v>152</v>
      </c>
      <c r="R60" s="0" t="b">
        <v>1</v>
      </c>
      <c r="S60" s="0" t="s">
        <v>3888</v>
      </c>
    </row>
    <row customHeight="1" ht="11.25">
      <c r="A61" s="0">
        <v>2655</v>
      </c>
      <c r="B61" s="0" t="s">
        <v>114</v>
      </c>
      <c r="C61" s="0">
        <v>26356963</v>
      </c>
      <c r="D61" s="0" t="s">
        <v>3383</v>
      </c>
      <c r="E61" s="0" t="s">
        <v>3384</v>
      </c>
      <c r="F61" s="0" t="s">
        <v>3385</v>
      </c>
      <c r="G61" s="0" t="s">
        <v>3386</v>
      </c>
      <c r="H61" s="0" t="s">
        <v>3387</v>
      </c>
      <c r="I61" s="0" t="s">
        <v>152</v>
      </c>
      <c r="J61" s="0" t="s">
        <v>3351</v>
      </c>
      <c r="K61" s="0" t="s">
        <v>3388</v>
      </c>
      <c r="L61" s="0" t="s">
        <v>3388</v>
      </c>
      <c r="M61" s="0" t="s">
        <v>3389</v>
      </c>
      <c r="N61" s="0" t="s">
        <v>3390</v>
      </c>
      <c r="O61" s="0" t="s">
        <v>3391</v>
      </c>
      <c r="P61" s="0" t="s">
        <v>3392</v>
      </c>
      <c r="Q61" s="0" t="s">
        <v>152</v>
      </c>
      <c r="R61" s="0" t="b">
        <v>0</v>
      </c>
      <c r="S61" s="0" t="s">
        <v>3888</v>
      </c>
    </row>
    <row customHeight="1" ht="11.25">
      <c r="A62" s="0">
        <v>2655</v>
      </c>
      <c r="B62" s="0" t="s">
        <v>114</v>
      </c>
      <c r="C62" s="0">
        <v>26322889</v>
      </c>
      <c r="D62" s="0" t="s">
        <v>3393</v>
      </c>
      <c r="E62" s="0" t="s">
        <v>3394</v>
      </c>
      <c r="F62" s="0" t="s">
        <v>3395</v>
      </c>
      <c r="G62" s="0" t="s">
        <v>3396</v>
      </c>
      <c r="H62" s="0" t="s">
        <v>3397</v>
      </c>
      <c r="I62" s="0" t="s">
        <v>3398</v>
      </c>
      <c r="J62" s="0" t="s">
        <v>3351</v>
      </c>
      <c r="K62" s="0" t="s">
        <v>3399</v>
      </c>
      <c r="L62" s="0" t="s">
        <v>3400</v>
      </c>
      <c r="M62" s="0" t="s">
        <v>3401</v>
      </c>
      <c r="N62" s="0" t="s">
        <v>3402</v>
      </c>
      <c r="O62" s="0" t="s">
        <v>3403</v>
      </c>
      <c r="P62" s="0" t="s">
        <v>3404</v>
      </c>
      <c r="Q62" s="0" t="s">
        <v>3405</v>
      </c>
      <c r="R62" s="0" t="b">
        <v>0</v>
      </c>
      <c r="S62" s="0" t="s">
        <v>3888</v>
      </c>
    </row>
    <row customHeight="1" ht="11.25">
      <c r="A63" s="0">
        <v>2655</v>
      </c>
      <c r="B63" s="0" t="s">
        <v>114</v>
      </c>
      <c r="C63" s="0">
        <v>31833446</v>
      </c>
      <c r="D63" s="0" t="s">
        <v>3906</v>
      </c>
      <c r="E63" s="0" t="s">
        <v>3907</v>
      </c>
      <c r="F63" s="0" t="s">
        <v>3908</v>
      </c>
      <c r="G63" s="0" t="s">
        <v>3363</v>
      </c>
      <c r="H63" s="0" t="s">
        <v>3909</v>
      </c>
      <c r="I63" s="0" t="s">
        <v>152</v>
      </c>
      <c r="K63" s="0" t="s">
        <v>152</v>
      </c>
      <c r="L63" s="0" t="s">
        <v>3910</v>
      </c>
      <c r="M63" s="0" t="s">
        <v>152</v>
      </c>
      <c r="N63" s="0" t="s">
        <v>152</v>
      </c>
      <c r="O63" s="0" t="s">
        <v>3911</v>
      </c>
      <c r="P63" s="0" t="s">
        <v>3371</v>
      </c>
      <c r="Q63" s="0" t="s">
        <v>152</v>
      </c>
      <c r="R63" s="0" t="b">
        <v>0</v>
      </c>
      <c r="S63" s="0" t="s">
        <v>3888</v>
      </c>
    </row>
    <row customHeight="1" ht="11.25">
      <c r="A64" s="0">
        <v>2655</v>
      </c>
      <c r="B64" s="0" t="s">
        <v>114</v>
      </c>
      <c r="C64" s="0">
        <v>27820148</v>
      </c>
      <c r="D64" s="0" t="s">
        <v>3912</v>
      </c>
      <c r="E64" s="0" t="s">
        <v>3913</v>
      </c>
      <c r="F64" s="0" t="s">
        <v>3914</v>
      </c>
      <c r="G64" s="0" t="s">
        <v>3656</v>
      </c>
      <c r="H64" s="0" t="s">
        <v>3915</v>
      </c>
      <c r="I64" s="0" t="s">
        <v>3916</v>
      </c>
      <c r="J64" s="0" t="s">
        <v>3351</v>
      </c>
      <c r="K64" s="0" t="s">
        <v>3917</v>
      </c>
      <c r="L64" s="0" t="s">
        <v>3917</v>
      </c>
      <c r="M64" s="0" t="s">
        <v>3918</v>
      </c>
      <c r="N64" s="0" t="s">
        <v>3919</v>
      </c>
      <c r="O64" s="0" t="s">
        <v>3920</v>
      </c>
      <c r="P64" s="0" t="s">
        <v>3921</v>
      </c>
      <c r="Q64" s="0" t="s">
        <v>3922</v>
      </c>
      <c r="R64" s="0" t="b">
        <v>0</v>
      </c>
      <c r="S64" s="0" t="s">
        <v>3888</v>
      </c>
    </row>
    <row customHeight="1" ht="11.25">
      <c r="A65" s="0">
        <v>2655</v>
      </c>
      <c r="B65" s="0" t="s">
        <v>114</v>
      </c>
      <c r="C65" s="0">
        <v>26322867</v>
      </c>
      <c r="D65" s="0" t="s">
        <v>3457</v>
      </c>
      <c r="E65" s="0" t="s">
        <v>3458</v>
      </c>
      <c r="F65" s="0" t="s">
        <v>3459</v>
      </c>
      <c r="G65" s="0" t="s">
        <v>3396</v>
      </c>
      <c r="H65" s="0" t="s">
        <v>3460</v>
      </c>
      <c r="I65" s="0" t="s">
        <v>3461</v>
      </c>
      <c r="J65" s="0" t="s">
        <v>3351</v>
      </c>
      <c r="K65" s="0" t="s">
        <v>3462</v>
      </c>
      <c r="L65" s="0" t="s">
        <v>3462</v>
      </c>
      <c r="M65" s="0" t="s">
        <v>3463</v>
      </c>
      <c r="N65" s="0" t="s">
        <v>3464</v>
      </c>
      <c r="O65" s="0" t="s">
        <v>3465</v>
      </c>
      <c r="P65" s="0" t="s">
        <v>3437</v>
      </c>
      <c r="Q65" s="0" t="s">
        <v>3466</v>
      </c>
      <c r="R65" s="0" t="b">
        <v>0</v>
      </c>
      <c r="S65" s="0" t="s">
        <v>3888</v>
      </c>
    </row>
    <row customHeight="1" ht="11.25">
      <c r="A66" s="0">
        <v>2655</v>
      </c>
      <c r="B66" s="0" t="s">
        <v>114</v>
      </c>
      <c r="C66" s="0">
        <v>26824396</v>
      </c>
      <c r="D66" s="0" t="s">
        <v>133</v>
      </c>
      <c r="E66" s="0" t="s">
        <v>136</v>
      </c>
      <c r="F66" s="0" t="s">
        <v>146</v>
      </c>
      <c r="G66" s="0" t="s">
        <v>149</v>
      </c>
      <c r="H66" s="0" t="s">
        <v>143</v>
      </c>
      <c r="I66" s="0" t="s">
        <v>152</v>
      </c>
      <c r="J66" s="0" t="s">
        <v>156</v>
      </c>
      <c r="K66" s="0" t="s">
        <v>160</v>
      </c>
      <c r="L66" s="0" t="s">
        <v>160</v>
      </c>
      <c r="M66" s="0" t="s">
        <v>3475</v>
      </c>
      <c r="N66" s="0" t="s">
        <v>152</v>
      </c>
      <c r="O66" s="0" t="s">
        <v>175</v>
      </c>
      <c r="P66" s="0" t="s">
        <v>179</v>
      </c>
      <c r="Q66" s="0" t="s">
        <v>152</v>
      </c>
      <c r="R66" s="0" t="b">
        <v>0</v>
      </c>
      <c r="S66" s="0" t="s">
        <v>3888</v>
      </c>
    </row>
    <row customHeight="1" ht="11.25">
      <c r="A67" s="0">
        <v>2655</v>
      </c>
      <c r="B67" s="0" t="s">
        <v>114</v>
      </c>
      <c r="C67" s="0">
        <v>30365193</v>
      </c>
      <c r="D67" s="0" t="s">
        <v>3923</v>
      </c>
      <c r="E67" s="0" t="s">
        <v>3924</v>
      </c>
      <c r="F67" s="0" t="s">
        <v>3925</v>
      </c>
      <c r="G67" s="0" t="s">
        <v>3363</v>
      </c>
      <c r="H67" s="0" t="s">
        <v>3926</v>
      </c>
      <c r="I67" s="0" t="s">
        <v>152</v>
      </c>
      <c r="J67" s="0" t="s">
        <v>3927</v>
      </c>
      <c r="K67" s="0" t="s">
        <v>3928</v>
      </c>
      <c r="L67" s="0" t="s">
        <v>3928</v>
      </c>
      <c r="M67" s="0" t="s">
        <v>152</v>
      </c>
      <c r="N67" s="0" t="s">
        <v>152</v>
      </c>
      <c r="O67" s="0" t="s">
        <v>3929</v>
      </c>
      <c r="P67" s="0" t="s">
        <v>3930</v>
      </c>
      <c r="Q67" s="0" t="s">
        <v>152</v>
      </c>
      <c r="R67" s="0" t="b">
        <v>0</v>
      </c>
      <c r="S67" s="0" t="s">
        <v>3888</v>
      </c>
    </row>
    <row customHeight="1" ht="11.25">
      <c r="A68" s="0">
        <v>2655</v>
      </c>
      <c r="B68" s="0" t="s">
        <v>114</v>
      </c>
      <c r="C68" s="0">
        <v>31232672</v>
      </c>
      <c r="D68" s="0" t="s">
        <v>3476</v>
      </c>
      <c r="E68" s="0" t="s">
        <v>3477</v>
      </c>
      <c r="F68" s="0" t="s">
        <v>3478</v>
      </c>
      <c r="G68" s="0" t="s">
        <v>3479</v>
      </c>
      <c r="H68" s="0" t="s">
        <v>3480</v>
      </c>
      <c r="I68" s="0" t="s">
        <v>3481</v>
      </c>
      <c r="J68" s="0" t="s">
        <v>3482</v>
      </c>
      <c r="K68" s="0" t="s">
        <v>3483</v>
      </c>
      <c r="L68" s="0" t="s">
        <v>3483</v>
      </c>
      <c r="M68" s="0" t="s">
        <v>3484</v>
      </c>
      <c r="N68" s="0" t="s">
        <v>3485</v>
      </c>
      <c r="O68" s="0" t="s">
        <v>3486</v>
      </c>
      <c r="P68" s="0" t="s">
        <v>3487</v>
      </c>
      <c r="Q68" s="0" t="s">
        <v>152</v>
      </c>
      <c r="R68" s="0" t="b">
        <v>0</v>
      </c>
      <c r="S68" s="0" t="s">
        <v>3888</v>
      </c>
    </row>
    <row customHeight="1" ht="11.25">
      <c r="A69" s="0">
        <v>2655</v>
      </c>
      <c r="B69" s="0" t="s">
        <v>114</v>
      </c>
      <c r="C69" s="0">
        <v>27978231</v>
      </c>
      <c r="D69" s="0" t="s">
        <v>3931</v>
      </c>
      <c r="E69" s="0" t="s">
        <v>3932</v>
      </c>
      <c r="F69" s="0" t="s">
        <v>3933</v>
      </c>
      <c r="G69" s="0" t="s">
        <v>3550</v>
      </c>
      <c r="H69" s="0" t="s">
        <v>3934</v>
      </c>
      <c r="I69" s="0" t="s">
        <v>3935</v>
      </c>
      <c r="J69" s="0" t="s">
        <v>3482</v>
      </c>
      <c r="K69" s="0" t="s">
        <v>3936</v>
      </c>
      <c r="L69" s="0" t="s">
        <v>3937</v>
      </c>
      <c r="M69" s="0" t="s">
        <v>3938</v>
      </c>
      <c r="N69" s="0" t="s">
        <v>152</v>
      </c>
      <c r="O69" s="0" t="s">
        <v>3939</v>
      </c>
      <c r="P69" s="0" t="s">
        <v>3487</v>
      </c>
      <c r="Q69" s="0" t="s">
        <v>152</v>
      </c>
      <c r="R69" s="0" t="b">
        <v>0</v>
      </c>
      <c r="S69" s="0" t="s">
        <v>3888</v>
      </c>
    </row>
    <row customHeight="1" ht="11.25">
      <c r="A70" s="0">
        <v>2655</v>
      </c>
      <c r="B70" s="0" t="s">
        <v>114</v>
      </c>
      <c r="C70" s="0">
        <v>30808700</v>
      </c>
      <c r="D70" s="0" t="s">
        <v>3499</v>
      </c>
      <c r="E70" s="0" t="s">
        <v>3500</v>
      </c>
      <c r="F70" s="0" t="s">
        <v>3501</v>
      </c>
      <c r="G70" s="0" t="s">
        <v>3440</v>
      </c>
      <c r="H70" s="0" t="s">
        <v>3502</v>
      </c>
      <c r="I70" s="0" t="s">
        <v>3503</v>
      </c>
      <c r="J70" s="0" t="s">
        <v>3494</v>
      </c>
      <c r="K70" s="0" t="s">
        <v>3504</v>
      </c>
      <c r="L70" s="0" t="s">
        <v>3505</v>
      </c>
      <c r="M70" s="0" t="s">
        <v>3506</v>
      </c>
      <c r="N70" s="0" t="s">
        <v>3507</v>
      </c>
      <c r="O70" s="0" t="s">
        <v>3508</v>
      </c>
      <c r="P70" s="0" t="s">
        <v>3456</v>
      </c>
      <c r="Q70" s="0" t="s">
        <v>152</v>
      </c>
      <c r="R70" s="0" t="b">
        <v>1</v>
      </c>
      <c r="S70" s="0" t="s">
        <v>3888</v>
      </c>
    </row>
    <row customHeight="1" ht="11.25">
      <c r="A71" s="0">
        <v>2655</v>
      </c>
      <c r="B71" s="0" t="s">
        <v>114</v>
      </c>
      <c r="C71" s="0">
        <v>31319221</v>
      </c>
      <c r="D71" s="0" t="s">
        <v>3509</v>
      </c>
      <c r="E71" s="0" t="s">
        <v>3510</v>
      </c>
      <c r="F71" s="0" t="s">
        <v>3511</v>
      </c>
      <c r="G71" s="0" t="s">
        <v>3491</v>
      </c>
      <c r="H71" s="0" t="s">
        <v>3512</v>
      </c>
      <c r="I71" s="0" t="s">
        <v>3513</v>
      </c>
      <c r="J71" s="0" t="s">
        <v>3482</v>
      </c>
      <c r="K71" s="0" t="s">
        <v>3514</v>
      </c>
      <c r="L71" s="0" t="s">
        <v>3515</v>
      </c>
      <c r="M71" s="0" t="s">
        <v>3516</v>
      </c>
      <c r="N71" s="0" t="s">
        <v>3517</v>
      </c>
      <c r="O71" s="0" t="s">
        <v>3518</v>
      </c>
      <c r="P71" s="0" t="s">
        <v>3487</v>
      </c>
      <c r="Q71" s="0" t="s">
        <v>152</v>
      </c>
      <c r="R71" s="0" t="b">
        <v>0</v>
      </c>
      <c r="S71" s="0" t="s">
        <v>3888</v>
      </c>
    </row>
    <row customHeight="1" ht="11.25">
      <c r="A72" s="0">
        <v>2655</v>
      </c>
      <c r="B72" s="0" t="s">
        <v>114</v>
      </c>
      <c r="C72" s="0">
        <v>31419990</v>
      </c>
      <c r="D72" s="0" t="s">
        <v>3519</v>
      </c>
      <c r="E72" s="0" t="s">
        <v>3520</v>
      </c>
      <c r="F72" s="0" t="s">
        <v>3521</v>
      </c>
      <c r="G72" s="0" t="s">
        <v>3522</v>
      </c>
      <c r="H72" s="0" t="s">
        <v>3523</v>
      </c>
      <c r="I72" s="0" t="s">
        <v>3524</v>
      </c>
      <c r="J72" s="0" t="s">
        <v>3482</v>
      </c>
      <c r="K72" s="0" t="s">
        <v>3525</v>
      </c>
      <c r="L72" s="0" t="s">
        <v>3525</v>
      </c>
      <c r="M72" s="0" t="s">
        <v>3526</v>
      </c>
      <c r="N72" s="0" t="s">
        <v>3527</v>
      </c>
      <c r="O72" s="0" t="s">
        <v>3528</v>
      </c>
      <c r="P72" s="0" t="s">
        <v>3487</v>
      </c>
      <c r="Q72" s="0" t="s">
        <v>3529</v>
      </c>
      <c r="R72" s="0" t="b">
        <v>0</v>
      </c>
      <c r="S72" s="0" t="s">
        <v>3888</v>
      </c>
    </row>
    <row customHeight="1" ht="11.25">
      <c r="A73" s="0">
        <v>2655</v>
      </c>
      <c r="B73" s="0" t="s">
        <v>114</v>
      </c>
      <c r="C73" s="0">
        <v>31343443</v>
      </c>
      <c r="D73" s="0" t="s">
        <v>3530</v>
      </c>
      <c r="E73" s="0" t="s">
        <v>3531</v>
      </c>
      <c r="F73" s="0" t="s">
        <v>3532</v>
      </c>
      <c r="G73" s="0" t="s">
        <v>3440</v>
      </c>
      <c r="H73" s="0" t="s">
        <v>3533</v>
      </c>
      <c r="I73" s="0" t="s">
        <v>3534</v>
      </c>
      <c r="J73" s="0" t="s">
        <v>3482</v>
      </c>
      <c r="K73" s="0" t="s">
        <v>3535</v>
      </c>
      <c r="L73" s="0" t="s">
        <v>3535</v>
      </c>
      <c r="N73" s="0" t="s">
        <v>3536</v>
      </c>
      <c r="O73" s="0" t="s">
        <v>3537</v>
      </c>
      <c r="P73" s="0" t="s">
        <v>3456</v>
      </c>
      <c r="R73" s="0" t="b">
        <v>0</v>
      </c>
      <c r="S73" s="0" t="s">
        <v>3888</v>
      </c>
    </row>
    <row customHeight="1" ht="11.25">
      <c r="A74" s="0">
        <v>2655</v>
      </c>
      <c r="B74" s="0" t="s">
        <v>114</v>
      </c>
      <c r="C74" s="0">
        <v>31367841</v>
      </c>
      <c r="D74" s="0" t="s">
        <v>3538</v>
      </c>
      <c r="E74" s="0" t="s">
        <v>3539</v>
      </c>
      <c r="F74" s="0" t="s">
        <v>3540</v>
      </c>
      <c r="G74" s="0" t="s">
        <v>3541</v>
      </c>
      <c r="H74" s="0" t="s">
        <v>3542</v>
      </c>
      <c r="I74" s="0" t="s">
        <v>3543</v>
      </c>
      <c r="J74" s="0" t="s">
        <v>3494</v>
      </c>
      <c r="K74" s="0" t="s">
        <v>3544</v>
      </c>
      <c r="L74" s="0" t="s">
        <v>3544</v>
      </c>
      <c r="M74" s="0" t="s">
        <v>152</v>
      </c>
      <c r="N74" s="0" t="s">
        <v>3545</v>
      </c>
      <c r="O74" s="0" t="s">
        <v>3546</v>
      </c>
      <c r="P74" s="0" t="s">
        <v>3487</v>
      </c>
      <c r="Q74" s="0" t="s">
        <v>152</v>
      </c>
      <c r="R74" s="0" t="b">
        <v>0</v>
      </c>
      <c r="S74" s="0" t="s">
        <v>3888</v>
      </c>
    </row>
    <row customHeight="1" ht="11.25">
      <c r="A75" s="0">
        <v>2655</v>
      </c>
      <c r="B75" s="0" t="s">
        <v>114</v>
      </c>
      <c r="C75" s="0">
        <v>31087651</v>
      </c>
      <c r="D75" s="0" t="s">
        <v>3547</v>
      </c>
      <c r="E75" s="0" t="s">
        <v>3548</v>
      </c>
      <c r="F75" s="0" t="s">
        <v>3549</v>
      </c>
      <c r="G75" s="0" t="s">
        <v>3550</v>
      </c>
      <c r="H75" s="0" t="s">
        <v>3551</v>
      </c>
      <c r="I75" s="0" t="s">
        <v>3552</v>
      </c>
      <c r="J75" s="0" t="s">
        <v>3482</v>
      </c>
      <c r="K75" s="0" t="s">
        <v>3553</v>
      </c>
      <c r="L75" s="0" t="s">
        <v>3553</v>
      </c>
      <c r="M75" s="0" t="s">
        <v>3554</v>
      </c>
      <c r="N75" s="0" t="s">
        <v>3555</v>
      </c>
      <c r="O75" s="0" t="s">
        <v>3556</v>
      </c>
      <c r="R75" s="0" t="b">
        <v>0</v>
      </c>
      <c r="S75" s="0" t="s">
        <v>3888</v>
      </c>
    </row>
    <row customHeight="1" ht="11.25">
      <c r="A76" s="0">
        <v>2655</v>
      </c>
      <c r="B76" s="0" t="s">
        <v>114</v>
      </c>
      <c r="C76" s="0">
        <v>31367862</v>
      </c>
      <c r="D76" s="0" t="s">
        <v>3557</v>
      </c>
      <c r="E76" s="0" t="s">
        <v>3558</v>
      </c>
      <c r="F76" s="0" t="s">
        <v>3559</v>
      </c>
      <c r="G76" s="0" t="s">
        <v>3541</v>
      </c>
      <c r="H76" s="0" t="s">
        <v>3560</v>
      </c>
      <c r="I76" s="0" t="s">
        <v>3561</v>
      </c>
      <c r="J76" s="0" t="s">
        <v>3482</v>
      </c>
      <c r="K76" s="0" t="s">
        <v>3562</v>
      </c>
      <c r="L76" s="0" t="s">
        <v>3562</v>
      </c>
      <c r="M76" s="0" t="s">
        <v>152</v>
      </c>
      <c r="N76" s="0" t="s">
        <v>3563</v>
      </c>
      <c r="O76" s="0" t="s">
        <v>3564</v>
      </c>
      <c r="P76" s="0" t="s">
        <v>3487</v>
      </c>
      <c r="Q76" s="0" t="s">
        <v>152</v>
      </c>
      <c r="R76" s="0" t="b">
        <v>0</v>
      </c>
      <c r="S76" s="0" t="s">
        <v>3888</v>
      </c>
    </row>
    <row customHeight="1" ht="11.25">
      <c r="A77" s="0">
        <v>2655</v>
      </c>
      <c r="B77" s="0" t="s">
        <v>114</v>
      </c>
      <c r="C77" s="0">
        <v>31329806</v>
      </c>
      <c r="D77" s="0" t="s">
        <v>3940</v>
      </c>
      <c r="E77" s="0" t="s">
        <v>3941</v>
      </c>
      <c r="F77" s="0" t="s">
        <v>3942</v>
      </c>
      <c r="G77" s="0" t="s">
        <v>3386</v>
      </c>
      <c r="H77" s="0" t="s">
        <v>3943</v>
      </c>
      <c r="I77" s="0" t="s">
        <v>3944</v>
      </c>
      <c r="J77" s="0" t="s">
        <v>3494</v>
      </c>
      <c r="K77" s="0" t="s">
        <v>3945</v>
      </c>
      <c r="L77" s="0" t="s">
        <v>3945</v>
      </c>
      <c r="M77" s="0" t="s">
        <v>3946</v>
      </c>
      <c r="N77" s="0" t="s">
        <v>3947</v>
      </c>
      <c r="O77" s="0" t="s">
        <v>3948</v>
      </c>
      <c r="P77" s="0" t="s">
        <v>3487</v>
      </c>
      <c r="Q77" s="0" t="s">
        <v>152</v>
      </c>
      <c r="R77" s="0" t="b">
        <v>0</v>
      </c>
      <c r="S77" s="0" t="s">
        <v>3888</v>
      </c>
    </row>
    <row customHeight="1" ht="11.25">
      <c r="A78" s="0">
        <v>2655</v>
      </c>
      <c r="B78" s="0" t="s">
        <v>114</v>
      </c>
      <c r="C78" s="0">
        <v>31003143</v>
      </c>
      <c r="D78" s="0" t="s">
        <v>3585</v>
      </c>
      <c r="E78" s="0" t="s">
        <v>3586</v>
      </c>
      <c r="F78" s="0" t="s">
        <v>3587</v>
      </c>
      <c r="G78" s="0" t="s">
        <v>3579</v>
      </c>
      <c r="H78" s="0" t="s">
        <v>3588</v>
      </c>
      <c r="I78" s="0" t="s">
        <v>3589</v>
      </c>
      <c r="J78" s="0" t="s">
        <v>3494</v>
      </c>
      <c r="K78" s="0" t="s">
        <v>3590</v>
      </c>
      <c r="L78" s="0" t="s">
        <v>3591</v>
      </c>
      <c r="M78" s="0" t="s">
        <v>3592</v>
      </c>
      <c r="N78" s="0" t="s">
        <v>3593</v>
      </c>
      <c r="O78" s="0" t="s">
        <v>3594</v>
      </c>
      <c r="P78" s="0" t="s">
        <v>3487</v>
      </c>
      <c r="Q78" s="0" t="s">
        <v>152</v>
      </c>
      <c r="R78" s="0" t="b">
        <v>1</v>
      </c>
      <c r="S78" s="0" t="s">
        <v>3888</v>
      </c>
    </row>
    <row customHeight="1" ht="11.25">
      <c r="A79" s="0">
        <v>2655</v>
      </c>
      <c r="B79" s="0" t="s">
        <v>114</v>
      </c>
      <c r="C79" s="0">
        <v>31308226</v>
      </c>
      <c r="D79" s="0" t="s">
        <v>3595</v>
      </c>
      <c r="E79" s="0" t="s">
        <v>3596</v>
      </c>
      <c r="F79" s="0" t="s">
        <v>3597</v>
      </c>
      <c r="G79" s="0" t="s">
        <v>3598</v>
      </c>
      <c r="H79" s="0" t="s">
        <v>3599</v>
      </c>
      <c r="I79" s="0" t="s">
        <v>3600</v>
      </c>
      <c r="J79" s="0" t="s">
        <v>3494</v>
      </c>
      <c r="K79" s="0" t="s">
        <v>3601</v>
      </c>
      <c r="L79" s="0" t="s">
        <v>3601</v>
      </c>
      <c r="M79" s="0" t="s">
        <v>3602</v>
      </c>
      <c r="N79" s="0" t="s">
        <v>3603</v>
      </c>
      <c r="O79" s="0" t="s">
        <v>3604</v>
      </c>
      <c r="P79" s="0" t="s">
        <v>3456</v>
      </c>
      <c r="Q79" s="0" t="s">
        <v>152</v>
      </c>
      <c r="R79" s="0" t="b">
        <v>1</v>
      </c>
      <c r="S79" s="0" t="s">
        <v>3888</v>
      </c>
    </row>
    <row customHeight="1" ht="11.25">
      <c r="A80" s="0">
        <v>2655</v>
      </c>
      <c r="B80" s="0" t="s">
        <v>114</v>
      </c>
      <c r="C80" s="0">
        <v>31284269</v>
      </c>
      <c r="D80" s="0" t="s">
        <v>3605</v>
      </c>
      <c r="E80" s="0" t="s">
        <v>3606</v>
      </c>
      <c r="F80" s="0" t="s">
        <v>3607</v>
      </c>
      <c r="G80" s="0" t="s">
        <v>3550</v>
      </c>
      <c r="H80" s="0" t="s">
        <v>3608</v>
      </c>
      <c r="I80" s="0" t="s">
        <v>3609</v>
      </c>
      <c r="J80" s="0" t="s">
        <v>3494</v>
      </c>
      <c r="K80" s="0" t="s">
        <v>3610</v>
      </c>
      <c r="L80" s="0" t="s">
        <v>3611</v>
      </c>
      <c r="M80" s="0" t="s">
        <v>3612</v>
      </c>
      <c r="N80" s="0" t="s">
        <v>3613</v>
      </c>
      <c r="O80" s="0" t="s">
        <v>3614</v>
      </c>
      <c r="P80" s="0" t="s">
        <v>152</v>
      </c>
      <c r="Q80" s="0" t="s">
        <v>152</v>
      </c>
      <c r="R80" s="0" t="b">
        <v>0</v>
      </c>
      <c r="S80" s="0" t="s">
        <v>3888</v>
      </c>
    </row>
    <row customHeight="1" ht="11.25">
      <c r="A81" s="0">
        <v>2655</v>
      </c>
      <c r="B81" s="0" t="s">
        <v>114</v>
      </c>
      <c r="C81" s="0">
        <v>31241680</v>
      </c>
      <c r="D81" s="0" t="s">
        <v>3615</v>
      </c>
      <c r="E81" s="0" t="s">
        <v>3616</v>
      </c>
      <c r="F81" s="0" t="s">
        <v>3617</v>
      </c>
      <c r="G81" s="0" t="s">
        <v>3522</v>
      </c>
      <c r="H81" s="0" t="s">
        <v>3618</v>
      </c>
      <c r="I81" s="0" t="s">
        <v>3619</v>
      </c>
      <c r="J81" s="0" t="s">
        <v>3494</v>
      </c>
      <c r="K81" s="0" t="s">
        <v>3620</v>
      </c>
      <c r="L81" s="0" t="s">
        <v>3620</v>
      </c>
      <c r="M81" s="0" t="s">
        <v>3621</v>
      </c>
      <c r="N81" s="0" t="s">
        <v>3622</v>
      </c>
      <c r="O81" s="0" t="s">
        <v>3623</v>
      </c>
      <c r="P81" s="0" t="s">
        <v>3456</v>
      </c>
      <c r="Q81" s="0" t="s">
        <v>3624</v>
      </c>
      <c r="R81" s="0" t="b">
        <v>0</v>
      </c>
      <c r="S81" s="0" t="s">
        <v>3888</v>
      </c>
    </row>
    <row customHeight="1" ht="11.25">
      <c r="A82" s="0">
        <v>2655</v>
      </c>
      <c r="B82" s="0" t="s">
        <v>114</v>
      </c>
      <c r="C82" s="0">
        <v>31579664</v>
      </c>
      <c r="D82" s="0" t="s">
        <v>3625</v>
      </c>
      <c r="E82" s="0" t="s">
        <v>3626</v>
      </c>
      <c r="F82" s="0" t="s">
        <v>3627</v>
      </c>
      <c r="G82" s="0" t="s">
        <v>3440</v>
      </c>
      <c r="H82" s="0" t="s">
        <v>3628</v>
      </c>
      <c r="I82" s="0" t="s">
        <v>3629</v>
      </c>
      <c r="K82" s="0" t="s">
        <v>3630</v>
      </c>
      <c r="L82" s="0" t="s">
        <v>3631</v>
      </c>
      <c r="M82" s="0" t="s">
        <v>3632</v>
      </c>
      <c r="N82" s="0" t="s">
        <v>152</v>
      </c>
      <c r="O82" s="0" t="s">
        <v>3633</v>
      </c>
      <c r="P82" s="0" t="s">
        <v>3487</v>
      </c>
      <c r="Q82" s="0" t="s">
        <v>3634</v>
      </c>
      <c r="R82" s="0" t="b">
        <v>1</v>
      </c>
      <c r="S82" s="0" t="s">
        <v>3888</v>
      </c>
    </row>
    <row customHeight="1" ht="11.25">
      <c r="A83" s="0">
        <v>2655</v>
      </c>
      <c r="B83" s="0" t="s">
        <v>114</v>
      </c>
      <c r="C83" s="0">
        <v>26322895</v>
      </c>
      <c r="D83" s="0" t="s">
        <v>3635</v>
      </c>
      <c r="E83" s="0" t="s">
        <v>3636</v>
      </c>
      <c r="F83" s="0" t="s">
        <v>3637</v>
      </c>
      <c r="G83" s="0" t="s">
        <v>3363</v>
      </c>
      <c r="H83" s="0" t="s">
        <v>3638</v>
      </c>
      <c r="I83" s="0" t="s">
        <v>3639</v>
      </c>
      <c r="J83" s="0" t="s">
        <v>156</v>
      </c>
      <c r="K83" s="0" t="s">
        <v>3640</v>
      </c>
      <c r="L83" s="0" t="s">
        <v>3640</v>
      </c>
      <c r="M83" s="0" t="s">
        <v>3641</v>
      </c>
      <c r="N83" s="0" t="s">
        <v>3642</v>
      </c>
      <c r="O83" s="0" t="s">
        <v>3643</v>
      </c>
      <c r="P83" s="0" t="s">
        <v>3437</v>
      </c>
      <c r="Q83" s="0" t="s">
        <v>3644</v>
      </c>
      <c r="R83" s="0" t="b">
        <v>0</v>
      </c>
      <c r="S83" s="0" t="s">
        <v>3888</v>
      </c>
    </row>
    <row customHeight="1" ht="11.25">
      <c r="A84" s="0">
        <v>2655</v>
      </c>
      <c r="B84" s="0" t="s">
        <v>114</v>
      </c>
      <c r="C84" s="0">
        <v>27784286</v>
      </c>
      <c r="D84" s="0" t="s">
        <v>3949</v>
      </c>
      <c r="E84" s="0" t="s">
        <v>3950</v>
      </c>
      <c r="F84" s="0" t="s">
        <v>3951</v>
      </c>
      <c r="G84" s="0" t="s">
        <v>3598</v>
      </c>
      <c r="H84" s="0" t="s">
        <v>3952</v>
      </c>
      <c r="I84" s="0" t="s">
        <v>3953</v>
      </c>
      <c r="K84" s="0" t="s">
        <v>3954</v>
      </c>
      <c r="L84" s="0" t="s">
        <v>3954</v>
      </c>
      <c r="M84" s="0" t="s">
        <v>3955</v>
      </c>
      <c r="N84" s="0" t="s">
        <v>3956</v>
      </c>
      <c r="O84" s="0" t="s">
        <v>3957</v>
      </c>
      <c r="P84" s="0" t="s">
        <v>3437</v>
      </c>
      <c r="Q84" s="0" t="s">
        <v>3958</v>
      </c>
      <c r="R84" s="0" t="b">
        <v>0</v>
      </c>
      <c r="S84" s="0" t="s">
        <v>3888</v>
      </c>
    </row>
    <row customHeight="1" ht="11.25">
      <c r="A85" s="0">
        <v>2655</v>
      </c>
      <c r="B85" s="0" t="s">
        <v>114</v>
      </c>
      <c r="C85" s="0">
        <v>26428076</v>
      </c>
      <c r="D85" s="0" t="s">
        <v>3959</v>
      </c>
      <c r="E85" s="0" t="s">
        <v>3960</v>
      </c>
      <c r="F85" s="0" t="s">
        <v>3961</v>
      </c>
      <c r="G85" s="0" t="s">
        <v>3579</v>
      </c>
      <c r="H85" s="0" t="s">
        <v>3962</v>
      </c>
      <c r="I85" s="0" t="s">
        <v>152</v>
      </c>
      <c r="K85" s="0" t="s">
        <v>3963</v>
      </c>
      <c r="L85" s="0" t="s">
        <v>3963</v>
      </c>
      <c r="M85" s="0" t="s">
        <v>3964</v>
      </c>
      <c r="N85" s="0" t="s">
        <v>3965</v>
      </c>
      <c r="O85" s="0" t="s">
        <v>152</v>
      </c>
      <c r="P85" s="0" t="s">
        <v>152</v>
      </c>
      <c r="Q85" s="0" t="s">
        <v>152</v>
      </c>
      <c r="R85" s="0" t="b">
        <v>0</v>
      </c>
      <c r="S85" s="0" t="s">
        <v>3888</v>
      </c>
    </row>
    <row customHeight="1" ht="11.25">
      <c r="A86" s="0">
        <v>2655</v>
      </c>
      <c r="B86" s="0" t="s">
        <v>114</v>
      </c>
      <c r="C86" s="0">
        <v>28954370</v>
      </c>
      <c r="D86" s="0" t="s">
        <v>3966</v>
      </c>
      <c r="E86" s="0" t="s">
        <v>3967</v>
      </c>
      <c r="F86" s="0" t="s">
        <v>3968</v>
      </c>
      <c r="G86" s="0" t="s">
        <v>3579</v>
      </c>
      <c r="H86" s="0" t="s">
        <v>3969</v>
      </c>
      <c r="I86" s="0" t="s">
        <v>3970</v>
      </c>
      <c r="J86" s="0" t="s">
        <v>3649</v>
      </c>
      <c r="K86" s="0" t="s">
        <v>3971</v>
      </c>
      <c r="L86" s="0" t="s">
        <v>3971</v>
      </c>
      <c r="M86" s="0" t="s">
        <v>3972</v>
      </c>
      <c r="N86" s="0" t="s">
        <v>3973</v>
      </c>
      <c r="O86" s="0" t="s">
        <v>3974</v>
      </c>
      <c r="P86" s="0" t="s">
        <v>3487</v>
      </c>
      <c r="Q86" s="0" t="s">
        <v>152</v>
      </c>
      <c r="R86" s="0" t="b">
        <v>1</v>
      </c>
      <c r="S86" s="0" t="s">
        <v>3888</v>
      </c>
    </row>
    <row customHeight="1" ht="11.25">
      <c r="A87" s="0">
        <v>2655</v>
      </c>
      <c r="B87" s="0" t="s">
        <v>114</v>
      </c>
      <c r="C87" s="0">
        <v>31774016</v>
      </c>
      <c r="D87" s="0" t="s">
        <v>3975</v>
      </c>
      <c r="E87" s="0" t="s">
        <v>3976</v>
      </c>
      <c r="F87" s="0" t="s">
        <v>3977</v>
      </c>
      <c r="G87" s="0" t="s">
        <v>3598</v>
      </c>
      <c r="H87" s="0" t="s">
        <v>3978</v>
      </c>
      <c r="I87" s="0" t="s">
        <v>3979</v>
      </c>
      <c r="K87" s="0" t="s">
        <v>3980</v>
      </c>
      <c r="L87" s="0" t="s">
        <v>3981</v>
      </c>
      <c r="M87" s="0" t="s">
        <v>3982</v>
      </c>
      <c r="N87" s="0" t="s">
        <v>3983</v>
      </c>
      <c r="O87" s="0" t="s">
        <v>3984</v>
      </c>
      <c r="P87" s="0" t="s">
        <v>3371</v>
      </c>
      <c r="Q87" s="0" t="s">
        <v>152</v>
      </c>
      <c r="R87" s="0" t="b">
        <v>1</v>
      </c>
      <c r="S87" s="0" t="s">
        <v>3888</v>
      </c>
    </row>
    <row customHeight="1" ht="11.25">
      <c r="A88" s="0">
        <v>2655</v>
      </c>
      <c r="B88" s="0" t="s">
        <v>114</v>
      </c>
      <c r="C88" s="0">
        <v>28869965</v>
      </c>
      <c r="D88" s="0" t="s">
        <v>3663</v>
      </c>
      <c r="E88" s="0" t="s">
        <v>3664</v>
      </c>
      <c r="F88" s="0" t="s">
        <v>3665</v>
      </c>
      <c r="G88" s="0" t="s">
        <v>3479</v>
      </c>
      <c r="H88" s="0" t="s">
        <v>3666</v>
      </c>
      <c r="I88" s="0" t="s">
        <v>152</v>
      </c>
      <c r="J88" s="0" t="s">
        <v>3649</v>
      </c>
      <c r="K88" s="0" t="s">
        <v>3667</v>
      </c>
      <c r="L88" s="0" t="s">
        <v>3667</v>
      </c>
      <c r="M88" s="0" t="s">
        <v>3668</v>
      </c>
      <c r="N88" s="0" t="s">
        <v>3669</v>
      </c>
      <c r="O88" s="0" t="s">
        <v>3670</v>
      </c>
      <c r="P88" s="0" t="s">
        <v>3437</v>
      </c>
      <c r="Q88" s="0" t="s">
        <v>3671</v>
      </c>
      <c r="R88" s="0" t="b">
        <v>0</v>
      </c>
      <c r="S88" s="0" t="s">
        <v>3888</v>
      </c>
    </row>
    <row customHeight="1" ht="11.25">
      <c r="A89" s="0">
        <v>2655</v>
      </c>
      <c r="B89" s="0" t="s">
        <v>114</v>
      </c>
      <c r="C89" s="0">
        <v>28113313</v>
      </c>
      <c r="D89" s="0" t="s">
        <v>3985</v>
      </c>
      <c r="E89" s="0" t="s">
        <v>3986</v>
      </c>
      <c r="F89" s="0" t="s">
        <v>3987</v>
      </c>
      <c r="G89" s="0" t="s">
        <v>3684</v>
      </c>
      <c r="H89" s="0" t="s">
        <v>3988</v>
      </c>
      <c r="I89" s="0" t="s">
        <v>152</v>
      </c>
      <c r="J89" s="0" t="s">
        <v>3649</v>
      </c>
      <c r="K89" s="0" t="s">
        <v>3989</v>
      </c>
      <c r="L89" s="0" t="s">
        <v>3990</v>
      </c>
      <c r="M89" s="0" t="s">
        <v>152</v>
      </c>
      <c r="N89" s="0" t="s">
        <v>152</v>
      </c>
      <c r="O89" s="0" t="s">
        <v>3691</v>
      </c>
      <c r="P89" s="0" t="s">
        <v>3371</v>
      </c>
      <c r="Q89" s="0" t="s">
        <v>152</v>
      </c>
      <c r="R89" s="0" t="b">
        <v>1</v>
      </c>
      <c r="S89" s="0" t="s">
        <v>3888</v>
      </c>
    </row>
    <row customHeight="1" ht="11.25">
      <c r="A90" s="0">
        <v>2655</v>
      </c>
      <c r="B90" s="0" t="s">
        <v>114</v>
      </c>
      <c r="C90" s="0">
        <v>26428030</v>
      </c>
      <c r="D90" s="0" t="s">
        <v>3991</v>
      </c>
      <c r="E90" s="0" t="s">
        <v>3992</v>
      </c>
      <c r="F90" s="0" t="s">
        <v>3993</v>
      </c>
      <c r="G90" s="0" t="s">
        <v>3579</v>
      </c>
      <c r="H90" s="0" t="s">
        <v>3994</v>
      </c>
      <c r="I90" s="0" t="s">
        <v>152</v>
      </c>
      <c r="K90" s="0" t="s">
        <v>3995</v>
      </c>
      <c r="L90" s="0" t="s">
        <v>3995</v>
      </c>
      <c r="M90" s="0" t="s">
        <v>3996</v>
      </c>
      <c r="N90" s="0" t="s">
        <v>3997</v>
      </c>
      <c r="O90" s="0" t="s">
        <v>152</v>
      </c>
      <c r="P90" s="0" t="s">
        <v>152</v>
      </c>
      <c r="Q90" s="0" t="s">
        <v>152</v>
      </c>
      <c r="R90" s="0" t="b">
        <v>0</v>
      </c>
      <c r="S90" s="0" t="s">
        <v>3888</v>
      </c>
    </row>
    <row customHeight="1" ht="11.25">
      <c r="A91" s="0">
        <v>2655</v>
      </c>
      <c r="B91" s="0" t="s">
        <v>114</v>
      </c>
      <c r="C91" s="0">
        <v>31356597</v>
      </c>
      <c r="D91" s="0" t="s">
        <v>3672</v>
      </c>
      <c r="E91" s="0" t="s">
        <v>3673</v>
      </c>
      <c r="F91" s="0" t="s">
        <v>3674</v>
      </c>
      <c r="G91" s="0" t="s">
        <v>3550</v>
      </c>
      <c r="H91" s="0" t="s">
        <v>3675</v>
      </c>
      <c r="I91" s="0" t="s">
        <v>3676</v>
      </c>
      <c r="J91" s="0" t="s">
        <v>3649</v>
      </c>
      <c r="K91" s="0" t="s">
        <v>3677</v>
      </c>
      <c r="L91" s="0" t="s">
        <v>3677</v>
      </c>
      <c r="M91" s="0" t="s">
        <v>3678</v>
      </c>
      <c r="N91" s="0" t="s">
        <v>3679</v>
      </c>
      <c r="O91" s="0" t="s">
        <v>3680</v>
      </c>
      <c r="P91" s="0" t="s">
        <v>3437</v>
      </c>
      <c r="Q91" s="0" t="s">
        <v>152</v>
      </c>
      <c r="R91" s="0" t="b">
        <v>0</v>
      </c>
      <c r="S91" s="0" t="s">
        <v>3888</v>
      </c>
    </row>
    <row customHeight="1" ht="11.25">
      <c r="A92" s="0">
        <v>2655</v>
      </c>
      <c r="B92" s="0" t="s">
        <v>114</v>
      </c>
      <c r="C92" s="0">
        <v>28136671</v>
      </c>
      <c r="D92" s="0" t="s">
        <v>3681</v>
      </c>
      <c r="E92" s="0" t="s">
        <v>3682</v>
      </c>
      <c r="F92" s="0" t="s">
        <v>3683</v>
      </c>
      <c r="G92" s="0" t="s">
        <v>3684</v>
      </c>
      <c r="H92" s="0" t="s">
        <v>3685</v>
      </c>
      <c r="I92" s="0" t="s">
        <v>3686</v>
      </c>
      <c r="J92" s="0" t="s">
        <v>3649</v>
      </c>
      <c r="K92" s="0" t="s">
        <v>3687</v>
      </c>
      <c r="L92" s="0" t="s">
        <v>3688</v>
      </c>
      <c r="M92" s="0" t="s">
        <v>3689</v>
      </c>
      <c r="N92" s="0" t="s">
        <v>3690</v>
      </c>
      <c r="O92" s="0" t="s">
        <v>3691</v>
      </c>
      <c r="P92" s="0" t="s">
        <v>3371</v>
      </c>
      <c r="Q92" s="0" t="s">
        <v>152</v>
      </c>
      <c r="R92" s="0" t="b">
        <v>1</v>
      </c>
      <c r="S92" s="0" t="s">
        <v>3888</v>
      </c>
    </row>
    <row customHeight="1" ht="11.25">
      <c r="A93" s="0">
        <v>2655</v>
      </c>
      <c r="B93" s="0" t="s">
        <v>114</v>
      </c>
      <c r="C93" s="0">
        <v>27838991</v>
      </c>
      <c r="D93" s="0" t="s">
        <v>3998</v>
      </c>
      <c r="E93" s="0" t="s">
        <v>3999</v>
      </c>
      <c r="F93" s="0" t="s">
        <v>4000</v>
      </c>
      <c r="G93" s="0" t="s">
        <v>3386</v>
      </c>
      <c r="H93" s="0" t="s">
        <v>4001</v>
      </c>
      <c r="I93" s="0" t="s">
        <v>4002</v>
      </c>
      <c r="J93" s="0" t="s">
        <v>3649</v>
      </c>
      <c r="K93" s="0" t="s">
        <v>4003</v>
      </c>
      <c r="L93" s="0" t="s">
        <v>4004</v>
      </c>
      <c r="M93" s="0" t="s">
        <v>4005</v>
      </c>
      <c r="N93" s="0" t="s">
        <v>4006</v>
      </c>
      <c r="O93" s="0" t="s">
        <v>4007</v>
      </c>
      <c r="P93" s="0" t="s">
        <v>3437</v>
      </c>
      <c r="Q93" s="0" t="s">
        <v>152</v>
      </c>
      <c r="R93" s="0" t="b">
        <v>0</v>
      </c>
      <c r="S93" s="0" t="s">
        <v>3888</v>
      </c>
    </row>
    <row customHeight="1" ht="11.25">
      <c r="A94" s="0">
        <v>2655</v>
      </c>
      <c r="B94" s="0" t="s">
        <v>114</v>
      </c>
      <c r="C94" s="0">
        <v>26428026</v>
      </c>
      <c r="D94" s="0" t="s">
        <v>3718</v>
      </c>
      <c r="E94" s="0" t="s">
        <v>3719</v>
      </c>
      <c r="F94" s="0" t="s">
        <v>3720</v>
      </c>
      <c r="G94" s="0" t="s">
        <v>3721</v>
      </c>
      <c r="H94" s="0" t="s">
        <v>3722</v>
      </c>
      <c r="I94" s="0" t="s">
        <v>152</v>
      </c>
      <c r="K94" s="0" t="s">
        <v>3723</v>
      </c>
      <c r="L94" s="0" t="s">
        <v>3723</v>
      </c>
      <c r="M94" s="0" t="s">
        <v>3724</v>
      </c>
      <c r="N94" s="0" t="s">
        <v>3725</v>
      </c>
      <c r="O94" s="0" t="s">
        <v>3726</v>
      </c>
      <c r="P94" s="0" t="s">
        <v>3487</v>
      </c>
      <c r="Q94" s="0" t="s">
        <v>152</v>
      </c>
      <c r="R94" s="0" t="b">
        <v>1</v>
      </c>
      <c r="S94" s="0" t="s">
        <v>3888</v>
      </c>
    </row>
    <row customHeight="1" ht="11.25">
      <c r="A95" s="0">
        <v>2655</v>
      </c>
      <c r="B95" s="0" t="s">
        <v>114</v>
      </c>
      <c r="C95" s="0">
        <v>31739633</v>
      </c>
      <c r="D95" s="0" t="s">
        <v>3737</v>
      </c>
      <c r="E95" s="0" t="s">
        <v>3738</v>
      </c>
      <c r="F95" s="0" t="s">
        <v>3739</v>
      </c>
      <c r="G95" s="0" t="s">
        <v>3740</v>
      </c>
      <c r="H95" s="0" t="s">
        <v>3741</v>
      </c>
      <c r="I95" s="0" t="s">
        <v>3742</v>
      </c>
      <c r="K95" s="0" t="s">
        <v>3743</v>
      </c>
      <c r="L95" s="0" t="s">
        <v>3743</v>
      </c>
      <c r="M95" s="0" t="s">
        <v>3744</v>
      </c>
      <c r="N95" s="0" t="s">
        <v>3745</v>
      </c>
      <c r="O95" s="0" t="s">
        <v>3746</v>
      </c>
      <c r="P95" s="0" t="s">
        <v>3456</v>
      </c>
      <c r="Q95" s="0" t="s">
        <v>152</v>
      </c>
      <c r="R95" s="0" t="b">
        <v>0</v>
      </c>
      <c r="S95" s="0" t="s">
        <v>3888</v>
      </c>
    </row>
    <row customHeight="1" ht="11.25">
      <c r="A96" s="0">
        <v>2655</v>
      </c>
      <c r="B96" s="0" t="s">
        <v>114</v>
      </c>
      <c r="C96" s="0">
        <v>31541617</v>
      </c>
      <c r="D96" s="0" t="s">
        <v>3747</v>
      </c>
      <c r="E96" s="0" t="s">
        <v>3748</v>
      </c>
      <c r="F96" s="0" t="s">
        <v>3749</v>
      </c>
      <c r="G96" s="0" t="s">
        <v>3750</v>
      </c>
      <c r="H96" s="0" t="s">
        <v>3751</v>
      </c>
      <c r="I96" s="0" t="s">
        <v>3752</v>
      </c>
      <c r="K96" s="0" t="s">
        <v>3753</v>
      </c>
      <c r="L96" s="0" t="s">
        <v>3753</v>
      </c>
      <c r="M96" s="0" t="s">
        <v>3754</v>
      </c>
      <c r="N96" s="0" t="s">
        <v>3755</v>
      </c>
      <c r="O96" s="0" t="s">
        <v>3756</v>
      </c>
      <c r="P96" s="0" t="s">
        <v>3456</v>
      </c>
      <c r="Q96" s="0" t="s">
        <v>152</v>
      </c>
      <c r="R96" s="0" t="b">
        <v>1</v>
      </c>
      <c r="S96" s="0" t="s">
        <v>3888</v>
      </c>
    </row>
    <row customHeight="1" ht="11.25">
      <c r="A97" s="0">
        <v>2655</v>
      </c>
      <c r="B97" s="0" t="s">
        <v>114</v>
      </c>
      <c r="C97" s="0">
        <v>31834877</v>
      </c>
      <c r="D97" s="0" t="s">
        <v>4008</v>
      </c>
      <c r="E97" s="0" t="s">
        <v>4008</v>
      </c>
      <c r="F97" s="0" t="s">
        <v>4009</v>
      </c>
      <c r="G97" s="0" t="s">
        <v>3376</v>
      </c>
      <c r="H97" s="0" t="s">
        <v>4010</v>
      </c>
      <c r="I97" s="0" t="s">
        <v>4011</v>
      </c>
      <c r="K97" s="0" t="s">
        <v>4012</v>
      </c>
      <c r="L97" s="0" t="s">
        <v>4013</v>
      </c>
      <c r="M97" s="0" t="s">
        <v>152</v>
      </c>
      <c r="N97" s="0" t="s">
        <v>4014</v>
      </c>
      <c r="O97" s="0" t="s">
        <v>4015</v>
      </c>
      <c r="P97" s="0" t="s">
        <v>3371</v>
      </c>
      <c r="Q97" s="0" t="s">
        <v>4016</v>
      </c>
      <c r="R97" s="0" t="b">
        <v>0</v>
      </c>
      <c r="S97" s="0" t="s">
        <v>3888</v>
      </c>
    </row>
    <row customHeight="1" ht="11.25">
      <c r="A98" s="0">
        <v>2655</v>
      </c>
      <c r="B98" s="0" t="s">
        <v>114</v>
      </c>
      <c r="C98" s="0">
        <v>26356891</v>
      </c>
      <c r="D98" s="0" t="s">
        <v>3768</v>
      </c>
      <c r="E98" s="0" t="s">
        <v>3769</v>
      </c>
      <c r="F98" s="0" t="s">
        <v>3770</v>
      </c>
      <c r="G98" s="0" t="s">
        <v>3579</v>
      </c>
      <c r="H98" s="0" t="s">
        <v>3771</v>
      </c>
      <c r="I98" s="0" t="s">
        <v>3772</v>
      </c>
      <c r="J98" s="0" t="s">
        <v>3649</v>
      </c>
      <c r="K98" s="0" t="s">
        <v>3773</v>
      </c>
      <c r="L98" s="0" t="s">
        <v>3773</v>
      </c>
      <c r="M98" s="0" t="s">
        <v>3774</v>
      </c>
      <c r="N98" s="0" t="s">
        <v>3775</v>
      </c>
      <c r="O98" s="0" t="s">
        <v>3776</v>
      </c>
      <c r="P98" s="0" t="s">
        <v>3487</v>
      </c>
      <c r="Q98" s="0" t="s">
        <v>152</v>
      </c>
      <c r="R98" s="0" t="b">
        <v>0</v>
      </c>
      <c r="S98" s="0" t="s">
        <v>3888</v>
      </c>
    </row>
    <row customHeight="1" ht="11.25">
      <c r="A99" s="0">
        <v>2655</v>
      </c>
      <c r="B99" s="0" t="s">
        <v>114</v>
      </c>
      <c r="C99" s="0">
        <v>31241637</v>
      </c>
      <c r="D99" s="0" t="s">
        <v>3777</v>
      </c>
      <c r="E99" s="0" t="s">
        <v>3778</v>
      </c>
      <c r="F99" s="0" t="s">
        <v>3779</v>
      </c>
      <c r="G99" s="0" t="s">
        <v>3598</v>
      </c>
      <c r="H99" s="0" t="s">
        <v>3780</v>
      </c>
      <c r="I99" s="0" t="s">
        <v>3781</v>
      </c>
      <c r="J99" s="0" t="s">
        <v>3649</v>
      </c>
      <c r="K99" s="0" t="s">
        <v>3782</v>
      </c>
      <c r="L99" s="0" t="s">
        <v>3782</v>
      </c>
      <c r="M99" s="0" t="s">
        <v>3783</v>
      </c>
      <c r="N99" s="0" t="s">
        <v>152</v>
      </c>
      <c r="O99" s="0" t="s">
        <v>3784</v>
      </c>
      <c r="P99" s="0" t="s">
        <v>3456</v>
      </c>
      <c r="Q99" s="0" t="s">
        <v>152</v>
      </c>
      <c r="R99" s="0" t="b">
        <v>0</v>
      </c>
      <c r="S99" s="0" t="s">
        <v>3888</v>
      </c>
    </row>
    <row customHeight="1" ht="11.25">
      <c r="A100" s="0">
        <v>2655</v>
      </c>
      <c r="B100" s="0" t="s">
        <v>114</v>
      </c>
      <c r="C100" s="0">
        <v>28819708</v>
      </c>
      <c r="D100" s="0" t="s">
        <v>4017</v>
      </c>
      <c r="E100" s="0" t="s">
        <v>4018</v>
      </c>
      <c r="F100" s="0" t="s">
        <v>4019</v>
      </c>
      <c r="G100" s="0" t="s">
        <v>3491</v>
      </c>
      <c r="H100" s="0" t="s">
        <v>4020</v>
      </c>
      <c r="I100" s="0" t="s">
        <v>4021</v>
      </c>
      <c r="J100" s="0" t="s">
        <v>3649</v>
      </c>
      <c r="K100" s="0" t="s">
        <v>4022</v>
      </c>
      <c r="L100" s="0" t="s">
        <v>4022</v>
      </c>
      <c r="M100" s="0" t="s">
        <v>152</v>
      </c>
      <c r="N100" s="0" t="s">
        <v>4023</v>
      </c>
      <c r="O100" s="0" t="s">
        <v>4024</v>
      </c>
      <c r="P100" s="0" t="s">
        <v>3487</v>
      </c>
      <c r="Q100" s="0" t="s">
        <v>152</v>
      </c>
      <c r="R100" s="0" t="b">
        <v>0</v>
      </c>
      <c r="S100" s="0" t="s">
        <v>3888</v>
      </c>
    </row>
    <row customHeight="1" ht="11.25">
      <c r="A101" s="0">
        <v>2655</v>
      </c>
      <c r="B101" s="0" t="s">
        <v>114</v>
      </c>
      <c r="C101" s="0">
        <v>26356937</v>
      </c>
      <c r="D101" s="0" t="s">
        <v>3785</v>
      </c>
      <c r="E101" s="0" t="s">
        <v>3786</v>
      </c>
      <c r="F101" s="0" t="s">
        <v>3787</v>
      </c>
      <c r="G101" s="0" t="s">
        <v>3656</v>
      </c>
      <c r="H101" s="0" t="s">
        <v>3788</v>
      </c>
      <c r="I101" s="0" t="s">
        <v>3789</v>
      </c>
      <c r="J101" s="0" t="s">
        <v>3649</v>
      </c>
      <c r="K101" s="0" t="s">
        <v>3790</v>
      </c>
      <c r="L101" s="0" t="s">
        <v>3790</v>
      </c>
      <c r="M101" s="0" t="s">
        <v>3791</v>
      </c>
      <c r="N101" s="0" t="s">
        <v>3792</v>
      </c>
      <c r="O101" s="0" t="s">
        <v>3793</v>
      </c>
      <c r="P101" s="0" t="s">
        <v>3456</v>
      </c>
      <c r="Q101" s="0" t="s">
        <v>3794</v>
      </c>
      <c r="R101" s="0" t="b">
        <v>0</v>
      </c>
      <c r="S101" s="0" t="s">
        <v>3888</v>
      </c>
    </row>
    <row customHeight="1" ht="11.25">
      <c r="A102" s="0">
        <v>2655</v>
      </c>
      <c r="B102" s="0" t="s">
        <v>114</v>
      </c>
      <c r="C102" s="0">
        <v>31770754</v>
      </c>
      <c r="D102" s="0" t="s">
        <v>3795</v>
      </c>
      <c r="E102" s="0" t="s">
        <v>3796</v>
      </c>
      <c r="F102" s="0" t="s">
        <v>3797</v>
      </c>
      <c r="G102" s="0" t="s">
        <v>3740</v>
      </c>
      <c r="H102" s="0" t="s">
        <v>3798</v>
      </c>
      <c r="I102" s="0" t="s">
        <v>3799</v>
      </c>
      <c r="K102" s="0" t="s">
        <v>3800</v>
      </c>
      <c r="L102" s="0" t="s">
        <v>3801</v>
      </c>
      <c r="M102" s="0" t="s">
        <v>3802</v>
      </c>
      <c r="N102" s="0" t="s">
        <v>3803</v>
      </c>
      <c r="O102" s="0" t="s">
        <v>3804</v>
      </c>
      <c r="P102" s="0" t="s">
        <v>3487</v>
      </c>
      <c r="Q102" s="0" t="s">
        <v>152</v>
      </c>
      <c r="R102" s="0" t="b">
        <v>1</v>
      </c>
      <c r="S102" s="0" t="s">
        <v>3888</v>
      </c>
    </row>
    <row customHeight="1" ht="11.25">
      <c r="A103" s="0">
        <v>2655</v>
      </c>
      <c r="B103" s="0" t="s">
        <v>114</v>
      </c>
      <c r="C103" s="0">
        <v>31528492</v>
      </c>
      <c r="D103" s="0" t="s">
        <v>3805</v>
      </c>
      <c r="E103" s="0" t="s">
        <v>3806</v>
      </c>
      <c r="F103" s="0" t="s">
        <v>3807</v>
      </c>
      <c r="G103" s="0" t="s">
        <v>3598</v>
      </c>
      <c r="H103" s="0" t="s">
        <v>3808</v>
      </c>
      <c r="I103" s="0" t="s">
        <v>3809</v>
      </c>
      <c r="K103" s="0" t="s">
        <v>3810</v>
      </c>
      <c r="L103" s="0" t="s">
        <v>3810</v>
      </c>
      <c r="M103" s="0" t="s">
        <v>3811</v>
      </c>
      <c r="N103" s="0" t="s">
        <v>3812</v>
      </c>
      <c r="O103" s="0" t="s">
        <v>3813</v>
      </c>
      <c r="P103" s="0" t="s">
        <v>3371</v>
      </c>
      <c r="Q103" s="0" t="s">
        <v>152</v>
      </c>
      <c r="R103" s="0" t="b">
        <v>0</v>
      </c>
      <c r="S103" s="0" t="s">
        <v>3888</v>
      </c>
    </row>
    <row customHeight="1" ht="11.25">
      <c r="A104" s="0">
        <v>2655</v>
      </c>
      <c r="B104" s="0" t="s">
        <v>114</v>
      </c>
      <c r="C104" s="0">
        <v>28270293</v>
      </c>
      <c r="D104" s="0" t="s">
        <v>3814</v>
      </c>
      <c r="E104" s="0" t="s">
        <v>3815</v>
      </c>
      <c r="F104" s="0" t="s">
        <v>3816</v>
      </c>
      <c r="G104" s="0" t="s">
        <v>3579</v>
      </c>
      <c r="H104" s="0" t="s">
        <v>3817</v>
      </c>
      <c r="I104" s="0" t="s">
        <v>3818</v>
      </c>
      <c r="J104" s="0" t="s">
        <v>3649</v>
      </c>
      <c r="K104" s="0" t="s">
        <v>3819</v>
      </c>
      <c r="L104" s="0" t="s">
        <v>3819</v>
      </c>
      <c r="M104" s="0" t="s">
        <v>3820</v>
      </c>
      <c r="N104" s="0" t="s">
        <v>3821</v>
      </c>
      <c r="O104" s="0" t="s">
        <v>3822</v>
      </c>
      <c r="P104" s="0" t="s">
        <v>3437</v>
      </c>
      <c r="Q104" s="0" t="s">
        <v>152</v>
      </c>
      <c r="R104" s="0" t="b">
        <v>0</v>
      </c>
      <c r="S104" s="0" t="s">
        <v>3888</v>
      </c>
    </row>
    <row customHeight="1" ht="11.25">
      <c r="A105" s="0">
        <v>2655</v>
      </c>
      <c r="B105" s="0" t="s">
        <v>114</v>
      </c>
      <c r="C105" s="0">
        <v>28873362</v>
      </c>
      <c r="D105" s="0" t="s">
        <v>3823</v>
      </c>
      <c r="E105" s="0" t="s">
        <v>3824</v>
      </c>
      <c r="F105" s="0" t="s">
        <v>3825</v>
      </c>
      <c r="G105" s="0" t="s">
        <v>3363</v>
      </c>
      <c r="H105" s="0" t="s">
        <v>3826</v>
      </c>
      <c r="I105" s="0" t="s">
        <v>3827</v>
      </c>
      <c r="J105" s="0" t="s">
        <v>3649</v>
      </c>
      <c r="K105" s="0" t="s">
        <v>3828</v>
      </c>
      <c r="L105" s="0" t="s">
        <v>3828</v>
      </c>
      <c r="M105" s="0" t="s">
        <v>3829</v>
      </c>
      <c r="N105" s="0" t="s">
        <v>3830</v>
      </c>
      <c r="O105" s="0" t="s">
        <v>3831</v>
      </c>
      <c r="P105" s="0" t="s">
        <v>3487</v>
      </c>
      <c r="Q105" s="0" t="s">
        <v>3832</v>
      </c>
      <c r="R105" s="0" t="b">
        <v>0</v>
      </c>
      <c r="S105" s="0" t="s">
        <v>3888</v>
      </c>
    </row>
    <row customHeight="1" ht="11.25">
      <c r="A106" s="0">
        <v>2655</v>
      </c>
      <c r="B106" s="0" t="s">
        <v>114</v>
      </c>
      <c r="C106" s="0">
        <v>28976681</v>
      </c>
      <c r="D106" s="0" t="s">
        <v>3833</v>
      </c>
      <c r="E106" s="0" t="s">
        <v>3834</v>
      </c>
      <c r="F106" s="0" t="s">
        <v>3835</v>
      </c>
      <c r="G106" s="0" t="s">
        <v>3579</v>
      </c>
      <c r="H106" s="0" t="s">
        <v>3836</v>
      </c>
      <c r="I106" s="0" t="s">
        <v>3837</v>
      </c>
      <c r="J106" s="0" t="s">
        <v>3649</v>
      </c>
      <c r="K106" s="0" t="s">
        <v>3838</v>
      </c>
      <c r="L106" s="0" t="s">
        <v>3838</v>
      </c>
      <c r="M106" s="0" t="s">
        <v>3839</v>
      </c>
      <c r="N106" s="0" t="s">
        <v>152</v>
      </c>
      <c r="O106" s="0" t="s">
        <v>3840</v>
      </c>
      <c r="P106" s="0" t="s">
        <v>3487</v>
      </c>
      <c r="Q106" s="0" t="s">
        <v>152</v>
      </c>
      <c r="R106" s="0" t="b">
        <v>1</v>
      </c>
      <c r="S106" s="0" t="s">
        <v>3888</v>
      </c>
    </row>
    <row customHeight="1" ht="11.25">
      <c r="A107" s="0">
        <v>2655</v>
      </c>
      <c r="B107" s="0" t="s">
        <v>114</v>
      </c>
      <c r="C107" s="0">
        <v>30808511</v>
      </c>
      <c r="D107" s="0" t="s">
        <v>3852</v>
      </c>
      <c r="E107" s="0" t="s">
        <v>3852</v>
      </c>
      <c r="F107" s="0" t="s">
        <v>3853</v>
      </c>
      <c r="G107" s="0" t="s">
        <v>3854</v>
      </c>
      <c r="H107" s="0" t="s">
        <v>3855</v>
      </c>
      <c r="I107" s="0" t="s">
        <v>3856</v>
      </c>
      <c r="J107" s="0" t="s">
        <v>3857</v>
      </c>
      <c r="K107" s="0" t="s">
        <v>3858</v>
      </c>
      <c r="L107" s="0" t="s">
        <v>3859</v>
      </c>
      <c r="M107" s="0" t="s">
        <v>3860</v>
      </c>
      <c r="N107" s="0" t="s">
        <v>152</v>
      </c>
      <c r="O107" s="0" t="s">
        <v>3861</v>
      </c>
      <c r="P107" s="0" t="s">
        <v>3487</v>
      </c>
      <c r="Q107" s="0" t="s">
        <v>3862</v>
      </c>
      <c r="R107" s="0" t="b">
        <v>0</v>
      </c>
      <c r="S107" s="0" t="s">
        <v>3888</v>
      </c>
    </row>
    <row customHeight="1" ht="11.25">
      <c r="A108" s="0">
        <v>2655</v>
      </c>
      <c r="B108" s="0" t="s">
        <v>114</v>
      </c>
      <c r="C108" s="0">
        <v>26520873</v>
      </c>
      <c r="D108" s="0" t="s">
        <v>3867</v>
      </c>
      <c r="E108" s="0" t="s">
        <v>3868</v>
      </c>
      <c r="F108" s="0" t="s">
        <v>3853</v>
      </c>
      <c r="G108" s="0" t="s">
        <v>3869</v>
      </c>
      <c r="H108" s="0" t="s">
        <v>3855</v>
      </c>
      <c r="I108" s="0" t="s">
        <v>3870</v>
      </c>
      <c r="J108" s="0" t="s">
        <v>3857</v>
      </c>
      <c r="K108" s="0" t="s">
        <v>3871</v>
      </c>
      <c r="L108" s="0" t="s">
        <v>3872</v>
      </c>
      <c r="M108" s="0" t="s">
        <v>3873</v>
      </c>
      <c r="N108" s="0" t="s">
        <v>3874</v>
      </c>
      <c r="O108" s="0" t="s">
        <v>3875</v>
      </c>
      <c r="P108" s="0" t="s">
        <v>3487</v>
      </c>
      <c r="Q108" s="0" t="s">
        <v>3876</v>
      </c>
      <c r="R108" s="0" t="b">
        <v>0</v>
      </c>
      <c r="S108" s="0" t="s">
        <v>3888</v>
      </c>
    </row>
    <row customHeight="1" ht="11.25">
      <c r="A109" s="0">
        <v>2655</v>
      </c>
      <c r="B109" s="0" t="s">
        <v>114</v>
      </c>
      <c r="C109" s="0">
        <v>28976938</v>
      </c>
      <c r="D109" s="0" t="s">
        <v>3345</v>
      </c>
      <c r="E109" s="0" t="s">
        <v>3346</v>
      </c>
      <c r="F109" s="0" t="s">
        <v>3347</v>
      </c>
      <c r="G109" s="0" t="s">
        <v>3348</v>
      </c>
      <c r="H109" s="0" t="s">
        <v>3349</v>
      </c>
      <c r="I109" s="0" t="s">
        <v>3350</v>
      </c>
      <c r="J109" s="0" t="s">
        <v>3351</v>
      </c>
      <c r="K109" s="0" t="s">
        <v>3352</v>
      </c>
      <c r="L109" s="0" t="s">
        <v>3353</v>
      </c>
      <c r="M109" s="0" t="s">
        <v>3354</v>
      </c>
      <c r="N109" s="0" t="s">
        <v>3355</v>
      </c>
      <c r="O109" s="0" t="s">
        <v>3356</v>
      </c>
      <c r="P109" s="0" t="s">
        <v>3357</v>
      </c>
      <c r="Q109" s="0" t="s">
        <v>3358</v>
      </c>
      <c r="R109" s="0" t="b">
        <v>0</v>
      </c>
      <c r="S109" s="0" t="s">
        <v>4025</v>
      </c>
    </row>
    <row customHeight="1" ht="11.25">
      <c r="A110" s="0">
        <v>2655</v>
      </c>
      <c r="B110" s="0" t="s">
        <v>114</v>
      </c>
      <c r="C110" s="0">
        <v>26356915</v>
      </c>
      <c r="D110" s="0" t="s">
        <v>3889</v>
      </c>
      <c r="E110" s="0" t="s">
        <v>3890</v>
      </c>
      <c r="F110" s="0" t="s">
        <v>3891</v>
      </c>
      <c r="G110" s="0" t="s">
        <v>3568</v>
      </c>
      <c r="H110" s="0" t="s">
        <v>3892</v>
      </c>
      <c r="I110" s="0" t="s">
        <v>3893</v>
      </c>
      <c r="J110" s="0" t="s">
        <v>3351</v>
      </c>
      <c r="K110" s="0" t="s">
        <v>3894</v>
      </c>
      <c r="L110" s="0" t="s">
        <v>3894</v>
      </c>
      <c r="M110" s="0" t="s">
        <v>3895</v>
      </c>
      <c r="N110" s="0" t="s">
        <v>3896</v>
      </c>
      <c r="O110" s="0" t="s">
        <v>3897</v>
      </c>
      <c r="P110" s="0" t="s">
        <v>3437</v>
      </c>
      <c r="Q110" s="0" t="s">
        <v>189</v>
      </c>
      <c r="R110" s="0" t="b">
        <v>0</v>
      </c>
      <c r="S110" s="0" t="s">
        <v>4025</v>
      </c>
    </row>
    <row customHeight="1" ht="11.25">
      <c r="A111" s="0">
        <v>2655</v>
      </c>
      <c r="B111" s="0" t="s">
        <v>114</v>
      </c>
      <c r="C111" s="0">
        <v>26357007</v>
      </c>
      <c r="D111" s="0" t="s">
        <v>4026</v>
      </c>
      <c r="E111" s="0" t="s">
        <v>4027</v>
      </c>
      <c r="F111" s="0" t="s">
        <v>4028</v>
      </c>
      <c r="G111" s="0" t="s">
        <v>3598</v>
      </c>
      <c r="H111" s="0" t="s">
        <v>4029</v>
      </c>
      <c r="I111" s="0" t="s">
        <v>4030</v>
      </c>
      <c r="J111" s="0" t="s">
        <v>3351</v>
      </c>
      <c r="K111" s="0" t="s">
        <v>4031</v>
      </c>
      <c r="L111" s="0" t="s">
        <v>4031</v>
      </c>
      <c r="M111" s="0" t="s">
        <v>4032</v>
      </c>
      <c r="N111" s="0" t="s">
        <v>4033</v>
      </c>
      <c r="O111" s="0" t="s">
        <v>4034</v>
      </c>
      <c r="P111" s="0" t="s">
        <v>3437</v>
      </c>
      <c r="Q111" s="0" t="s">
        <v>4035</v>
      </c>
      <c r="R111" s="0" t="b">
        <v>0</v>
      </c>
      <c r="S111" s="0" t="s">
        <v>4025</v>
      </c>
    </row>
    <row customHeight="1" ht="11.25">
      <c r="A112" s="0">
        <v>2655</v>
      </c>
      <c r="B112" s="0" t="s">
        <v>114</v>
      </c>
      <c r="C112" s="0">
        <v>27804990</v>
      </c>
      <c r="D112" s="0" t="s">
        <v>3360</v>
      </c>
      <c r="E112" s="0" t="s">
        <v>3361</v>
      </c>
      <c r="F112" s="0" t="s">
        <v>3362</v>
      </c>
      <c r="G112" s="0" t="s">
        <v>3363</v>
      </c>
      <c r="H112" s="0" t="s">
        <v>3364</v>
      </c>
      <c r="I112" s="0" t="s">
        <v>3365</v>
      </c>
      <c r="J112" s="0" t="s">
        <v>3351</v>
      </c>
      <c r="K112" s="0" t="s">
        <v>3366</v>
      </c>
      <c r="L112" s="0" t="s">
        <v>3367</v>
      </c>
      <c r="M112" s="0" t="s">
        <v>3368</v>
      </c>
      <c r="N112" s="0" t="s">
        <v>3369</v>
      </c>
      <c r="O112" s="0" t="s">
        <v>3370</v>
      </c>
      <c r="P112" s="0" t="s">
        <v>3371</v>
      </c>
      <c r="Q112" s="0" t="s">
        <v>3372</v>
      </c>
      <c r="R112" s="0" t="b">
        <v>0</v>
      </c>
      <c r="S112" s="0" t="s">
        <v>4025</v>
      </c>
    </row>
    <row customHeight="1" ht="11.25">
      <c r="A113" s="0">
        <v>2655</v>
      </c>
      <c r="B113" s="0" t="s">
        <v>114</v>
      </c>
      <c r="C113" s="0">
        <v>28048296</v>
      </c>
      <c r="D113" s="0" t="s">
        <v>4036</v>
      </c>
      <c r="E113" s="0" t="s">
        <v>4037</v>
      </c>
      <c r="F113" s="0" t="s">
        <v>4038</v>
      </c>
      <c r="G113" s="0" t="s">
        <v>3363</v>
      </c>
      <c r="H113" s="0" t="s">
        <v>4039</v>
      </c>
      <c r="I113" s="0" t="s">
        <v>4040</v>
      </c>
      <c r="J113" s="0" t="s">
        <v>3351</v>
      </c>
      <c r="K113" s="0" t="s">
        <v>4041</v>
      </c>
      <c r="L113" s="0" t="s">
        <v>3367</v>
      </c>
      <c r="M113" s="0" t="s">
        <v>4042</v>
      </c>
      <c r="N113" s="0" t="s">
        <v>4043</v>
      </c>
      <c r="O113" s="0" t="s">
        <v>4044</v>
      </c>
      <c r="P113" s="0" t="s">
        <v>3371</v>
      </c>
      <c r="Q113" s="0" t="s">
        <v>3372</v>
      </c>
      <c r="R113" s="0" t="b">
        <v>0</v>
      </c>
      <c r="S113" s="0" t="s">
        <v>4025</v>
      </c>
    </row>
    <row customHeight="1" ht="11.25">
      <c r="A114" s="0">
        <v>2655</v>
      </c>
      <c r="B114" s="0" t="s">
        <v>114</v>
      </c>
      <c r="C114" s="0">
        <v>27804826</v>
      </c>
      <c r="D114" s="0" t="s">
        <v>3373</v>
      </c>
      <c r="E114" s="0" t="s">
        <v>3374</v>
      </c>
      <c r="F114" s="0" t="s">
        <v>3375</v>
      </c>
      <c r="G114" s="0" t="s">
        <v>3376</v>
      </c>
      <c r="H114" s="0" t="s">
        <v>3377</v>
      </c>
      <c r="I114" s="0" t="s">
        <v>3378</v>
      </c>
      <c r="J114" s="0" t="s">
        <v>3351</v>
      </c>
      <c r="K114" s="0" t="s">
        <v>3379</v>
      </c>
      <c r="L114" s="0" t="s">
        <v>3367</v>
      </c>
      <c r="M114" s="0" t="s">
        <v>152</v>
      </c>
      <c r="N114" s="0" t="s">
        <v>3380</v>
      </c>
      <c r="O114" s="0" t="s">
        <v>3381</v>
      </c>
      <c r="P114" s="0" t="s">
        <v>3371</v>
      </c>
      <c r="Q114" s="0" t="s">
        <v>3382</v>
      </c>
      <c r="R114" s="0" t="b">
        <v>0</v>
      </c>
      <c r="S114" s="0" t="s">
        <v>4025</v>
      </c>
    </row>
    <row customHeight="1" ht="11.25">
      <c r="A115" s="0">
        <v>2655</v>
      </c>
      <c r="B115" s="0" t="s">
        <v>114</v>
      </c>
      <c r="C115" s="0">
        <v>27804896</v>
      </c>
      <c r="D115" s="0" t="s">
        <v>4045</v>
      </c>
      <c r="E115" s="0" t="s">
        <v>4046</v>
      </c>
      <c r="F115" s="0" t="s">
        <v>4047</v>
      </c>
      <c r="G115" s="0" t="s">
        <v>3363</v>
      </c>
      <c r="H115" s="0" t="s">
        <v>4048</v>
      </c>
      <c r="I115" s="0" t="s">
        <v>4049</v>
      </c>
      <c r="J115" s="0" t="s">
        <v>3351</v>
      </c>
      <c r="K115" s="0" t="s">
        <v>4050</v>
      </c>
      <c r="L115" s="0" t="s">
        <v>3367</v>
      </c>
      <c r="M115" s="0" t="s">
        <v>4051</v>
      </c>
      <c r="N115" s="0" t="s">
        <v>4052</v>
      </c>
      <c r="O115" s="0" t="s">
        <v>4053</v>
      </c>
      <c r="P115" s="0" t="s">
        <v>3371</v>
      </c>
      <c r="Q115" s="0" t="s">
        <v>3372</v>
      </c>
      <c r="R115" s="0" t="b">
        <v>0</v>
      </c>
      <c r="S115" s="0" t="s">
        <v>4025</v>
      </c>
    </row>
    <row customHeight="1" ht="11.25">
      <c r="A116" s="0">
        <v>2655</v>
      </c>
      <c r="B116" s="0" t="s">
        <v>114</v>
      </c>
      <c r="C116" s="0">
        <v>27820148</v>
      </c>
      <c r="D116" s="0" t="s">
        <v>3912</v>
      </c>
      <c r="E116" s="0" t="s">
        <v>3913</v>
      </c>
      <c r="F116" s="0" t="s">
        <v>3914</v>
      </c>
      <c r="G116" s="0" t="s">
        <v>3656</v>
      </c>
      <c r="H116" s="0" t="s">
        <v>3915</v>
      </c>
      <c r="I116" s="0" t="s">
        <v>3916</v>
      </c>
      <c r="J116" s="0" t="s">
        <v>3351</v>
      </c>
      <c r="K116" s="0" t="s">
        <v>3917</v>
      </c>
      <c r="L116" s="0" t="s">
        <v>3917</v>
      </c>
      <c r="M116" s="0" t="s">
        <v>3918</v>
      </c>
      <c r="N116" s="0" t="s">
        <v>3919</v>
      </c>
      <c r="O116" s="0" t="s">
        <v>3920</v>
      </c>
      <c r="P116" s="0" t="s">
        <v>3921</v>
      </c>
      <c r="Q116" s="0" t="s">
        <v>3922</v>
      </c>
      <c r="R116" s="0" t="b">
        <v>0</v>
      </c>
      <c r="S116" s="0" t="s">
        <v>4025</v>
      </c>
    </row>
    <row customHeight="1" ht="11.25">
      <c r="A117" s="0">
        <v>2655</v>
      </c>
      <c r="B117" s="0" t="s">
        <v>114</v>
      </c>
      <c r="C117" s="0">
        <v>26356905</v>
      </c>
      <c r="D117" s="0" t="s">
        <v>3406</v>
      </c>
      <c r="E117" s="0" t="s">
        <v>3407</v>
      </c>
      <c r="F117" s="0" t="s">
        <v>3408</v>
      </c>
      <c r="G117" s="0" t="s">
        <v>3363</v>
      </c>
      <c r="H117" s="0" t="s">
        <v>3409</v>
      </c>
      <c r="I117" s="0" t="s">
        <v>3410</v>
      </c>
      <c r="J117" s="0" t="s">
        <v>3351</v>
      </c>
      <c r="K117" s="0" t="s">
        <v>3411</v>
      </c>
      <c r="L117" s="0" t="s">
        <v>3411</v>
      </c>
      <c r="M117" s="0" t="s">
        <v>3412</v>
      </c>
      <c r="N117" s="0" t="s">
        <v>3413</v>
      </c>
      <c r="O117" s="0" t="s">
        <v>3414</v>
      </c>
      <c r="P117" s="0" t="s">
        <v>3415</v>
      </c>
      <c r="Q117" s="0" t="s">
        <v>3416</v>
      </c>
      <c r="R117" s="0" t="b">
        <v>0</v>
      </c>
      <c r="S117" s="0" t="s">
        <v>4025</v>
      </c>
    </row>
    <row customHeight="1" ht="11.25">
      <c r="A118" s="0">
        <v>2655</v>
      </c>
      <c r="B118" s="0" t="s">
        <v>114</v>
      </c>
      <c r="C118" s="0">
        <v>26652554</v>
      </c>
      <c r="D118" s="0" t="s">
        <v>4054</v>
      </c>
      <c r="E118" s="0" t="s">
        <v>4055</v>
      </c>
      <c r="F118" s="0" t="s">
        <v>4056</v>
      </c>
      <c r="G118" s="0" t="s">
        <v>3740</v>
      </c>
      <c r="H118" s="0" t="s">
        <v>4057</v>
      </c>
      <c r="I118" s="0" t="s">
        <v>152</v>
      </c>
      <c r="J118" s="0" t="s">
        <v>3351</v>
      </c>
      <c r="K118" s="0" t="s">
        <v>4058</v>
      </c>
      <c r="L118" s="0" t="s">
        <v>4058</v>
      </c>
      <c r="M118" s="0" t="s">
        <v>4059</v>
      </c>
      <c r="N118" s="0" t="s">
        <v>4060</v>
      </c>
      <c r="O118" s="0" t="s">
        <v>4061</v>
      </c>
      <c r="P118" s="0" t="s">
        <v>3437</v>
      </c>
      <c r="Q118" s="0" t="s">
        <v>4062</v>
      </c>
      <c r="R118" s="0" t="b">
        <v>0</v>
      </c>
      <c r="S118" s="0" t="s">
        <v>4025</v>
      </c>
    </row>
    <row customHeight="1" ht="11.25">
      <c r="A119" s="0">
        <v>2655</v>
      </c>
      <c r="B119" s="0" t="s">
        <v>114</v>
      </c>
      <c r="C119" s="0">
        <v>26356926</v>
      </c>
      <c r="D119" s="0" t="s">
        <v>4063</v>
      </c>
      <c r="E119" s="0" t="s">
        <v>4064</v>
      </c>
      <c r="F119" s="0" t="s">
        <v>4065</v>
      </c>
      <c r="G119" s="0" t="s">
        <v>3656</v>
      </c>
      <c r="H119" s="0" t="s">
        <v>4066</v>
      </c>
      <c r="I119" s="0" t="s">
        <v>4067</v>
      </c>
      <c r="J119" s="0" t="s">
        <v>4068</v>
      </c>
      <c r="K119" s="0" t="s">
        <v>4069</v>
      </c>
      <c r="L119" s="0" t="s">
        <v>4069</v>
      </c>
      <c r="M119" s="0" t="s">
        <v>4070</v>
      </c>
      <c r="N119" s="0" t="s">
        <v>4071</v>
      </c>
      <c r="O119" s="0" t="s">
        <v>4072</v>
      </c>
      <c r="P119" s="0" t="s">
        <v>4073</v>
      </c>
      <c r="Q119" s="0" t="s">
        <v>4074</v>
      </c>
      <c r="R119" s="0" t="b">
        <v>0</v>
      </c>
      <c r="S119" s="0" t="s">
        <v>4025</v>
      </c>
    </row>
    <row customHeight="1" ht="11.25">
      <c r="A120" s="0">
        <v>2655</v>
      </c>
      <c r="B120" s="0" t="s">
        <v>114</v>
      </c>
      <c r="C120" s="0">
        <v>28875287</v>
      </c>
      <c r="D120" s="0" t="s">
        <v>4075</v>
      </c>
      <c r="E120" s="0" t="s">
        <v>4076</v>
      </c>
      <c r="F120" s="0" t="s">
        <v>4077</v>
      </c>
      <c r="G120" s="0" t="s">
        <v>3656</v>
      </c>
      <c r="H120" s="0" t="s">
        <v>4078</v>
      </c>
      <c r="I120" s="0" t="s">
        <v>4079</v>
      </c>
      <c r="J120" s="0" t="s">
        <v>4080</v>
      </c>
      <c r="K120" s="0" t="s">
        <v>4081</v>
      </c>
      <c r="L120" s="0" t="s">
        <v>4081</v>
      </c>
      <c r="M120" s="0" t="s">
        <v>4082</v>
      </c>
      <c r="N120" s="0" t="s">
        <v>4083</v>
      </c>
      <c r="O120" s="0" t="s">
        <v>4084</v>
      </c>
      <c r="P120" s="0" t="s">
        <v>4085</v>
      </c>
      <c r="Q120" s="0" t="s">
        <v>152</v>
      </c>
      <c r="R120" s="0" t="b">
        <v>0</v>
      </c>
      <c r="S120" s="0" t="s">
        <v>4025</v>
      </c>
    </row>
    <row customHeight="1" ht="11.25">
      <c r="A121" s="0">
        <v>2655</v>
      </c>
      <c r="B121" s="0" t="s">
        <v>114</v>
      </c>
      <c r="C121" s="0">
        <v>31720063</v>
      </c>
      <c r="D121" s="0" t="s">
        <v>4086</v>
      </c>
      <c r="E121" s="0" t="s">
        <v>4087</v>
      </c>
      <c r="F121" s="0" t="s">
        <v>4088</v>
      </c>
      <c r="G121" s="0" t="s">
        <v>3541</v>
      </c>
      <c r="H121" s="0" t="s">
        <v>4089</v>
      </c>
      <c r="I121" s="0" t="s">
        <v>4090</v>
      </c>
      <c r="K121" s="0" t="s">
        <v>4091</v>
      </c>
      <c r="L121" s="0" t="s">
        <v>4091</v>
      </c>
      <c r="M121" s="0" t="s">
        <v>152</v>
      </c>
      <c r="N121" s="0" t="s">
        <v>4092</v>
      </c>
      <c r="O121" s="0" t="s">
        <v>4093</v>
      </c>
      <c r="P121" s="0" t="s">
        <v>3456</v>
      </c>
      <c r="Q121" s="0" t="s">
        <v>4094</v>
      </c>
      <c r="R121" s="0" t="b">
        <v>0</v>
      </c>
      <c r="S121" s="0" t="s">
        <v>4025</v>
      </c>
    </row>
    <row customHeight="1" ht="11.25">
      <c r="A122" s="0">
        <v>2655</v>
      </c>
      <c r="B122" s="0" t="s">
        <v>114</v>
      </c>
      <c r="C122" s="0">
        <v>31826293</v>
      </c>
      <c r="D122" s="0" t="s">
        <v>3446</v>
      </c>
      <c r="E122" s="0" t="s">
        <v>3447</v>
      </c>
      <c r="F122" s="0" t="s">
        <v>3448</v>
      </c>
      <c r="G122" s="0" t="s">
        <v>3449</v>
      </c>
      <c r="H122" s="0" t="s">
        <v>3450</v>
      </c>
      <c r="I122" s="0" t="s">
        <v>3451</v>
      </c>
      <c r="K122" s="0" t="s">
        <v>3452</v>
      </c>
      <c r="L122" s="0" t="s">
        <v>3453</v>
      </c>
      <c r="M122" s="0" t="s">
        <v>152</v>
      </c>
      <c r="N122" s="0" t="s">
        <v>3454</v>
      </c>
      <c r="O122" s="0" t="s">
        <v>3455</v>
      </c>
      <c r="P122" s="0" t="s">
        <v>3456</v>
      </c>
      <c r="Q122" s="0" t="s">
        <v>152</v>
      </c>
      <c r="R122" s="0" t="b">
        <v>0</v>
      </c>
      <c r="S122" s="0" t="s">
        <v>4025</v>
      </c>
    </row>
    <row customHeight="1" ht="11.25">
      <c r="A123" s="0">
        <v>2655</v>
      </c>
      <c r="B123" s="0" t="s">
        <v>114</v>
      </c>
      <c r="C123" s="0">
        <v>28262434</v>
      </c>
      <c r="D123" s="0" t="s">
        <v>4095</v>
      </c>
      <c r="E123" s="0" t="s">
        <v>4096</v>
      </c>
      <c r="F123" s="0" t="s">
        <v>4097</v>
      </c>
      <c r="G123" s="0" t="s">
        <v>4098</v>
      </c>
      <c r="H123" s="0" t="s">
        <v>4099</v>
      </c>
      <c r="I123" s="0" t="s">
        <v>4100</v>
      </c>
      <c r="J123" s="0" t="s">
        <v>3351</v>
      </c>
      <c r="K123" s="0" t="s">
        <v>4101</v>
      </c>
      <c r="L123" s="0" t="s">
        <v>4101</v>
      </c>
      <c r="M123" s="0" t="s">
        <v>4102</v>
      </c>
      <c r="N123" s="0" t="s">
        <v>4103</v>
      </c>
      <c r="O123" s="0" t="s">
        <v>4104</v>
      </c>
      <c r="P123" s="0" t="s">
        <v>3437</v>
      </c>
      <c r="Q123" s="0" t="s">
        <v>152</v>
      </c>
      <c r="R123" s="0" t="b">
        <v>0</v>
      </c>
      <c r="S123" s="0" t="s">
        <v>4025</v>
      </c>
    </row>
    <row customHeight="1" ht="11.25">
      <c r="A124" s="0">
        <v>2655</v>
      </c>
      <c r="B124" s="0" t="s">
        <v>114</v>
      </c>
      <c r="C124" s="0">
        <v>31382238</v>
      </c>
      <c r="D124" s="0" t="s">
        <v>4105</v>
      </c>
      <c r="E124" s="0" t="s">
        <v>4106</v>
      </c>
      <c r="F124" s="0" t="s">
        <v>4107</v>
      </c>
      <c r="G124" s="0" t="s">
        <v>4108</v>
      </c>
      <c r="H124" s="0" t="s">
        <v>4109</v>
      </c>
      <c r="I124" s="0" t="s">
        <v>4110</v>
      </c>
      <c r="J124" s="0" t="s">
        <v>4111</v>
      </c>
      <c r="K124" s="0" t="s">
        <v>4112</v>
      </c>
      <c r="L124" s="0" t="s">
        <v>4112</v>
      </c>
      <c r="M124" s="0" t="s">
        <v>152</v>
      </c>
      <c r="N124" s="0" t="s">
        <v>152</v>
      </c>
      <c r="O124" s="0" t="s">
        <v>4113</v>
      </c>
      <c r="P124" s="0" t="s">
        <v>4114</v>
      </c>
      <c r="Q124" s="0" t="s">
        <v>152</v>
      </c>
      <c r="R124" s="0" t="b">
        <v>1</v>
      </c>
      <c r="S124" s="0" t="s">
        <v>4025</v>
      </c>
    </row>
    <row customHeight="1" ht="11.25">
      <c r="A125" s="0">
        <v>2655</v>
      </c>
      <c r="B125" s="0" t="s">
        <v>114</v>
      </c>
      <c r="C125" s="0">
        <v>31763194</v>
      </c>
      <c r="D125" s="0" t="s">
        <v>4115</v>
      </c>
      <c r="E125" s="0" t="s">
        <v>4116</v>
      </c>
      <c r="F125" s="0" t="s">
        <v>4117</v>
      </c>
      <c r="G125" s="0" t="s">
        <v>4108</v>
      </c>
      <c r="H125" s="0" t="s">
        <v>4118</v>
      </c>
      <c r="I125" s="0" t="s">
        <v>4119</v>
      </c>
      <c r="K125" s="0" t="s">
        <v>4120</v>
      </c>
      <c r="L125" s="0" t="s">
        <v>4121</v>
      </c>
      <c r="M125" s="0" t="s">
        <v>152</v>
      </c>
      <c r="N125" s="0" t="s">
        <v>4122</v>
      </c>
      <c r="O125" s="0" t="s">
        <v>4123</v>
      </c>
      <c r="P125" s="0" t="s">
        <v>4124</v>
      </c>
      <c r="Q125" s="0" t="s">
        <v>4125</v>
      </c>
      <c r="R125" s="0" t="b">
        <v>1</v>
      </c>
      <c r="S125" s="0" t="s">
        <v>4025</v>
      </c>
    </row>
    <row customHeight="1" ht="11.25">
      <c r="A126" s="0">
        <v>2655</v>
      </c>
      <c r="B126" s="0" t="s">
        <v>114</v>
      </c>
      <c r="C126" s="0">
        <v>26322867</v>
      </c>
      <c r="D126" s="0" t="s">
        <v>3457</v>
      </c>
      <c r="E126" s="0" t="s">
        <v>3458</v>
      </c>
      <c r="F126" s="0" t="s">
        <v>3459</v>
      </c>
      <c r="G126" s="0" t="s">
        <v>3396</v>
      </c>
      <c r="H126" s="0" t="s">
        <v>3460</v>
      </c>
      <c r="I126" s="0" t="s">
        <v>3461</v>
      </c>
      <c r="J126" s="0" t="s">
        <v>3351</v>
      </c>
      <c r="K126" s="0" t="s">
        <v>3462</v>
      </c>
      <c r="L126" s="0" t="s">
        <v>3462</v>
      </c>
      <c r="M126" s="0" t="s">
        <v>3463</v>
      </c>
      <c r="N126" s="0" t="s">
        <v>3464</v>
      </c>
      <c r="O126" s="0" t="s">
        <v>3465</v>
      </c>
      <c r="P126" s="0" t="s">
        <v>3437</v>
      </c>
      <c r="Q126" s="0" t="s">
        <v>3466</v>
      </c>
      <c r="R126" s="0" t="b">
        <v>0</v>
      </c>
      <c r="S126" s="0" t="s">
        <v>4025</v>
      </c>
    </row>
    <row customHeight="1" ht="11.25">
      <c r="A127" s="0">
        <v>2655</v>
      </c>
      <c r="B127" s="0" t="s">
        <v>114</v>
      </c>
      <c r="C127" s="0">
        <v>26824396</v>
      </c>
      <c r="D127" s="0" t="s">
        <v>133</v>
      </c>
      <c r="E127" s="0" t="s">
        <v>136</v>
      </c>
      <c r="F127" s="0" t="s">
        <v>146</v>
      </c>
      <c r="G127" s="0" t="s">
        <v>149</v>
      </c>
      <c r="H127" s="0" t="s">
        <v>143</v>
      </c>
      <c r="I127" s="0" t="s">
        <v>152</v>
      </c>
      <c r="J127" s="0" t="s">
        <v>156</v>
      </c>
      <c r="K127" s="0" t="s">
        <v>160</v>
      </c>
      <c r="L127" s="0" t="s">
        <v>160</v>
      </c>
      <c r="M127" s="0" t="s">
        <v>3475</v>
      </c>
      <c r="N127" s="0" t="s">
        <v>152</v>
      </c>
      <c r="O127" s="0" t="s">
        <v>175</v>
      </c>
      <c r="P127" s="0" t="s">
        <v>179</v>
      </c>
      <c r="Q127" s="0" t="s">
        <v>152</v>
      </c>
      <c r="R127" s="0" t="b">
        <v>0</v>
      </c>
      <c r="S127" s="0" t="s">
        <v>4025</v>
      </c>
    </row>
    <row customHeight="1" ht="11.25">
      <c r="A128" s="0">
        <v>2655</v>
      </c>
      <c r="B128" s="0" t="s">
        <v>114</v>
      </c>
      <c r="C128" s="0">
        <v>30808700</v>
      </c>
      <c r="D128" s="0" t="s">
        <v>3499</v>
      </c>
      <c r="E128" s="0" t="s">
        <v>3500</v>
      </c>
      <c r="F128" s="0" t="s">
        <v>3501</v>
      </c>
      <c r="G128" s="0" t="s">
        <v>3440</v>
      </c>
      <c r="H128" s="0" t="s">
        <v>3502</v>
      </c>
      <c r="I128" s="0" t="s">
        <v>3503</v>
      </c>
      <c r="J128" s="0" t="s">
        <v>3494</v>
      </c>
      <c r="K128" s="0" t="s">
        <v>3504</v>
      </c>
      <c r="L128" s="0" t="s">
        <v>3505</v>
      </c>
      <c r="M128" s="0" t="s">
        <v>3506</v>
      </c>
      <c r="N128" s="0" t="s">
        <v>3507</v>
      </c>
      <c r="O128" s="0" t="s">
        <v>3508</v>
      </c>
      <c r="P128" s="0" t="s">
        <v>3456</v>
      </c>
      <c r="Q128" s="0" t="s">
        <v>152</v>
      </c>
      <c r="R128" s="0" t="b">
        <v>1</v>
      </c>
      <c r="S128" s="0" t="s">
        <v>4025</v>
      </c>
    </row>
    <row customHeight="1" ht="11.25">
      <c r="A129" s="0">
        <v>2655</v>
      </c>
      <c r="B129" s="0" t="s">
        <v>114</v>
      </c>
      <c r="C129" s="0">
        <v>31319221</v>
      </c>
      <c r="D129" s="0" t="s">
        <v>3509</v>
      </c>
      <c r="E129" s="0" t="s">
        <v>3510</v>
      </c>
      <c r="F129" s="0" t="s">
        <v>3511</v>
      </c>
      <c r="G129" s="0" t="s">
        <v>3491</v>
      </c>
      <c r="H129" s="0" t="s">
        <v>3512</v>
      </c>
      <c r="I129" s="0" t="s">
        <v>3513</v>
      </c>
      <c r="J129" s="0" t="s">
        <v>3482</v>
      </c>
      <c r="K129" s="0" t="s">
        <v>3514</v>
      </c>
      <c r="L129" s="0" t="s">
        <v>3515</v>
      </c>
      <c r="M129" s="0" t="s">
        <v>3516</v>
      </c>
      <c r="N129" s="0" t="s">
        <v>3517</v>
      </c>
      <c r="O129" s="0" t="s">
        <v>3518</v>
      </c>
      <c r="P129" s="0" t="s">
        <v>3487</v>
      </c>
      <c r="Q129" s="0" t="s">
        <v>152</v>
      </c>
      <c r="R129" s="0" t="b">
        <v>0</v>
      </c>
      <c r="S129" s="0" t="s">
        <v>4025</v>
      </c>
    </row>
    <row customHeight="1" ht="11.25">
      <c r="A130" s="0">
        <v>2655</v>
      </c>
      <c r="B130" s="0" t="s">
        <v>114</v>
      </c>
      <c r="C130" s="0">
        <v>31343443</v>
      </c>
      <c r="D130" s="0" t="s">
        <v>3530</v>
      </c>
      <c r="E130" s="0" t="s">
        <v>3531</v>
      </c>
      <c r="F130" s="0" t="s">
        <v>3532</v>
      </c>
      <c r="G130" s="0" t="s">
        <v>3440</v>
      </c>
      <c r="H130" s="0" t="s">
        <v>3533</v>
      </c>
      <c r="I130" s="0" t="s">
        <v>3534</v>
      </c>
      <c r="J130" s="0" t="s">
        <v>3482</v>
      </c>
      <c r="K130" s="0" t="s">
        <v>3535</v>
      </c>
      <c r="L130" s="0" t="s">
        <v>3535</v>
      </c>
      <c r="N130" s="0" t="s">
        <v>3536</v>
      </c>
      <c r="O130" s="0" t="s">
        <v>3537</v>
      </c>
      <c r="P130" s="0" t="s">
        <v>3456</v>
      </c>
      <c r="R130" s="0" t="b">
        <v>0</v>
      </c>
      <c r="S130" s="0" t="s">
        <v>4025</v>
      </c>
    </row>
    <row customHeight="1" ht="11.25">
      <c r="A131" s="0">
        <v>2655</v>
      </c>
      <c r="B131" s="0" t="s">
        <v>114</v>
      </c>
      <c r="C131" s="0">
        <v>31367841</v>
      </c>
      <c r="D131" s="0" t="s">
        <v>3538</v>
      </c>
      <c r="E131" s="0" t="s">
        <v>3539</v>
      </c>
      <c r="F131" s="0" t="s">
        <v>3540</v>
      </c>
      <c r="G131" s="0" t="s">
        <v>3541</v>
      </c>
      <c r="H131" s="0" t="s">
        <v>3542</v>
      </c>
      <c r="I131" s="0" t="s">
        <v>3543</v>
      </c>
      <c r="J131" s="0" t="s">
        <v>3494</v>
      </c>
      <c r="K131" s="0" t="s">
        <v>3544</v>
      </c>
      <c r="L131" s="0" t="s">
        <v>3544</v>
      </c>
      <c r="M131" s="0" t="s">
        <v>152</v>
      </c>
      <c r="N131" s="0" t="s">
        <v>3545</v>
      </c>
      <c r="O131" s="0" t="s">
        <v>3546</v>
      </c>
      <c r="P131" s="0" t="s">
        <v>3487</v>
      </c>
      <c r="Q131" s="0" t="s">
        <v>152</v>
      </c>
      <c r="R131" s="0" t="b">
        <v>0</v>
      </c>
      <c r="S131" s="0" t="s">
        <v>4025</v>
      </c>
    </row>
    <row customHeight="1" ht="11.25">
      <c r="A132" s="0">
        <v>2655</v>
      </c>
      <c r="B132" s="0" t="s">
        <v>114</v>
      </c>
      <c r="C132" s="0">
        <v>31087651</v>
      </c>
      <c r="D132" s="0" t="s">
        <v>3547</v>
      </c>
      <c r="E132" s="0" t="s">
        <v>3548</v>
      </c>
      <c r="F132" s="0" t="s">
        <v>3549</v>
      </c>
      <c r="G132" s="0" t="s">
        <v>3550</v>
      </c>
      <c r="H132" s="0" t="s">
        <v>3551</v>
      </c>
      <c r="I132" s="0" t="s">
        <v>3552</v>
      </c>
      <c r="J132" s="0" t="s">
        <v>3482</v>
      </c>
      <c r="K132" s="0" t="s">
        <v>3553</v>
      </c>
      <c r="L132" s="0" t="s">
        <v>3553</v>
      </c>
      <c r="M132" s="0" t="s">
        <v>3554</v>
      </c>
      <c r="N132" s="0" t="s">
        <v>3555</v>
      </c>
      <c r="O132" s="0" t="s">
        <v>3556</v>
      </c>
      <c r="R132" s="0" t="b">
        <v>0</v>
      </c>
      <c r="S132" s="0" t="s">
        <v>4025</v>
      </c>
    </row>
    <row customHeight="1" ht="11.25">
      <c r="A133" s="0">
        <v>2655</v>
      </c>
      <c r="B133" s="0" t="s">
        <v>114</v>
      </c>
      <c r="C133" s="0">
        <v>31367862</v>
      </c>
      <c r="D133" s="0" t="s">
        <v>3557</v>
      </c>
      <c r="E133" s="0" t="s">
        <v>3558</v>
      </c>
      <c r="F133" s="0" t="s">
        <v>3559</v>
      </c>
      <c r="G133" s="0" t="s">
        <v>3541</v>
      </c>
      <c r="H133" s="0" t="s">
        <v>3560</v>
      </c>
      <c r="I133" s="0" t="s">
        <v>3561</v>
      </c>
      <c r="J133" s="0" t="s">
        <v>3482</v>
      </c>
      <c r="K133" s="0" t="s">
        <v>3562</v>
      </c>
      <c r="L133" s="0" t="s">
        <v>3562</v>
      </c>
      <c r="M133" s="0" t="s">
        <v>152</v>
      </c>
      <c r="N133" s="0" t="s">
        <v>3563</v>
      </c>
      <c r="O133" s="0" t="s">
        <v>3564</v>
      </c>
      <c r="P133" s="0" t="s">
        <v>3487</v>
      </c>
      <c r="Q133" s="0" t="s">
        <v>152</v>
      </c>
      <c r="R133" s="0" t="b">
        <v>0</v>
      </c>
      <c r="S133" s="0" t="s">
        <v>4025</v>
      </c>
    </row>
    <row customHeight="1" ht="11.25">
      <c r="A134" s="0">
        <v>2655</v>
      </c>
      <c r="B134" s="0" t="s">
        <v>114</v>
      </c>
      <c r="C134" s="0">
        <v>31085797</v>
      </c>
      <c r="D134" s="0" t="s">
        <v>4126</v>
      </c>
      <c r="E134" s="0" t="s">
        <v>4127</v>
      </c>
      <c r="F134" s="0" t="s">
        <v>4128</v>
      </c>
      <c r="G134" s="0" t="s">
        <v>3376</v>
      </c>
      <c r="H134" s="0" t="s">
        <v>4129</v>
      </c>
      <c r="I134" s="0" t="s">
        <v>4130</v>
      </c>
      <c r="J134" s="0" t="s">
        <v>3494</v>
      </c>
      <c r="K134" s="0" t="s">
        <v>4131</v>
      </c>
      <c r="L134" s="0" t="s">
        <v>4132</v>
      </c>
      <c r="M134" s="0" t="s">
        <v>4133</v>
      </c>
      <c r="N134" s="0" t="s">
        <v>4134</v>
      </c>
      <c r="O134" s="0" t="s">
        <v>4135</v>
      </c>
      <c r="P134" s="0" t="s">
        <v>3487</v>
      </c>
      <c r="Q134" s="0" t="s">
        <v>152</v>
      </c>
      <c r="R134" s="0" t="b">
        <v>1</v>
      </c>
      <c r="S134" s="0" t="s">
        <v>4025</v>
      </c>
    </row>
    <row customHeight="1" ht="11.25">
      <c r="A135" s="0">
        <v>2655</v>
      </c>
      <c r="B135" s="0" t="s">
        <v>114</v>
      </c>
      <c r="C135" s="0">
        <v>26486390</v>
      </c>
      <c r="D135" s="0" t="s">
        <v>3565</v>
      </c>
      <c r="E135" s="0" t="s">
        <v>3566</v>
      </c>
      <c r="F135" s="0" t="s">
        <v>3567</v>
      </c>
      <c r="G135" s="0" t="s">
        <v>3568</v>
      </c>
      <c r="H135" s="0" t="s">
        <v>3569</v>
      </c>
      <c r="I135" s="0" t="s">
        <v>3570</v>
      </c>
      <c r="J135" s="0" t="s">
        <v>3494</v>
      </c>
      <c r="K135" s="0" t="s">
        <v>3571</v>
      </c>
      <c r="L135" s="0" t="s">
        <v>3571</v>
      </c>
      <c r="M135" s="0" t="s">
        <v>3572</v>
      </c>
      <c r="N135" s="0" t="s">
        <v>3573</v>
      </c>
      <c r="O135" s="0" t="s">
        <v>3574</v>
      </c>
      <c r="P135" s="0" t="s">
        <v>3575</v>
      </c>
      <c r="Q135" s="0" t="s">
        <v>152</v>
      </c>
      <c r="R135" s="0" t="b">
        <v>0</v>
      </c>
      <c r="S135" s="0" t="s">
        <v>4025</v>
      </c>
    </row>
    <row customHeight="1" ht="11.25">
      <c r="A136" s="0">
        <v>2655</v>
      </c>
      <c r="B136" s="0" t="s">
        <v>114</v>
      </c>
      <c r="C136" s="0">
        <v>31187282</v>
      </c>
      <c r="D136" s="0" t="s">
        <v>4136</v>
      </c>
      <c r="E136" s="0" t="s">
        <v>4137</v>
      </c>
      <c r="F136" s="0" t="s">
        <v>4138</v>
      </c>
      <c r="G136" s="0" t="s">
        <v>3386</v>
      </c>
      <c r="H136" s="0" t="s">
        <v>4139</v>
      </c>
      <c r="I136" s="0" t="s">
        <v>4140</v>
      </c>
      <c r="J136" s="0" t="s">
        <v>3494</v>
      </c>
      <c r="K136" s="0" t="s">
        <v>4141</v>
      </c>
      <c r="L136" s="0" t="s">
        <v>4141</v>
      </c>
      <c r="M136" s="0" t="s">
        <v>152</v>
      </c>
      <c r="N136" s="0" t="s">
        <v>4142</v>
      </c>
      <c r="O136" s="0" t="s">
        <v>4143</v>
      </c>
      <c r="P136" s="0" t="s">
        <v>3487</v>
      </c>
      <c r="Q136" s="0" t="s">
        <v>152</v>
      </c>
      <c r="R136" s="0" t="b">
        <v>0</v>
      </c>
      <c r="S136" s="0" t="s">
        <v>4025</v>
      </c>
    </row>
    <row customHeight="1" ht="11.25">
      <c r="A137" s="0">
        <v>2655</v>
      </c>
      <c r="B137" s="0" t="s">
        <v>114</v>
      </c>
      <c r="C137" s="0">
        <v>31284269</v>
      </c>
      <c r="D137" s="0" t="s">
        <v>3605</v>
      </c>
      <c r="E137" s="0" t="s">
        <v>3606</v>
      </c>
      <c r="F137" s="0" t="s">
        <v>3607</v>
      </c>
      <c r="G137" s="0" t="s">
        <v>3550</v>
      </c>
      <c r="H137" s="0" t="s">
        <v>3608</v>
      </c>
      <c r="I137" s="0" t="s">
        <v>3609</v>
      </c>
      <c r="J137" s="0" t="s">
        <v>3494</v>
      </c>
      <c r="K137" s="0" t="s">
        <v>3610</v>
      </c>
      <c r="L137" s="0" t="s">
        <v>3611</v>
      </c>
      <c r="M137" s="0" t="s">
        <v>3612</v>
      </c>
      <c r="N137" s="0" t="s">
        <v>3613</v>
      </c>
      <c r="O137" s="0" t="s">
        <v>3614</v>
      </c>
      <c r="P137" s="0" t="s">
        <v>152</v>
      </c>
      <c r="Q137" s="0" t="s">
        <v>152</v>
      </c>
      <c r="R137" s="0" t="b">
        <v>0</v>
      </c>
      <c r="S137" s="0" t="s">
        <v>4025</v>
      </c>
    </row>
    <row customHeight="1" ht="11.25">
      <c r="A138" s="0">
        <v>2655</v>
      </c>
      <c r="B138" s="0" t="s">
        <v>114</v>
      </c>
      <c r="C138" s="0">
        <v>31159389</v>
      </c>
      <c r="D138" s="0" t="s">
        <v>4144</v>
      </c>
      <c r="E138" s="0" t="s">
        <v>4145</v>
      </c>
      <c r="F138" s="0" t="s">
        <v>4146</v>
      </c>
      <c r="G138" s="0" t="s">
        <v>3522</v>
      </c>
      <c r="H138" s="0" t="s">
        <v>4147</v>
      </c>
      <c r="I138" s="0" t="s">
        <v>4148</v>
      </c>
      <c r="J138" s="0" t="s">
        <v>3494</v>
      </c>
      <c r="K138" s="0" t="s">
        <v>4149</v>
      </c>
      <c r="L138" s="0" t="s">
        <v>4150</v>
      </c>
      <c r="M138" s="0" t="s">
        <v>4151</v>
      </c>
      <c r="N138" s="0" t="s">
        <v>4152</v>
      </c>
      <c r="O138" s="0" t="s">
        <v>4153</v>
      </c>
      <c r="P138" s="0" t="s">
        <v>3487</v>
      </c>
      <c r="Q138" s="0" t="s">
        <v>152</v>
      </c>
      <c r="R138" s="0" t="b">
        <v>0</v>
      </c>
      <c r="S138" s="0" t="s">
        <v>4025</v>
      </c>
    </row>
    <row customHeight="1" ht="11.25">
      <c r="A139" s="0">
        <v>2655</v>
      </c>
      <c r="B139" s="0" t="s">
        <v>114</v>
      </c>
      <c r="C139" s="0">
        <v>26322895</v>
      </c>
      <c r="D139" s="0" t="s">
        <v>3635</v>
      </c>
      <c r="E139" s="0" t="s">
        <v>3636</v>
      </c>
      <c r="F139" s="0" t="s">
        <v>3637</v>
      </c>
      <c r="G139" s="0" t="s">
        <v>3363</v>
      </c>
      <c r="H139" s="0" t="s">
        <v>3638</v>
      </c>
      <c r="I139" s="0" t="s">
        <v>3639</v>
      </c>
      <c r="J139" s="0" t="s">
        <v>156</v>
      </c>
      <c r="K139" s="0" t="s">
        <v>3640</v>
      </c>
      <c r="L139" s="0" t="s">
        <v>3640</v>
      </c>
      <c r="M139" s="0" t="s">
        <v>3641</v>
      </c>
      <c r="N139" s="0" t="s">
        <v>3642</v>
      </c>
      <c r="O139" s="0" t="s">
        <v>3643</v>
      </c>
      <c r="P139" s="0" t="s">
        <v>3437</v>
      </c>
      <c r="Q139" s="0" t="s">
        <v>3644</v>
      </c>
      <c r="R139" s="0" t="b">
        <v>0</v>
      </c>
      <c r="S139" s="0" t="s">
        <v>4025</v>
      </c>
    </row>
    <row customHeight="1" ht="11.25">
      <c r="A140" s="0">
        <v>2655</v>
      </c>
      <c r="B140" s="0" t="s">
        <v>114</v>
      </c>
      <c r="C140" s="0">
        <v>26356930</v>
      </c>
      <c r="D140" s="0" t="s">
        <v>4154</v>
      </c>
      <c r="E140" s="0" t="s">
        <v>4155</v>
      </c>
      <c r="F140" s="0" t="s">
        <v>4156</v>
      </c>
      <c r="G140" s="0" t="s">
        <v>3656</v>
      </c>
      <c r="H140" s="0" t="s">
        <v>4157</v>
      </c>
      <c r="I140" s="0" t="s">
        <v>4158</v>
      </c>
      <c r="J140" s="0" t="s">
        <v>3649</v>
      </c>
      <c r="K140" s="0" t="s">
        <v>4159</v>
      </c>
      <c r="L140" s="0" t="s">
        <v>4159</v>
      </c>
      <c r="M140" s="0" t="s">
        <v>4160</v>
      </c>
      <c r="N140" s="0" t="s">
        <v>152</v>
      </c>
      <c r="O140" s="0" t="s">
        <v>4161</v>
      </c>
      <c r="P140" s="0" t="s">
        <v>3487</v>
      </c>
      <c r="Q140" s="0" t="s">
        <v>152</v>
      </c>
      <c r="R140" s="0" t="b">
        <v>1</v>
      </c>
      <c r="S140" s="0" t="s">
        <v>4025</v>
      </c>
    </row>
    <row customHeight="1" ht="11.25">
      <c r="A141" s="0">
        <v>2655</v>
      </c>
      <c r="B141" s="0" t="s">
        <v>114</v>
      </c>
      <c r="C141" s="0">
        <v>30843704</v>
      </c>
      <c r="D141" s="0" t="s">
        <v>4162</v>
      </c>
      <c r="E141" s="0" t="s">
        <v>4163</v>
      </c>
      <c r="F141" s="0" t="s">
        <v>4164</v>
      </c>
      <c r="G141" s="0" t="s">
        <v>3363</v>
      </c>
      <c r="H141" s="0" t="s">
        <v>4165</v>
      </c>
      <c r="I141" s="0" t="s">
        <v>4166</v>
      </c>
      <c r="J141" s="0" t="s">
        <v>3649</v>
      </c>
      <c r="K141" s="0" t="s">
        <v>4167</v>
      </c>
      <c r="L141" s="0" t="s">
        <v>4168</v>
      </c>
      <c r="M141" s="0" t="s">
        <v>152</v>
      </c>
      <c r="N141" s="0" t="s">
        <v>4169</v>
      </c>
      <c r="O141" s="0" t="s">
        <v>4170</v>
      </c>
      <c r="P141" s="0" t="s">
        <v>3437</v>
      </c>
      <c r="Q141" s="0" t="s">
        <v>152</v>
      </c>
      <c r="R141" s="0" t="b">
        <v>0</v>
      </c>
      <c r="S141" s="0" t="s">
        <v>4025</v>
      </c>
    </row>
    <row customHeight="1" ht="11.25">
      <c r="A142" s="0">
        <v>2655</v>
      </c>
      <c r="B142" s="0" t="s">
        <v>114</v>
      </c>
      <c r="C142" s="0">
        <v>26798812</v>
      </c>
      <c r="D142" s="0" t="s">
        <v>4171</v>
      </c>
      <c r="E142" s="0" t="s">
        <v>4172</v>
      </c>
      <c r="F142" s="0" t="s">
        <v>4173</v>
      </c>
      <c r="G142" s="0" t="s">
        <v>3376</v>
      </c>
      <c r="H142" s="0" t="s">
        <v>4174</v>
      </c>
      <c r="I142" s="0" t="s">
        <v>4175</v>
      </c>
      <c r="J142" s="0" t="s">
        <v>3649</v>
      </c>
      <c r="K142" s="0" t="s">
        <v>4176</v>
      </c>
      <c r="L142" s="0" t="s">
        <v>4176</v>
      </c>
      <c r="M142" s="0" t="s">
        <v>4177</v>
      </c>
      <c r="N142" s="0" t="s">
        <v>4178</v>
      </c>
      <c r="O142" s="0" t="s">
        <v>4179</v>
      </c>
      <c r="P142" s="0" t="s">
        <v>3437</v>
      </c>
      <c r="Q142" s="0" t="s">
        <v>4180</v>
      </c>
      <c r="R142" s="0" t="b">
        <v>0</v>
      </c>
      <c r="S142" s="0" t="s">
        <v>4025</v>
      </c>
    </row>
    <row customHeight="1" ht="11.25">
      <c r="A143" s="0">
        <v>2655</v>
      </c>
      <c r="B143" s="0" t="s">
        <v>114</v>
      </c>
      <c r="C143" s="0">
        <v>30398770</v>
      </c>
      <c r="D143" s="0" t="s">
        <v>4181</v>
      </c>
      <c r="E143" s="0" t="s">
        <v>4182</v>
      </c>
      <c r="F143" s="0" t="s">
        <v>4183</v>
      </c>
      <c r="G143" s="0" t="s">
        <v>3376</v>
      </c>
      <c r="H143" s="0" t="s">
        <v>4184</v>
      </c>
      <c r="I143" s="0" t="s">
        <v>4185</v>
      </c>
      <c r="J143" s="0" t="s">
        <v>3649</v>
      </c>
      <c r="K143" s="0" t="s">
        <v>152</v>
      </c>
      <c r="L143" s="0" t="s">
        <v>4186</v>
      </c>
      <c r="M143" s="0" t="s">
        <v>4187</v>
      </c>
      <c r="N143" s="0" t="s">
        <v>4188</v>
      </c>
      <c r="O143" s="0" t="s">
        <v>4189</v>
      </c>
      <c r="P143" s="0" t="s">
        <v>3437</v>
      </c>
      <c r="Q143" s="0" t="s">
        <v>152</v>
      </c>
      <c r="R143" s="0" t="b">
        <v>0</v>
      </c>
      <c r="S143" s="0" t="s">
        <v>4025</v>
      </c>
    </row>
    <row customHeight="1" ht="11.25">
      <c r="A144" s="0">
        <v>2655</v>
      </c>
      <c r="B144" s="0" t="s">
        <v>114</v>
      </c>
      <c r="C144" s="0">
        <v>31775146</v>
      </c>
      <c r="D144" s="0" t="s">
        <v>3653</v>
      </c>
      <c r="E144" s="0" t="s">
        <v>3654</v>
      </c>
      <c r="F144" s="0" t="s">
        <v>3655</v>
      </c>
      <c r="G144" s="0" t="s">
        <v>3656</v>
      </c>
      <c r="H144" s="0" t="s">
        <v>3657</v>
      </c>
      <c r="I144" s="0" t="s">
        <v>3658</v>
      </c>
      <c r="K144" s="0" t="s">
        <v>3659</v>
      </c>
      <c r="L144" s="0" t="s">
        <v>3659</v>
      </c>
      <c r="M144" s="0" t="s">
        <v>3660</v>
      </c>
      <c r="N144" s="0" t="s">
        <v>3661</v>
      </c>
      <c r="O144" s="0" t="s">
        <v>3662</v>
      </c>
      <c r="P144" s="0" t="s">
        <v>3456</v>
      </c>
      <c r="Q144" s="0" t="s">
        <v>152</v>
      </c>
      <c r="R144" s="0" t="b">
        <v>1</v>
      </c>
      <c r="S144" s="0" t="s">
        <v>4025</v>
      </c>
    </row>
    <row customHeight="1" ht="11.25">
      <c r="A145" s="0">
        <v>2655</v>
      </c>
      <c r="B145" s="0" t="s">
        <v>114</v>
      </c>
      <c r="C145" s="0">
        <v>28873685</v>
      </c>
      <c r="D145" s="0" t="s">
        <v>4190</v>
      </c>
      <c r="E145" s="0" t="s">
        <v>4191</v>
      </c>
      <c r="F145" s="0" t="s">
        <v>4192</v>
      </c>
      <c r="G145" s="0" t="s">
        <v>3656</v>
      </c>
      <c r="H145" s="0" t="s">
        <v>4193</v>
      </c>
      <c r="I145" s="0" t="s">
        <v>4194</v>
      </c>
      <c r="J145" s="0" t="s">
        <v>3649</v>
      </c>
      <c r="K145" s="0" t="s">
        <v>4195</v>
      </c>
      <c r="L145" s="0" t="s">
        <v>4195</v>
      </c>
      <c r="M145" s="0" t="s">
        <v>4196</v>
      </c>
      <c r="N145" s="0" t="s">
        <v>3661</v>
      </c>
      <c r="O145" s="0" t="s">
        <v>3662</v>
      </c>
      <c r="P145" s="0" t="s">
        <v>3437</v>
      </c>
      <c r="Q145" s="0" t="s">
        <v>4197</v>
      </c>
      <c r="R145" s="0" t="b">
        <v>1</v>
      </c>
      <c r="S145" s="0" t="s">
        <v>4025</v>
      </c>
    </row>
    <row customHeight="1" ht="11.25">
      <c r="A146" s="0">
        <v>2655</v>
      </c>
      <c r="B146" s="0" t="s">
        <v>114</v>
      </c>
      <c r="C146" s="0">
        <v>28869965</v>
      </c>
      <c r="D146" s="0" t="s">
        <v>3663</v>
      </c>
      <c r="E146" s="0" t="s">
        <v>3664</v>
      </c>
      <c r="F146" s="0" t="s">
        <v>3665</v>
      </c>
      <c r="G146" s="0" t="s">
        <v>3479</v>
      </c>
      <c r="H146" s="0" t="s">
        <v>3666</v>
      </c>
      <c r="I146" s="0" t="s">
        <v>152</v>
      </c>
      <c r="J146" s="0" t="s">
        <v>3649</v>
      </c>
      <c r="K146" s="0" t="s">
        <v>3667</v>
      </c>
      <c r="L146" s="0" t="s">
        <v>3667</v>
      </c>
      <c r="M146" s="0" t="s">
        <v>3668</v>
      </c>
      <c r="N146" s="0" t="s">
        <v>3669</v>
      </c>
      <c r="O146" s="0" t="s">
        <v>3670</v>
      </c>
      <c r="P146" s="0" t="s">
        <v>3437</v>
      </c>
      <c r="Q146" s="0" t="s">
        <v>3671</v>
      </c>
      <c r="R146" s="0" t="b">
        <v>0</v>
      </c>
      <c r="S146" s="0" t="s">
        <v>4025</v>
      </c>
    </row>
    <row customHeight="1" ht="11.25">
      <c r="A147" s="0">
        <v>2655</v>
      </c>
      <c r="B147" s="0" t="s">
        <v>114</v>
      </c>
      <c r="C147" s="0">
        <v>31245446</v>
      </c>
      <c r="D147" s="0" t="s">
        <v>4198</v>
      </c>
      <c r="E147" s="0" t="s">
        <v>4199</v>
      </c>
      <c r="F147" s="0" t="s">
        <v>4200</v>
      </c>
      <c r="G147" s="0" t="s">
        <v>3684</v>
      </c>
      <c r="H147" s="0" t="s">
        <v>4201</v>
      </c>
      <c r="I147" s="0" t="s">
        <v>4202</v>
      </c>
      <c r="J147" s="0" t="s">
        <v>3649</v>
      </c>
      <c r="K147" s="0" t="s">
        <v>152</v>
      </c>
      <c r="L147" s="0" t="s">
        <v>4203</v>
      </c>
      <c r="M147" s="0" t="s">
        <v>152</v>
      </c>
      <c r="N147" s="0" t="s">
        <v>4204</v>
      </c>
      <c r="O147" s="0" t="s">
        <v>4205</v>
      </c>
      <c r="P147" s="0" t="s">
        <v>3487</v>
      </c>
      <c r="Q147" s="0" t="s">
        <v>152</v>
      </c>
      <c r="R147" s="0" t="b">
        <v>0</v>
      </c>
      <c r="S147" s="0" t="s">
        <v>4025</v>
      </c>
    </row>
    <row customHeight="1" ht="11.25">
      <c r="A148" s="0">
        <v>2655</v>
      </c>
      <c r="B148" s="0" t="s">
        <v>114</v>
      </c>
      <c r="C148" s="0">
        <v>26476793</v>
      </c>
      <c r="D148" s="0" t="s">
        <v>4206</v>
      </c>
      <c r="E148" s="0" t="s">
        <v>4207</v>
      </c>
      <c r="F148" s="0" t="s">
        <v>4208</v>
      </c>
      <c r="G148" s="0" t="s">
        <v>4098</v>
      </c>
      <c r="H148" s="0" t="s">
        <v>4209</v>
      </c>
      <c r="I148" s="0" t="s">
        <v>4210</v>
      </c>
      <c r="J148" s="0" t="s">
        <v>3649</v>
      </c>
      <c r="K148" s="0" t="s">
        <v>4211</v>
      </c>
      <c r="L148" s="0" t="s">
        <v>4211</v>
      </c>
      <c r="M148" s="0" t="s">
        <v>4212</v>
      </c>
      <c r="N148" s="0" t="s">
        <v>4213</v>
      </c>
      <c r="O148" s="0" t="s">
        <v>4214</v>
      </c>
      <c r="P148" s="0" t="s">
        <v>3487</v>
      </c>
      <c r="Q148" s="0" t="s">
        <v>189</v>
      </c>
      <c r="R148" s="0" t="b">
        <v>1</v>
      </c>
      <c r="S148" s="0" t="s">
        <v>4025</v>
      </c>
    </row>
    <row customHeight="1" ht="11.25">
      <c r="A149" s="0">
        <v>2655</v>
      </c>
      <c r="B149" s="0" t="s">
        <v>114</v>
      </c>
      <c r="C149" s="0">
        <v>28509720</v>
      </c>
      <c r="D149" s="0" t="s">
        <v>4215</v>
      </c>
      <c r="E149" s="0" t="s">
        <v>4216</v>
      </c>
      <c r="F149" s="0" t="s">
        <v>4217</v>
      </c>
      <c r="G149" s="0" t="s">
        <v>4218</v>
      </c>
      <c r="H149" s="0" t="s">
        <v>4219</v>
      </c>
      <c r="I149" s="0" t="s">
        <v>4220</v>
      </c>
      <c r="J149" s="0" t="s">
        <v>3649</v>
      </c>
      <c r="K149" s="0" t="s">
        <v>4221</v>
      </c>
      <c r="L149" s="0" t="s">
        <v>4222</v>
      </c>
      <c r="M149" s="0" t="s">
        <v>4223</v>
      </c>
      <c r="N149" s="0" t="s">
        <v>152</v>
      </c>
      <c r="O149" s="0" t="s">
        <v>4224</v>
      </c>
      <c r="P149" s="0" t="s">
        <v>3437</v>
      </c>
      <c r="Q149" s="0" t="s">
        <v>152</v>
      </c>
      <c r="R149" s="0" t="b">
        <v>0</v>
      </c>
      <c r="S149" s="0" t="s">
        <v>4025</v>
      </c>
    </row>
    <row customHeight="1" ht="11.25">
      <c r="A150" s="0">
        <v>2655</v>
      </c>
      <c r="B150" s="0" t="s">
        <v>114</v>
      </c>
      <c r="C150" s="0">
        <v>30950350</v>
      </c>
      <c r="D150" s="0" t="s">
        <v>4225</v>
      </c>
      <c r="E150" s="0" t="s">
        <v>4226</v>
      </c>
      <c r="F150" s="0" t="s">
        <v>4227</v>
      </c>
      <c r="G150" s="0" t="s">
        <v>3598</v>
      </c>
      <c r="H150" s="0" t="s">
        <v>4228</v>
      </c>
      <c r="I150" s="0" t="s">
        <v>4229</v>
      </c>
      <c r="J150" s="0" t="s">
        <v>3649</v>
      </c>
      <c r="K150" s="0" t="s">
        <v>4230</v>
      </c>
      <c r="L150" s="0" t="s">
        <v>4230</v>
      </c>
      <c r="M150" s="0" t="s">
        <v>4231</v>
      </c>
      <c r="N150" s="0" t="s">
        <v>4232</v>
      </c>
      <c r="O150" s="0" t="s">
        <v>4233</v>
      </c>
      <c r="P150" s="0" t="s">
        <v>3487</v>
      </c>
      <c r="Q150" s="0" t="s">
        <v>189</v>
      </c>
      <c r="R150" s="0" t="b">
        <v>0</v>
      </c>
      <c r="S150" s="0" t="s">
        <v>4025</v>
      </c>
    </row>
    <row customHeight="1" ht="11.25">
      <c r="A151" s="0">
        <v>2655</v>
      </c>
      <c r="B151" s="0" t="s">
        <v>114</v>
      </c>
      <c r="C151" s="0">
        <v>31527562</v>
      </c>
      <c r="D151" s="0" t="s">
        <v>4234</v>
      </c>
      <c r="E151" s="0" t="s">
        <v>4235</v>
      </c>
      <c r="F151" s="0" t="s">
        <v>4236</v>
      </c>
      <c r="G151" s="0" t="s">
        <v>4237</v>
      </c>
      <c r="H151" s="0" t="s">
        <v>4238</v>
      </c>
      <c r="I151" s="0" t="s">
        <v>4239</v>
      </c>
      <c r="K151" s="0" t="s">
        <v>4240</v>
      </c>
      <c r="L151" s="0" t="s">
        <v>4241</v>
      </c>
      <c r="M151" s="0" t="s">
        <v>152</v>
      </c>
      <c r="N151" s="0" t="s">
        <v>152</v>
      </c>
      <c r="O151" s="0" t="s">
        <v>4242</v>
      </c>
      <c r="P151" s="0" t="s">
        <v>152</v>
      </c>
      <c r="Q151" s="0" t="s">
        <v>152</v>
      </c>
      <c r="R151" s="0" t="b">
        <v>0</v>
      </c>
      <c r="S151" s="0" t="s">
        <v>4025</v>
      </c>
    </row>
    <row customHeight="1" ht="11.25">
      <c r="A152" s="0">
        <v>2655</v>
      </c>
      <c r="B152" s="0" t="s">
        <v>114</v>
      </c>
      <c r="C152" s="0">
        <v>31874557</v>
      </c>
      <c r="D152" s="0" t="s">
        <v>4243</v>
      </c>
      <c r="E152" s="0" t="s">
        <v>4244</v>
      </c>
      <c r="F152" s="0" t="s">
        <v>4245</v>
      </c>
      <c r="G152" s="0" t="s">
        <v>3598</v>
      </c>
      <c r="H152" s="0" t="s">
        <v>4246</v>
      </c>
      <c r="I152" s="0" t="s">
        <v>4247</v>
      </c>
      <c r="K152" s="0" t="s">
        <v>4248</v>
      </c>
      <c r="L152" s="0" t="s">
        <v>4248</v>
      </c>
      <c r="M152" s="0" t="s">
        <v>4249</v>
      </c>
      <c r="N152" s="0" t="s">
        <v>4250</v>
      </c>
      <c r="O152" s="0" t="s">
        <v>4251</v>
      </c>
      <c r="P152" s="0" t="s">
        <v>3437</v>
      </c>
      <c r="Q152" s="0" t="s">
        <v>152</v>
      </c>
      <c r="R152" s="0" t="b">
        <v>1</v>
      </c>
      <c r="S152" s="0" t="s">
        <v>4025</v>
      </c>
    </row>
    <row customHeight="1" ht="11.25">
      <c r="A153" s="0">
        <v>2655</v>
      </c>
      <c r="B153" s="0" t="s">
        <v>114</v>
      </c>
      <c r="C153" s="0">
        <v>31656254</v>
      </c>
      <c r="D153" s="0" t="s">
        <v>3701</v>
      </c>
      <c r="E153" s="0" t="s">
        <v>3702</v>
      </c>
      <c r="F153" s="0" t="s">
        <v>3703</v>
      </c>
      <c r="G153" s="0" t="s">
        <v>3704</v>
      </c>
      <c r="H153" s="0" t="s">
        <v>3705</v>
      </c>
      <c r="I153" s="0" t="s">
        <v>3706</v>
      </c>
      <c r="K153" s="0" t="s">
        <v>3707</v>
      </c>
      <c r="L153" s="0" t="s">
        <v>3708</v>
      </c>
      <c r="M153" s="0" t="s">
        <v>3709</v>
      </c>
      <c r="N153" s="0" t="s">
        <v>3710</v>
      </c>
      <c r="O153" s="0" t="s">
        <v>3711</v>
      </c>
      <c r="P153" s="0" t="s">
        <v>3487</v>
      </c>
      <c r="Q153" s="0" t="s">
        <v>3712</v>
      </c>
      <c r="R153" s="0" t="b">
        <v>0</v>
      </c>
      <c r="S153" s="0" t="s">
        <v>4025</v>
      </c>
    </row>
    <row customHeight="1" ht="11.25">
      <c r="A154" s="0">
        <v>2655</v>
      </c>
      <c r="B154" s="0" t="s">
        <v>114</v>
      </c>
      <c r="C154" s="0">
        <v>26356927</v>
      </c>
      <c r="D154" s="0" t="s">
        <v>4252</v>
      </c>
      <c r="E154" s="0" t="s">
        <v>4253</v>
      </c>
      <c r="F154" s="0" t="s">
        <v>4254</v>
      </c>
      <c r="G154" s="0" t="s">
        <v>3656</v>
      </c>
      <c r="H154" s="0" t="s">
        <v>4255</v>
      </c>
      <c r="I154" s="0" t="s">
        <v>4256</v>
      </c>
      <c r="J154" s="0" t="s">
        <v>3649</v>
      </c>
      <c r="K154" s="0" t="s">
        <v>4257</v>
      </c>
      <c r="L154" s="0" t="s">
        <v>4257</v>
      </c>
      <c r="M154" s="0" t="s">
        <v>4258</v>
      </c>
      <c r="N154" s="0" t="s">
        <v>4259</v>
      </c>
      <c r="O154" s="0" t="s">
        <v>4260</v>
      </c>
      <c r="P154" s="0" t="s">
        <v>3456</v>
      </c>
      <c r="Q154" s="0" t="s">
        <v>152</v>
      </c>
      <c r="R154" s="0" t="b">
        <v>1</v>
      </c>
      <c r="S154" s="0" t="s">
        <v>4025</v>
      </c>
    </row>
    <row customHeight="1" ht="11.25">
      <c r="A155" s="0">
        <v>2655</v>
      </c>
      <c r="B155" s="0" t="s">
        <v>114</v>
      </c>
      <c r="C155" s="0">
        <v>28878273</v>
      </c>
      <c r="D155" s="0" t="s">
        <v>4261</v>
      </c>
      <c r="E155" s="0" t="s">
        <v>4262</v>
      </c>
      <c r="F155" s="0" t="s">
        <v>4263</v>
      </c>
      <c r="G155" s="0" t="s">
        <v>3363</v>
      </c>
      <c r="H155" s="0" t="s">
        <v>4264</v>
      </c>
      <c r="I155" s="0" t="s">
        <v>152</v>
      </c>
      <c r="J155" s="0" t="s">
        <v>3649</v>
      </c>
      <c r="K155" s="0" t="s">
        <v>4265</v>
      </c>
      <c r="L155" s="0" t="s">
        <v>4266</v>
      </c>
      <c r="M155" s="0" t="s">
        <v>4267</v>
      </c>
      <c r="N155" s="0" t="s">
        <v>4268</v>
      </c>
      <c r="O155" s="0" t="s">
        <v>4269</v>
      </c>
      <c r="P155" s="0" t="s">
        <v>3437</v>
      </c>
      <c r="Q155" s="0" t="s">
        <v>4270</v>
      </c>
      <c r="R155" s="0" t="b">
        <v>0</v>
      </c>
      <c r="S155" s="0" t="s">
        <v>4025</v>
      </c>
    </row>
    <row customHeight="1" ht="11.25">
      <c r="A156" s="0">
        <v>2655</v>
      </c>
      <c r="B156" s="0" t="s">
        <v>114</v>
      </c>
      <c r="C156" s="0">
        <v>26562805</v>
      </c>
      <c r="D156" s="0" t="s">
        <v>4271</v>
      </c>
      <c r="E156" s="0" t="s">
        <v>4272</v>
      </c>
      <c r="F156" s="0" t="s">
        <v>4273</v>
      </c>
      <c r="G156" s="0" t="s">
        <v>3568</v>
      </c>
      <c r="H156" s="0" t="s">
        <v>4274</v>
      </c>
      <c r="I156" s="0" t="s">
        <v>4275</v>
      </c>
      <c r="J156" s="0" t="s">
        <v>3649</v>
      </c>
      <c r="K156" s="0" t="s">
        <v>4276</v>
      </c>
      <c r="L156" s="0" t="s">
        <v>4276</v>
      </c>
      <c r="M156" s="0" t="s">
        <v>4277</v>
      </c>
      <c r="N156" s="0" t="s">
        <v>4278</v>
      </c>
      <c r="O156" s="0" t="s">
        <v>4279</v>
      </c>
      <c r="P156" s="0" t="s">
        <v>3487</v>
      </c>
      <c r="Q156" s="0" t="s">
        <v>4280</v>
      </c>
      <c r="R156" s="0" t="b">
        <v>0</v>
      </c>
      <c r="S156" s="0" t="s">
        <v>4025</v>
      </c>
    </row>
    <row customHeight="1" ht="11.25">
      <c r="A157" s="0">
        <v>2655</v>
      </c>
      <c r="B157" s="0" t="s">
        <v>114</v>
      </c>
      <c r="C157" s="0">
        <v>31684090</v>
      </c>
      <c r="D157" s="0" t="s">
        <v>4281</v>
      </c>
      <c r="E157" s="0" t="s">
        <v>4282</v>
      </c>
      <c r="F157" s="0" t="s">
        <v>4283</v>
      </c>
      <c r="G157" s="0" t="s">
        <v>3363</v>
      </c>
      <c r="H157" s="0" t="s">
        <v>4284</v>
      </c>
      <c r="I157" s="0" t="s">
        <v>4285</v>
      </c>
      <c r="K157" s="0" t="s">
        <v>4286</v>
      </c>
      <c r="L157" s="0" t="s">
        <v>4287</v>
      </c>
      <c r="M157" s="0" t="s">
        <v>152</v>
      </c>
      <c r="N157" s="0" t="s">
        <v>152</v>
      </c>
      <c r="O157" s="0" t="s">
        <v>4288</v>
      </c>
      <c r="P157" s="0" t="s">
        <v>3371</v>
      </c>
      <c r="Q157" s="0" t="s">
        <v>4289</v>
      </c>
      <c r="R157" s="0" t="b">
        <v>0</v>
      </c>
      <c r="S157" s="0" t="s">
        <v>4025</v>
      </c>
    </row>
    <row customHeight="1" ht="11.25">
      <c r="A158" s="0">
        <v>2655</v>
      </c>
      <c r="B158" s="0" t="s">
        <v>114</v>
      </c>
      <c r="C158" s="0">
        <v>27997588</v>
      </c>
      <c r="D158" s="0" t="s">
        <v>4290</v>
      </c>
      <c r="E158" s="0" t="s">
        <v>4291</v>
      </c>
      <c r="F158" s="0" t="s">
        <v>4292</v>
      </c>
      <c r="G158" s="0" t="s">
        <v>3479</v>
      </c>
      <c r="H158" s="0" t="s">
        <v>4293</v>
      </c>
      <c r="I158" s="0" t="s">
        <v>4294</v>
      </c>
      <c r="J158" s="0" t="s">
        <v>3649</v>
      </c>
      <c r="K158" s="0" t="s">
        <v>4295</v>
      </c>
      <c r="L158" s="0" t="s">
        <v>4295</v>
      </c>
      <c r="M158" s="0" t="s">
        <v>4296</v>
      </c>
      <c r="N158" s="0" t="s">
        <v>4297</v>
      </c>
      <c r="O158" s="0" t="s">
        <v>4298</v>
      </c>
      <c r="P158" s="0" t="s">
        <v>4299</v>
      </c>
      <c r="Q158" s="0" t="s">
        <v>152</v>
      </c>
      <c r="R158" s="0" t="b">
        <v>0</v>
      </c>
      <c r="S158" s="0" t="s">
        <v>4025</v>
      </c>
    </row>
    <row customHeight="1" ht="11.25">
      <c r="A159" s="0">
        <v>2655</v>
      </c>
      <c r="B159" s="0" t="s">
        <v>114</v>
      </c>
      <c r="C159" s="0">
        <v>28882034</v>
      </c>
      <c r="D159" s="0" t="s">
        <v>4300</v>
      </c>
      <c r="E159" s="0" t="s">
        <v>4301</v>
      </c>
      <c r="F159" s="0" t="s">
        <v>4302</v>
      </c>
      <c r="G159" s="0" t="s">
        <v>3363</v>
      </c>
      <c r="H159" s="0" t="s">
        <v>4303</v>
      </c>
      <c r="I159" s="0" t="s">
        <v>152</v>
      </c>
      <c r="J159" s="0" t="s">
        <v>3649</v>
      </c>
      <c r="K159" s="0" t="s">
        <v>4304</v>
      </c>
      <c r="L159" s="0" t="s">
        <v>4304</v>
      </c>
      <c r="M159" s="0" t="s">
        <v>152</v>
      </c>
      <c r="N159" s="0" t="s">
        <v>152</v>
      </c>
      <c r="O159" s="0" t="s">
        <v>4305</v>
      </c>
      <c r="P159" s="0" t="s">
        <v>3487</v>
      </c>
      <c r="Q159" s="0" t="s">
        <v>152</v>
      </c>
      <c r="R159" s="0" t="b">
        <v>0</v>
      </c>
      <c r="S159" s="0" t="s">
        <v>4025</v>
      </c>
    </row>
    <row customHeight="1" ht="11.25">
      <c r="A160" s="0">
        <v>2655</v>
      </c>
      <c r="B160" s="0" t="s">
        <v>114</v>
      </c>
      <c r="C160" s="0">
        <v>26648537</v>
      </c>
      <c r="D160" s="0" t="s">
        <v>4306</v>
      </c>
      <c r="E160" s="0" t="s">
        <v>4307</v>
      </c>
      <c r="F160" s="0" t="s">
        <v>4308</v>
      </c>
      <c r="G160" s="0" t="s">
        <v>3363</v>
      </c>
      <c r="H160" s="0" t="s">
        <v>4309</v>
      </c>
      <c r="I160" s="0" t="s">
        <v>4310</v>
      </c>
      <c r="J160" s="0" t="s">
        <v>3649</v>
      </c>
      <c r="K160" s="0" t="s">
        <v>4311</v>
      </c>
      <c r="L160" s="0" t="s">
        <v>4311</v>
      </c>
      <c r="M160" s="0" t="s">
        <v>4312</v>
      </c>
      <c r="N160" s="0" t="s">
        <v>4313</v>
      </c>
      <c r="O160" s="0" t="s">
        <v>4314</v>
      </c>
      <c r="P160" s="0" t="s">
        <v>3487</v>
      </c>
      <c r="Q160" s="0" t="s">
        <v>4315</v>
      </c>
      <c r="R160" s="0" t="b">
        <v>0</v>
      </c>
      <c r="S160" s="0" t="s">
        <v>4025</v>
      </c>
    </row>
    <row customHeight="1" ht="11.25">
      <c r="A161" s="0">
        <v>2655</v>
      </c>
      <c r="B161" s="0" t="s">
        <v>114</v>
      </c>
      <c r="C161" s="0">
        <v>31519209</v>
      </c>
      <c r="D161" s="0" t="s">
        <v>4316</v>
      </c>
      <c r="E161" s="0" t="s">
        <v>4317</v>
      </c>
      <c r="F161" s="0" t="s">
        <v>4318</v>
      </c>
      <c r="G161" s="0" t="s">
        <v>3656</v>
      </c>
      <c r="H161" s="0" t="s">
        <v>4319</v>
      </c>
      <c r="I161" s="0" t="s">
        <v>4320</v>
      </c>
      <c r="J161" s="0" t="s">
        <v>3649</v>
      </c>
      <c r="K161" s="0" t="s">
        <v>4321</v>
      </c>
      <c r="L161" s="0" t="s">
        <v>4322</v>
      </c>
      <c r="M161" s="0" t="s">
        <v>4323</v>
      </c>
      <c r="N161" s="0" t="s">
        <v>4324</v>
      </c>
      <c r="O161" s="0" t="s">
        <v>4325</v>
      </c>
      <c r="P161" s="0" t="s">
        <v>3371</v>
      </c>
      <c r="Q161" s="0" t="s">
        <v>152</v>
      </c>
      <c r="R161" s="0" t="b">
        <v>0</v>
      </c>
      <c r="S161" s="0" t="s">
        <v>4025</v>
      </c>
    </row>
    <row customHeight="1" ht="11.25">
      <c r="A162" s="0">
        <v>2655</v>
      </c>
      <c r="B162" s="0" t="s">
        <v>114</v>
      </c>
      <c r="C162" s="0">
        <v>31574053</v>
      </c>
      <c r="D162" s="0" t="s">
        <v>4326</v>
      </c>
      <c r="E162" s="0" t="s">
        <v>4327</v>
      </c>
      <c r="F162" s="0" t="s">
        <v>4328</v>
      </c>
      <c r="G162" s="0" t="s">
        <v>3598</v>
      </c>
      <c r="H162" s="0" t="s">
        <v>4329</v>
      </c>
      <c r="I162" s="0" t="s">
        <v>4330</v>
      </c>
      <c r="K162" s="0" t="s">
        <v>4331</v>
      </c>
      <c r="L162" s="0" t="s">
        <v>4331</v>
      </c>
      <c r="M162" s="0" t="s">
        <v>4332</v>
      </c>
      <c r="N162" s="0" t="s">
        <v>4333</v>
      </c>
      <c r="O162" s="0" t="s">
        <v>4334</v>
      </c>
      <c r="P162" s="0" t="s">
        <v>3487</v>
      </c>
      <c r="Q162" s="0" t="s">
        <v>152</v>
      </c>
      <c r="R162" s="0" t="b">
        <v>0</v>
      </c>
      <c r="S162" s="0" t="s">
        <v>4025</v>
      </c>
    </row>
    <row customHeight="1" ht="11.25">
      <c r="A163" s="0">
        <v>2655</v>
      </c>
      <c r="B163" s="0" t="s">
        <v>114</v>
      </c>
      <c r="C163" s="0">
        <v>28141951</v>
      </c>
      <c r="D163" s="0" t="s">
        <v>4335</v>
      </c>
      <c r="E163" s="0" t="s">
        <v>4336</v>
      </c>
      <c r="F163" s="0" t="s">
        <v>4337</v>
      </c>
      <c r="G163" s="0" t="s">
        <v>3386</v>
      </c>
      <c r="H163" s="0" t="s">
        <v>4338</v>
      </c>
      <c r="I163" s="0" t="s">
        <v>4339</v>
      </c>
      <c r="J163" s="0" t="s">
        <v>3649</v>
      </c>
      <c r="K163" s="0" t="s">
        <v>4340</v>
      </c>
      <c r="L163" s="0" t="s">
        <v>4340</v>
      </c>
      <c r="M163" s="0" t="s">
        <v>4341</v>
      </c>
      <c r="N163" s="0" t="s">
        <v>4342</v>
      </c>
      <c r="O163" s="0" t="s">
        <v>4343</v>
      </c>
      <c r="P163" s="0" t="s">
        <v>3437</v>
      </c>
      <c r="Q163" s="0" t="s">
        <v>4344</v>
      </c>
      <c r="R163" s="0" t="b">
        <v>0</v>
      </c>
      <c r="S163" s="0" t="s">
        <v>4025</v>
      </c>
    </row>
    <row customHeight="1" ht="11.25">
      <c r="A164" s="0">
        <v>2655</v>
      </c>
      <c r="B164" s="0" t="s">
        <v>114</v>
      </c>
      <c r="C164" s="0">
        <v>26852793</v>
      </c>
      <c r="D164" s="0" t="s">
        <v>4345</v>
      </c>
      <c r="E164" s="0" t="s">
        <v>4346</v>
      </c>
      <c r="F164" s="0" t="s">
        <v>4347</v>
      </c>
      <c r="G164" s="0" t="s">
        <v>3598</v>
      </c>
      <c r="H164" s="0" t="s">
        <v>4348</v>
      </c>
      <c r="I164" s="0" t="s">
        <v>4349</v>
      </c>
      <c r="J164" s="0" t="s">
        <v>3649</v>
      </c>
      <c r="K164" s="0" t="s">
        <v>4031</v>
      </c>
      <c r="L164" s="0" t="s">
        <v>4031</v>
      </c>
      <c r="M164" s="0" t="s">
        <v>4350</v>
      </c>
      <c r="N164" s="0" t="s">
        <v>4351</v>
      </c>
      <c r="O164" s="0" t="s">
        <v>4352</v>
      </c>
      <c r="P164" s="0" t="s">
        <v>3437</v>
      </c>
      <c r="Q164" s="0" t="s">
        <v>189</v>
      </c>
      <c r="R164" s="0" t="b">
        <v>0</v>
      </c>
      <c r="S164" s="0" t="s">
        <v>4025</v>
      </c>
    </row>
    <row customHeight="1" ht="11.25">
      <c r="A165" s="0">
        <v>2655</v>
      </c>
      <c r="B165" s="0" t="s">
        <v>114</v>
      </c>
      <c r="C165" s="0">
        <v>28141966</v>
      </c>
      <c r="D165" s="0" t="s">
        <v>4353</v>
      </c>
      <c r="E165" s="0" t="s">
        <v>4354</v>
      </c>
      <c r="F165" s="0" t="s">
        <v>4355</v>
      </c>
      <c r="G165" s="0" t="s">
        <v>3479</v>
      </c>
      <c r="H165" s="0" t="s">
        <v>4356</v>
      </c>
      <c r="I165" s="0" t="s">
        <v>4357</v>
      </c>
      <c r="J165" s="0" t="s">
        <v>3649</v>
      </c>
      <c r="K165" s="0" t="s">
        <v>4358</v>
      </c>
      <c r="L165" s="0" t="s">
        <v>4359</v>
      </c>
      <c r="M165" s="0" t="s">
        <v>4360</v>
      </c>
      <c r="N165" s="0" t="s">
        <v>4361</v>
      </c>
      <c r="O165" s="0" t="s">
        <v>4362</v>
      </c>
      <c r="P165" s="0" t="s">
        <v>3437</v>
      </c>
      <c r="Q165" s="0" t="s">
        <v>4363</v>
      </c>
      <c r="R165" s="0" t="b">
        <v>0</v>
      </c>
      <c r="S165" s="0" t="s">
        <v>4025</v>
      </c>
    </row>
    <row customHeight="1" ht="11.25">
      <c r="A166" s="0">
        <v>2655</v>
      </c>
      <c r="B166" s="0" t="s">
        <v>114</v>
      </c>
      <c r="C166" s="0">
        <v>31424033</v>
      </c>
      <c r="D166" s="0" t="s">
        <v>3713</v>
      </c>
      <c r="E166" s="0" t="s">
        <v>3714</v>
      </c>
      <c r="F166" s="0" t="s">
        <v>3715</v>
      </c>
      <c r="G166" s="0" t="s">
        <v>3716</v>
      </c>
      <c r="H166" s="0" t="s">
        <v>3717</v>
      </c>
      <c r="I166" s="0" t="s">
        <v>152</v>
      </c>
      <c r="J166" s="0" t="s">
        <v>3649</v>
      </c>
      <c r="K166" s="0" t="s">
        <v>152</v>
      </c>
      <c r="L166" s="0" t="s">
        <v>152</v>
      </c>
      <c r="M166" s="0" t="s">
        <v>152</v>
      </c>
      <c r="N166" s="0" t="s">
        <v>152</v>
      </c>
      <c r="O166" s="0" t="s">
        <v>152</v>
      </c>
      <c r="P166" s="0" t="s">
        <v>152</v>
      </c>
      <c r="Q166" s="0" t="s">
        <v>152</v>
      </c>
      <c r="R166" s="0" t="b">
        <v>0</v>
      </c>
      <c r="S166" s="0" t="s">
        <v>4025</v>
      </c>
    </row>
    <row customHeight="1" ht="11.25">
      <c r="A167" s="0">
        <v>2655</v>
      </c>
      <c r="B167" s="0" t="s">
        <v>114</v>
      </c>
      <c r="C167" s="0">
        <v>27838991</v>
      </c>
      <c r="D167" s="0" t="s">
        <v>3998</v>
      </c>
      <c r="E167" s="0" t="s">
        <v>3999</v>
      </c>
      <c r="F167" s="0" t="s">
        <v>4000</v>
      </c>
      <c r="G167" s="0" t="s">
        <v>3386</v>
      </c>
      <c r="H167" s="0" t="s">
        <v>4001</v>
      </c>
      <c r="I167" s="0" t="s">
        <v>4002</v>
      </c>
      <c r="J167" s="0" t="s">
        <v>3649</v>
      </c>
      <c r="K167" s="0" t="s">
        <v>4003</v>
      </c>
      <c r="L167" s="0" t="s">
        <v>4004</v>
      </c>
      <c r="M167" s="0" t="s">
        <v>4005</v>
      </c>
      <c r="N167" s="0" t="s">
        <v>4006</v>
      </c>
      <c r="O167" s="0" t="s">
        <v>4007</v>
      </c>
      <c r="P167" s="0" t="s">
        <v>3437</v>
      </c>
      <c r="Q167" s="0" t="s">
        <v>152</v>
      </c>
      <c r="R167" s="0" t="b">
        <v>0</v>
      </c>
      <c r="S167" s="0" t="s">
        <v>4025</v>
      </c>
    </row>
    <row customHeight="1" ht="11.25">
      <c r="A168" s="0">
        <v>2655</v>
      </c>
      <c r="B168" s="0" t="s">
        <v>114</v>
      </c>
      <c r="C168" s="0">
        <v>26356931</v>
      </c>
      <c r="D168" s="0" t="s">
        <v>4364</v>
      </c>
      <c r="E168" s="0" t="s">
        <v>4365</v>
      </c>
      <c r="F168" s="0" t="s">
        <v>4366</v>
      </c>
      <c r="G168" s="0" t="s">
        <v>3656</v>
      </c>
      <c r="H168" s="0" t="s">
        <v>4367</v>
      </c>
      <c r="I168" s="0" t="s">
        <v>4368</v>
      </c>
      <c r="J168" s="0" t="s">
        <v>3649</v>
      </c>
      <c r="K168" s="0" t="s">
        <v>4369</v>
      </c>
      <c r="L168" s="0" t="s">
        <v>4369</v>
      </c>
      <c r="M168" s="0" t="s">
        <v>4370</v>
      </c>
      <c r="N168" s="0" t="s">
        <v>4371</v>
      </c>
      <c r="O168" s="0" t="s">
        <v>4372</v>
      </c>
      <c r="P168" s="0" t="s">
        <v>3487</v>
      </c>
      <c r="Q168" s="0" t="s">
        <v>189</v>
      </c>
      <c r="R168" s="0" t="b">
        <v>1</v>
      </c>
      <c r="S168" s="0" t="s">
        <v>4025</v>
      </c>
    </row>
    <row customHeight="1" ht="11.25">
      <c r="A169" s="0">
        <v>2655</v>
      </c>
      <c r="B169" s="0" t="s">
        <v>114</v>
      </c>
      <c r="C169" s="0">
        <v>28151808</v>
      </c>
      <c r="D169" s="0" t="s">
        <v>3727</v>
      </c>
      <c r="E169" s="0" t="s">
        <v>3728</v>
      </c>
      <c r="F169" s="0" t="s">
        <v>3729</v>
      </c>
      <c r="G169" s="0" t="s">
        <v>3440</v>
      </c>
      <c r="H169" s="0" t="s">
        <v>3730</v>
      </c>
      <c r="I169" s="0" t="s">
        <v>3731</v>
      </c>
      <c r="J169" s="0" t="s">
        <v>3649</v>
      </c>
      <c r="K169" s="0" t="s">
        <v>3732</v>
      </c>
      <c r="L169" s="0" t="s">
        <v>3733</v>
      </c>
      <c r="M169" s="0" t="s">
        <v>3734</v>
      </c>
      <c r="N169" s="0" t="s">
        <v>3735</v>
      </c>
      <c r="O169" s="0" t="s">
        <v>3736</v>
      </c>
      <c r="P169" s="0" t="s">
        <v>3437</v>
      </c>
      <c r="Q169" s="0" t="s">
        <v>152</v>
      </c>
      <c r="R169" s="0" t="b">
        <v>1</v>
      </c>
      <c r="S169" s="0" t="s">
        <v>4025</v>
      </c>
    </row>
    <row customHeight="1" ht="11.25">
      <c r="A170" s="0">
        <v>2655</v>
      </c>
      <c r="B170" s="0" t="s">
        <v>114</v>
      </c>
      <c r="C170" s="0">
        <v>31739633</v>
      </c>
      <c r="D170" s="0" t="s">
        <v>3737</v>
      </c>
      <c r="E170" s="0" t="s">
        <v>3738</v>
      </c>
      <c r="F170" s="0" t="s">
        <v>3739</v>
      </c>
      <c r="G170" s="0" t="s">
        <v>3740</v>
      </c>
      <c r="H170" s="0" t="s">
        <v>3741</v>
      </c>
      <c r="I170" s="0" t="s">
        <v>3742</v>
      </c>
      <c r="K170" s="0" t="s">
        <v>3743</v>
      </c>
      <c r="L170" s="0" t="s">
        <v>3743</v>
      </c>
      <c r="M170" s="0" t="s">
        <v>3744</v>
      </c>
      <c r="N170" s="0" t="s">
        <v>3745</v>
      </c>
      <c r="O170" s="0" t="s">
        <v>3746</v>
      </c>
      <c r="P170" s="0" t="s">
        <v>3456</v>
      </c>
      <c r="Q170" s="0" t="s">
        <v>152</v>
      </c>
      <c r="R170" s="0" t="b">
        <v>0</v>
      </c>
      <c r="S170" s="0" t="s">
        <v>4025</v>
      </c>
    </row>
    <row customHeight="1" ht="11.25">
      <c r="A171" s="0">
        <v>2655</v>
      </c>
      <c r="B171" s="0" t="s">
        <v>114</v>
      </c>
      <c r="C171" s="0">
        <v>30433806</v>
      </c>
      <c r="D171" s="0" t="s">
        <v>4373</v>
      </c>
      <c r="E171" s="0" t="s">
        <v>4374</v>
      </c>
      <c r="F171" s="0" t="s">
        <v>4375</v>
      </c>
      <c r="G171" s="0" t="s">
        <v>3568</v>
      </c>
      <c r="H171" s="0" t="s">
        <v>4376</v>
      </c>
      <c r="I171" s="0" t="s">
        <v>4377</v>
      </c>
      <c r="J171" s="0" t="s">
        <v>3649</v>
      </c>
      <c r="K171" s="0" t="s">
        <v>4378</v>
      </c>
      <c r="L171" s="0" t="s">
        <v>4378</v>
      </c>
      <c r="M171" s="0" t="s">
        <v>4379</v>
      </c>
      <c r="N171" s="0" t="s">
        <v>4380</v>
      </c>
      <c r="O171" s="0" t="s">
        <v>4381</v>
      </c>
      <c r="P171" s="0" t="s">
        <v>3487</v>
      </c>
      <c r="Q171" s="0" t="s">
        <v>189</v>
      </c>
      <c r="R171" s="0" t="b">
        <v>0</v>
      </c>
      <c r="S171" s="0" t="s">
        <v>4025</v>
      </c>
    </row>
    <row customHeight="1" ht="11.25">
      <c r="A172" s="0">
        <v>2655</v>
      </c>
      <c r="B172" s="0" t="s">
        <v>114</v>
      </c>
      <c r="C172" s="0">
        <v>31743966</v>
      </c>
      <c r="D172" s="0" t="s">
        <v>4382</v>
      </c>
      <c r="E172" s="0" t="s">
        <v>4383</v>
      </c>
      <c r="F172" s="0" t="s">
        <v>4384</v>
      </c>
      <c r="G172" s="0" t="s">
        <v>3363</v>
      </c>
      <c r="H172" s="0" t="s">
        <v>4385</v>
      </c>
      <c r="I172" s="0" t="s">
        <v>4386</v>
      </c>
      <c r="K172" s="0" t="s">
        <v>4387</v>
      </c>
      <c r="L172" s="0" t="s">
        <v>4387</v>
      </c>
      <c r="M172" s="0" t="s">
        <v>4388</v>
      </c>
      <c r="N172" s="0" t="s">
        <v>4389</v>
      </c>
      <c r="O172" s="0" t="s">
        <v>4390</v>
      </c>
      <c r="P172" s="0" t="s">
        <v>3437</v>
      </c>
      <c r="Q172" s="0" t="s">
        <v>4391</v>
      </c>
      <c r="R172" s="0" t="b">
        <v>1</v>
      </c>
      <c r="S172" s="0" t="s">
        <v>4025</v>
      </c>
    </row>
    <row customHeight="1" ht="11.25">
      <c r="A173" s="0">
        <v>2655</v>
      </c>
      <c r="B173" s="0" t="s">
        <v>114</v>
      </c>
      <c r="C173" s="0">
        <v>30874454</v>
      </c>
      <c r="D173" s="0" t="s">
        <v>4392</v>
      </c>
      <c r="E173" s="0" t="s">
        <v>4393</v>
      </c>
      <c r="F173" s="0" t="s">
        <v>4394</v>
      </c>
      <c r="G173" s="0" t="s">
        <v>3716</v>
      </c>
      <c r="H173" s="0" t="s">
        <v>4395</v>
      </c>
      <c r="I173" s="0" t="s">
        <v>4396</v>
      </c>
      <c r="J173" s="0" t="s">
        <v>3649</v>
      </c>
      <c r="K173" s="0" t="s">
        <v>4397</v>
      </c>
      <c r="L173" s="0" t="s">
        <v>4398</v>
      </c>
      <c r="M173" s="0" t="s">
        <v>4399</v>
      </c>
      <c r="N173" s="0" t="s">
        <v>4361</v>
      </c>
      <c r="O173" s="0" t="s">
        <v>4400</v>
      </c>
      <c r="P173" s="0" t="s">
        <v>3456</v>
      </c>
      <c r="Q173" s="0" t="s">
        <v>4401</v>
      </c>
      <c r="R173" s="0" t="b">
        <v>0</v>
      </c>
      <c r="S173" s="0" t="s">
        <v>4025</v>
      </c>
    </row>
    <row customHeight="1" ht="11.25">
      <c r="A174" s="0">
        <v>2655</v>
      </c>
      <c r="B174" s="0" t="s">
        <v>114</v>
      </c>
      <c r="C174" s="0">
        <v>26356987</v>
      </c>
      <c r="D174" s="0" t="s">
        <v>3757</v>
      </c>
      <c r="E174" s="0" t="s">
        <v>3758</v>
      </c>
      <c r="F174" s="0" t="s">
        <v>3759</v>
      </c>
      <c r="G174" s="0" t="s">
        <v>3760</v>
      </c>
      <c r="H174" s="0" t="s">
        <v>3761</v>
      </c>
      <c r="I174" s="0" t="s">
        <v>3762</v>
      </c>
      <c r="J174" s="0" t="s">
        <v>3649</v>
      </c>
      <c r="K174" s="0" t="s">
        <v>3763</v>
      </c>
      <c r="L174" s="0" t="s">
        <v>3763</v>
      </c>
      <c r="M174" s="0" t="s">
        <v>3764</v>
      </c>
      <c r="N174" s="0" t="s">
        <v>3765</v>
      </c>
      <c r="O174" s="0" t="s">
        <v>3766</v>
      </c>
      <c r="P174" s="0" t="s">
        <v>3456</v>
      </c>
      <c r="Q174" s="0" t="s">
        <v>3767</v>
      </c>
      <c r="R174" s="0" t="b">
        <v>0</v>
      </c>
      <c r="S174" s="0" t="s">
        <v>4025</v>
      </c>
    </row>
    <row customHeight="1" ht="11.25">
      <c r="A175" s="0">
        <v>2655</v>
      </c>
      <c r="B175" s="0" t="s">
        <v>114</v>
      </c>
      <c r="C175" s="0">
        <v>30856223</v>
      </c>
      <c r="D175" s="0" t="s">
        <v>4402</v>
      </c>
      <c r="E175" s="0" t="s">
        <v>4403</v>
      </c>
      <c r="F175" s="0" t="s">
        <v>4404</v>
      </c>
      <c r="G175" s="0" t="s">
        <v>3386</v>
      </c>
      <c r="H175" s="0" t="s">
        <v>4405</v>
      </c>
      <c r="I175" s="0" t="s">
        <v>4406</v>
      </c>
      <c r="J175" s="0" t="s">
        <v>3649</v>
      </c>
      <c r="K175" s="0" t="s">
        <v>4407</v>
      </c>
      <c r="L175" s="0" t="s">
        <v>4407</v>
      </c>
      <c r="M175" s="0" t="s">
        <v>4408</v>
      </c>
      <c r="N175" s="0" t="s">
        <v>4409</v>
      </c>
      <c r="O175" s="0" t="s">
        <v>4410</v>
      </c>
      <c r="P175" s="0" t="s">
        <v>3437</v>
      </c>
      <c r="Q175" s="0" t="s">
        <v>4411</v>
      </c>
      <c r="R175" s="0" t="b">
        <v>0</v>
      </c>
      <c r="S175" s="0" t="s">
        <v>4025</v>
      </c>
    </row>
    <row customHeight="1" ht="11.25">
      <c r="A176" s="0">
        <v>2655</v>
      </c>
      <c r="B176" s="0" t="s">
        <v>114</v>
      </c>
      <c r="C176" s="0">
        <v>31373026</v>
      </c>
      <c r="D176" s="0" t="s">
        <v>4402</v>
      </c>
      <c r="E176" s="0" t="s">
        <v>4403</v>
      </c>
      <c r="F176" s="0" t="s">
        <v>4412</v>
      </c>
      <c r="G176" s="0" t="s">
        <v>3740</v>
      </c>
      <c r="H176" s="0" t="s">
        <v>4413</v>
      </c>
      <c r="I176" s="0" t="s">
        <v>4414</v>
      </c>
      <c r="J176" s="0" t="s">
        <v>3649</v>
      </c>
      <c r="K176" s="0" t="s">
        <v>4415</v>
      </c>
      <c r="L176" s="0" t="s">
        <v>4416</v>
      </c>
      <c r="M176" s="0" t="s">
        <v>4417</v>
      </c>
      <c r="N176" s="0" t="s">
        <v>4418</v>
      </c>
      <c r="O176" s="0" t="s">
        <v>4419</v>
      </c>
      <c r="P176" s="0" t="s">
        <v>4420</v>
      </c>
      <c r="Q176" s="0" t="s">
        <v>4421</v>
      </c>
      <c r="R176" s="0" t="b">
        <v>1</v>
      </c>
      <c r="S176" s="0" t="s">
        <v>4025</v>
      </c>
    </row>
    <row customHeight="1" ht="11.25">
      <c r="A177" s="0">
        <v>2655</v>
      </c>
      <c r="B177" s="0" t="s">
        <v>114</v>
      </c>
      <c r="C177" s="0">
        <v>31579609</v>
      </c>
      <c r="D177" s="0" t="s">
        <v>4422</v>
      </c>
      <c r="E177" s="0" t="s">
        <v>4423</v>
      </c>
      <c r="F177" s="0" t="s">
        <v>4424</v>
      </c>
      <c r="G177" s="0" t="s">
        <v>3440</v>
      </c>
      <c r="H177" s="0" t="s">
        <v>4425</v>
      </c>
      <c r="I177" s="0" t="s">
        <v>4426</v>
      </c>
      <c r="K177" s="0" t="s">
        <v>4427</v>
      </c>
      <c r="L177" s="0" t="s">
        <v>4427</v>
      </c>
      <c r="M177" s="0" t="s">
        <v>4428</v>
      </c>
      <c r="N177" s="0" t="s">
        <v>4429</v>
      </c>
      <c r="O177" s="0" t="s">
        <v>4430</v>
      </c>
      <c r="P177" s="0" t="s">
        <v>3437</v>
      </c>
      <c r="Q177" s="0" t="s">
        <v>152</v>
      </c>
      <c r="R177" s="0" t="b">
        <v>1</v>
      </c>
      <c r="S177" s="0" t="s">
        <v>4025</v>
      </c>
    </row>
    <row customHeight="1" ht="11.25">
      <c r="A178" s="0">
        <v>2655</v>
      </c>
      <c r="B178" s="0" t="s">
        <v>114</v>
      </c>
      <c r="C178" s="0">
        <v>26356891</v>
      </c>
      <c r="D178" s="0" t="s">
        <v>3768</v>
      </c>
      <c r="E178" s="0" t="s">
        <v>3769</v>
      </c>
      <c r="F178" s="0" t="s">
        <v>3770</v>
      </c>
      <c r="G178" s="0" t="s">
        <v>3579</v>
      </c>
      <c r="H178" s="0" t="s">
        <v>3771</v>
      </c>
      <c r="I178" s="0" t="s">
        <v>3772</v>
      </c>
      <c r="J178" s="0" t="s">
        <v>3649</v>
      </c>
      <c r="K178" s="0" t="s">
        <v>3773</v>
      </c>
      <c r="L178" s="0" t="s">
        <v>3773</v>
      </c>
      <c r="M178" s="0" t="s">
        <v>3774</v>
      </c>
      <c r="N178" s="0" t="s">
        <v>3775</v>
      </c>
      <c r="O178" s="0" t="s">
        <v>3776</v>
      </c>
      <c r="P178" s="0" t="s">
        <v>3487</v>
      </c>
      <c r="Q178" s="0" t="s">
        <v>152</v>
      </c>
      <c r="R178" s="0" t="b">
        <v>0</v>
      </c>
      <c r="S178" s="0" t="s">
        <v>4025</v>
      </c>
    </row>
    <row customHeight="1" ht="11.25">
      <c r="A179" s="0">
        <v>2655</v>
      </c>
      <c r="B179" s="0" t="s">
        <v>114</v>
      </c>
      <c r="C179" s="0">
        <v>27566835</v>
      </c>
      <c r="D179" s="0" t="s">
        <v>4431</v>
      </c>
      <c r="E179" s="0" t="s">
        <v>4432</v>
      </c>
      <c r="F179" s="0" t="s">
        <v>4433</v>
      </c>
      <c r="G179" s="0" t="s">
        <v>3579</v>
      </c>
      <c r="H179" s="0" t="s">
        <v>4434</v>
      </c>
      <c r="I179" s="0" t="s">
        <v>4435</v>
      </c>
      <c r="J179" s="0" t="s">
        <v>3649</v>
      </c>
      <c r="K179" s="0" t="s">
        <v>4436</v>
      </c>
      <c r="L179" s="0" t="s">
        <v>4436</v>
      </c>
      <c r="M179" s="0" t="s">
        <v>4437</v>
      </c>
      <c r="N179" s="0" t="s">
        <v>3593</v>
      </c>
      <c r="O179" s="0" t="s">
        <v>4438</v>
      </c>
      <c r="P179" s="0" t="s">
        <v>3487</v>
      </c>
      <c r="Q179" s="0" t="s">
        <v>189</v>
      </c>
      <c r="R179" s="0" t="b">
        <v>0</v>
      </c>
      <c r="S179" s="0" t="s">
        <v>4025</v>
      </c>
    </row>
    <row customHeight="1" ht="11.25">
      <c r="A180" s="0">
        <v>2655</v>
      </c>
      <c r="B180" s="0" t="s">
        <v>114</v>
      </c>
      <c r="C180" s="0">
        <v>31229342</v>
      </c>
      <c r="D180" s="0" t="s">
        <v>4439</v>
      </c>
      <c r="E180" s="0" t="s">
        <v>4440</v>
      </c>
      <c r="F180" s="0" t="s">
        <v>4441</v>
      </c>
      <c r="G180" s="0" t="s">
        <v>3598</v>
      </c>
      <c r="H180" s="0" t="s">
        <v>4442</v>
      </c>
      <c r="I180" s="0" t="s">
        <v>4443</v>
      </c>
      <c r="J180" s="0" t="s">
        <v>3649</v>
      </c>
      <c r="K180" s="0" t="s">
        <v>4444</v>
      </c>
      <c r="L180" s="0" t="s">
        <v>4444</v>
      </c>
      <c r="M180" s="0" t="s">
        <v>4445</v>
      </c>
      <c r="N180" s="0" t="s">
        <v>4446</v>
      </c>
      <c r="O180" s="0" t="s">
        <v>4447</v>
      </c>
      <c r="P180" s="0" t="s">
        <v>3437</v>
      </c>
      <c r="Q180" s="0" t="s">
        <v>152</v>
      </c>
      <c r="R180" s="0" t="b">
        <v>0</v>
      </c>
      <c r="S180" s="0" t="s">
        <v>4025</v>
      </c>
    </row>
    <row customHeight="1" ht="11.25">
      <c r="A181" s="0">
        <v>2655</v>
      </c>
      <c r="B181" s="0" t="s">
        <v>114</v>
      </c>
      <c r="C181" s="0">
        <v>31690080</v>
      </c>
      <c r="D181" s="0" t="s">
        <v>4448</v>
      </c>
      <c r="E181" s="0" t="s">
        <v>4449</v>
      </c>
      <c r="F181" s="0" t="s">
        <v>4450</v>
      </c>
      <c r="G181" s="0" t="s">
        <v>3598</v>
      </c>
      <c r="H181" s="0" t="s">
        <v>4451</v>
      </c>
      <c r="I181" s="0" t="s">
        <v>4452</v>
      </c>
      <c r="K181" s="0" t="s">
        <v>4453</v>
      </c>
      <c r="L181" s="0" t="s">
        <v>4453</v>
      </c>
      <c r="M181" s="0" t="s">
        <v>4454</v>
      </c>
      <c r="N181" s="0" t="s">
        <v>4455</v>
      </c>
      <c r="O181" s="0" t="s">
        <v>4456</v>
      </c>
      <c r="P181" s="0" t="s">
        <v>3487</v>
      </c>
      <c r="Q181" s="0" t="s">
        <v>152</v>
      </c>
      <c r="R181" s="0" t="b">
        <v>1</v>
      </c>
      <c r="S181" s="0" t="s">
        <v>4025</v>
      </c>
    </row>
    <row customHeight="1" ht="11.25">
      <c r="A182" s="0">
        <v>2655</v>
      </c>
      <c r="B182" s="0" t="s">
        <v>114</v>
      </c>
      <c r="C182" s="0">
        <v>31539720</v>
      </c>
      <c r="D182" s="0" t="s">
        <v>4448</v>
      </c>
      <c r="E182" s="0" t="s">
        <v>4457</v>
      </c>
      <c r="F182" s="0" t="s">
        <v>4458</v>
      </c>
      <c r="G182" s="0" t="s">
        <v>3598</v>
      </c>
      <c r="H182" s="0" t="s">
        <v>4459</v>
      </c>
      <c r="I182" s="0" t="s">
        <v>4460</v>
      </c>
      <c r="K182" s="0" t="s">
        <v>4461</v>
      </c>
      <c r="L182" s="0" t="s">
        <v>4461</v>
      </c>
      <c r="M182" s="0" t="s">
        <v>4462</v>
      </c>
      <c r="N182" s="0" t="s">
        <v>152</v>
      </c>
      <c r="O182" s="0" t="s">
        <v>4463</v>
      </c>
      <c r="P182" s="0" t="s">
        <v>3371</v>
      </c>
      <c r="Q182" s="0" t="s">
        <v>4464</v>
      </c>
      <c r="R182" s="0" t="b">
        <v>0</v>
      </c>
      <c r="S182" s="0" t="s">
        <v>4025</v>
      </c>
    </row>
    <row customHeight="1" ht="11.25">
      <c r="A183" s="0">
        <v>2655</v>
      </c>
      <c r="B183" s="0" t="s">
        <v>114</v>
      </c>
      <c r="C183" s="0">
        <v>30872315</v>
      </c>
      <c r="D183" s="0" t="s">
        <v>4465</v>
      </c>
      <c r="E183" s="0" t="s">
        <v>4466</v>
      </c>
      <c r="F183" s="0" t="s">
        <v>4467</v>
      </c>
      <c r="G183" s="0" t="s">
        <v>3363</v>
      </c>
      <c r="H183" s="0" t="s">
        <v>4468</v>
      </c>
      <c r="I183" s="0" t="s">
        <v>4469</v>
      </c>
      <c r="J183" s="0" t="s">
        <v>3649</v>
      </c>
      <c r="K183" s="0" t="s">
        <v>4470</v>
      </c>
      <c r="L183" s="0" t="s">
        <v>4470</v>
      </c>
      <c r="M183" s="0" t="s">
        <v>4471</v>
      </c>
      <c r="N183" s="0" t="s">
        <v>4472</v>
      </c>
      <c r="O183" s="0" t="s">
        <v>4473</v>
      </c>
      <c r="P183" s="0" t="s">
        <v>3487</v>
      </c>
      <c r="Q183" s="0" t="s">
        <v>152</v>
      </c>
      <c r="R183" s="0" t="b">
        <v>0</v>
      </c>
      <c r="S183" s="0" t="s">
        <v>4025</v>
      </c>
    </row>
    <row customHeight="1" ht="11.25">
      <c r="A184" s="0">
        <v>2655</v>
      </c>
      <c r="B184" s="0" t="s">
        <v>114</v>
      </c>
      <c r="C184" s="0">
        <v>30856253</v>
      </c>
      <c r="D184" s="0" t="s">
        <v>4474</v>
      </c>
      <c r="E184" s="0" t="s">
        <v>4475</v>
      </c>
      <c r="F184" s="0" t="s">
        <v>4476</v>
      </c>
      <c r="G184" s="0" t="s">
        <v>3440</v>
      </c>
      <c r="H184" s="0" t="s">
        <v>4477</v>
      </c>
      <c r="I184" s="0" t="s">
        <v>4478</v>
      </c>
      <c r="J184" s="0" t="s">
        <v>3649</v>
      </c>
      <c r="K184" s="0" t="s">
        <v>4479</v>
      </c>
      <c r="L184" s="0" t="s">
        <v>4479</v>
      </c>
      <c r="M184" s="0" t="s">
        <v>4480</v>
      </c>
      <c r="N184" s="0" t="s">
        <v>4481</v>
      </c>
      <c r="O184" s="0" t="s">
        <v>4482</v>
      </c>
      <c r="P184" s="0" t="s">
        <v>3487</v>
      </c>
      <c r="Q184" s="0" t="s">
        <v>152</v>
      </c>
      <c r="R184" s="0" t="b">
        <v>0</v>
      </c>
      <c r="S184" s="0" t="s">
        <v>4025</v>
      </c>
    </row>
    <row customHeight="1" ht="11.25">
      <c r="A185" s="0">
        <v>2655</v>
      </c>
      <c r="B185" s="0" t="s">
        <v>114</v>
      </c>
      <c r="C185" s="0">
        <v>33000042</v>
      </c>
      <c r="D185" s="0" t="s">
        <v>4483</v>
      </c>
      <c r="E185" s="0" t="s">
        <v>4484</v>
      </c>
      <c r="F185" s="0" t="s">
        <v>4485</v>
      </c>
      <c r="G185" s="0" t="s">
        <v>3684</v>
      </c>
      <c r="H185" s="0" t="s">
        <v>4486</v>
      </c>
      <c r="I185" s="0" t="s">
        <v>4487</v>
      </c>
      <c r="K185" s="0" t="s">
        <v>4488</v>
      </c>
      <c r="L185" s="0" t="s">
        <v>4489</v>
      </c>
      <c r="M185" s="0" t="s">
        <v>4490</v>
      </c>
      <c r="N185" s="0" t="s">
        <v>4491</v>
      </c>
      <c r="O185" s="0" t="s">
        <v>3691</v>
      </c>
      <c r="P185" s="0" t="s">
        <v>4492</v>
      </c>
      <c r="Q185" s="0" t="s">
        <v>152</v>
      </c>
      <c r="R185" s="0" t="b">
        <v>0</v>
      </c>
      <c r="S185" s="0" t="s">
        <v>4025</v>
      </c>
    </row>
    <row customHeight="1" ht="11.25">
      <c r="A186" s="0">
        <v>2655</v>
      </c>
      <c r="B186" s="0" t="s">
        <v>114</v>
      </c>
      <c r="C186" s="0">
        <v>26517842</v>
      </c>
      <c r="D186" s="0" t="s">
        <v>4493</v>
      </c>
      <c r="E186" s="0" t="s">
        <v>4494</v>
      </c>
      <c r="F186" s="0" t="s">
        <v>4495</v>
      </c>
      <c r="G186" s="0" t="s">
        <v>3579</v>
      </c>
      <c r="H186" s="0" t="s">
        <v>4496</v>
      </c>
      <c r="I186" s="0" t="s">
        <v>4497</v>
      </c>
      <c r="J186" s="0" t="s">
        <v>3649</v>
      </c>
      <c r="K186" s="0" t="s">
        <v>4498</v>
      </c>
      <c r="L186" s="0" t="s">
        <v>3367</v>
      </c>
      <c r="M186" s="0" t="s">
        <v>4499</v>
      </c>
      <c r="N186" s="0" t="s">
        <v>4500</v>
      </c>
      <c r="O186" s="0" t="s">
        <v>4501</v>
      </c>
      <c r="P186" s="0" t="s">
        <v>3437</v>
      </c>
      <c r="Q186" s="0" t="s">
        <v>152</v>
      </c>
      <c r="R186" s="0" t="b">
        <v>0</v>
      </c>
      <c r="S186" s="0" t="s">
        <v>4025</v>
      </c>
    </row>
    <row customHeight="1" ht="11.25">
      <c r="A187" s="0">
        <v>2655</v>
      </c>
      <c r="B187" s="0" t="s">
        <v>114</v>
      </c>
      <c r="C187" s="0">
        <v>26356937</v>
      </c>
      <c r="D187" s="0" t="s">
        <v>3785</v>
      </c>
      <c r="E187" s="0" t="s">
        <v>3786</v>
      </c>
      <c r="F187" s="0" t="s">
        <v>3787</v>
      </c>
      <c r="G187" s="0" t="s">
        <v>3656</v>
      </c>
      <c r="H187" s="0" t="s">
        <v>3788</v>
      </c>
      <c r="I187" s="0" t="s">
        <v>3789</v>
      </c>
      <c r="J187" s="0" t="s">
        <v>3649</v>
      </c>
      <c r="K187" s="0" t="s">
        <v>3790</v>
      </c>
      <c r="L187" s="0" t="s">
        <v>3790</v>
      </c>
      <c r="M187" s="0" t="s">
        <v>3791</v>
      </c>
      <c r="N187" s="0" t="s">
        <v>3792</v>
      </c>
      <c r="O187" s="0" t="s">
        <v>3793</v>
      </c>
      <c r="P187" s="0" t="s">
        <v>3456</v>
      </c>
      <c r="Q187" s="0" t="s">
        <v>3794</v>
      </c>
      <c r="R187" s="0" t="b">
        <v>0</v>
      </c>
      <c r="S187" s="0" t="s">
        <v>4025</v>
      </c>
    </row>
    <row customHeight="1" ht="11.25">
      <c r="A188" s="0">
        <v>2655</v>
      </c>
      <c r="B188" s="0" t="s">
        <v>114</v>
      </c>
      <c r="C188" s="0">
        <v>31473621</v>
      </c>
      <c r="D188" s="0" t="s">
        <v>4502</v>
      </c>
      <c r="E188" s="0" t="s">
        <v>4503</v>
      </c>
      <c r="F188" s="0" t="s">
        <v>4504</v>
      </c>
      <c r="G188" s="0" t="s">
        <v>3522</v>
      </c>
      <c r="H188" s="0" t="s">
        <v>4505</v>
      </c>
      <c r="I188" s="0" t="s">
        <v>4506</v>
      </c>
      <c r="J188" s="0" t="s">
        <v>3649</v>
      </c>
      <c r="K188" s="0" t="s">
        <v>4507</v>
      </c>
      <c r="L188" s="0" t="s">
        <v>4507</v>
      </c>
      <c r="M188" s="0" t="s">
        <v>4508</v>
      </c>
      <c r="N188" s="0" t="s">
        <v>4509</v>
      </c>
      <c r="O188" s="0" t="s">
        <v>4510</v>
      </c>
      <c r="P188" s="0" t="s">
        <v>3437</v>
      </c>
      <c r="Q188" s="0" t="s">
        <v>4511</v>
      </c>
      <c r="R188" s="0" t="b">
        <v>0</v>
      </c>
      <c r="S188" s="0" t="s">
        <v>4025</v>
      </c>
    </row>
    <row customHeight="1" ht="11.25">
      <c r="A189" s="0">
        <v>2655</v>
      </c>
      <c r="B189" s="0" t="s">
        <v>114</v>
      </c>
      <c r="C189" s="0">
        <v>31004851</v>
      </c>
      <c r="D189" s="0" t="s">
        <v>4512</v>
      </c>
      <c r="E189" s="0" t="s">
        <v>4513</v>
      </c>
      <c r="F189" s="0" t="s">
        <v>4514</v>
      </c>
      <c r="G189" s="0" t="s">
        <v>3386</v>
      </c>
      <c r="H189" s="0" t="s">
        <v>4515</v>
      </c>
      <c r="I189" s="0" t="s">
        <v>4516</v>
      </c>
      <c r="J189" s="0" t="s">
        <v>3649</v>
      </c>
      <c r="K189" s="0" t="s">
        <v>4517</v>
      </c>
      <c r="L189" s="0" t="s">
        <v>4518</v>
      </c>
      <c r="M189" s="0" t="s">
        <v>4519</v>
      </c>
      <c r="N189" s="0" t="s">
        <v>4520</v>
      </c>
      <c r="O189" s="0" t="s">
        <v>4521</v>
      </c>
      <c r="P189" s="0" t="s">
        <v>152</v>
      </c>
      <c r="Q189" s="0" t="s">
        <v>152</v>
      </c>
      <c r="R189" s="0" t="b">
        <v>0</v>
      </c>
      <c r="S189" s="0" t="s">
        <v>4025</v>
      </c>
    </row>
    <row customHeight="1" ht="11.25">
      <c r="A190" s="0">
        <v>2655</v>
      </c>
      <c r="B190" s="0" t="s">
        <v>114</v>
      </c>
      <c r="C190" s="0">
        <v>26356976</v>
      </c>
      <c r="D190" s="0" t="s">
        <v>4522</v>
      </c>
      <c r="E190" s="0" t="s">
        <v>4523</v>
      </c>
      <c r="F190" s="0" t="s">
        <v>4524</v>
      </c>
      <c r="G190" s="0" t="s">
        <v>3750</v>
      </c>
      <c r="H190" s="0" t="s">
        <v>4525</v>
      </c>
      <c r="I190" s="0" t="s">
        <v>4526</v>
      </c>
      <c r="J190" s="0" t="s">
        <v>3649</v>
      </c>
      <c r="K190" s="0" t="s">
        <v>4527</v>
      </c>
      <c r="L190" s="0" t="s">
        <v>4527</v>
      </c>
      <c r="M190" s="0" t="s">
        <v>4528</v>
      </c>
      <c r="N190" s="0" t="s">
        <v>4529</v>
      </c>
      <c r="O190" s="0" t="s">
        <v>4530</v>
      </c>
      <c r="P190" s="0" t="s">
        <v>3404</v>
      </c>
      <c r="Q190" s="0" t="s">
        <v>4531</v>
      </c>
      <c r="R190" s="0" t="b">
        <v>0</v>
      </c>
      <c r="S190" s="0" t="s">
        <v>4025</v>
      </c>
    </row>
    <row customHeight="1" ht="11.25">
      <c r="A191" s="0">
        <v>2655</v>
      </c>
      <c r="B191" s="0" t="s">
        <v>114</v>
      </c>
      <c r="C191" s="0">
        <v>28274482</v>
      </c>
      <c r="D191" s="0" t="s">
        <v>4532</v>
      </c>
      <c r="E191" s="0" t="s">
        <v>4533</v>
      </c>
      <c r="F191" s="0" t="s">
        <v>4534</v>
      </c>
      <c r="G191" s="0" t="s">
        <v>3440</v>
      </c>
      <c r="H191" s="0" t="s">
        <v>4535</v>
      </c>
      <c r="I191" s="0" t="s">
        <v>4536</v>
      </c>
      <c r="J191" s="0" t="s">
        <v>3649</v>
      </c>
      <c r="K191" s="0" t="s">
        <v>4537</v>
      </c>
      <c r="L191" s="0" t="s">
        <v>4538</v>
      </c>
      <c r="M191" s="0" t="s">
        <v>3734</v>
      </c>
      <c r="N191" s="0" t="s">
        <v>4539</v>
      </c>
      <c r="O191" s="0" t="s">
        <v>3736</v>
      </c>
      <c r="P191" s="0" t="s">
        <v>3487</v>
      </c>
      <c r="Q191" s="0" t="s">
        <v>152</v>
      </c>
      <c r="R191" s="0" t="b">
        <v>0</v>
      </c>
      <c r="S191" s="0" t="s">
        <v>4025</v>
      </c>
    </row>
    <row customHeight="1" ht="11.25">
      <c r="A192" s="0">
        <v>2655</v>
      </c>
      <c r="B192" s="0" t="s">
        <v>114</v>
      </c>
      <c r="C192" s="0">
        <v>31224454</v>
      </c>
      <c r="D192" s="0" t="s">
        <v>4540</v>
      </c>
      <c r="E192" s="0" t="s">
        <v>4541</v>
      </c>
      <c r="F192" s="0" t="s">
        <v>4542</v>
      </c>
      <c r="G192" s="0" t="s">
        <v>3386</v>
      </c>
      <c r="H192" s="0" t="s">
        <v>4543</v>
      </c>
      <c r="I192" s="0" t="s">
        <v>4544</v>
      </c>
      <c r="J192" s="0" t="s">
        <v>3649</v>
      </c>
      <c r="K192" s="0" t="s">
        <v>4545</v>
      </c>
      <c r="L192" s="0" t="s">
        <v>4545</v>
      </c>
      <c r="M192" s="0" t="s">
        <v>4546</v>
      </c>
      <c r="N192" s="0" t="s">
        <v>4547</v>
      </c>
      <c r="O192" s="0" t="s">
        <v>4548</v>
      </c>
      <c r="P192" s="0" t="s">
        <v>3437</v>
      </c>
      <c r="Q192" s="0" t="s">
        <v>152</v>
      </c>
      <c r="R192" s="0" t="b">
        <v>0</v>
      </c>
      <c r="S192" s="0" t="s">
        <v>4025</v>
      </c>
    </row>
    <row customHeight="1" ht="11.25">
      <c r="A193" s="0">
        <v>2655</v>
      </c>
      <c r="B193" s="0" t="s">
        <v>114</v>
      </c>
      <c r="C193" s="0">
        <v>27997410</v>
      </c>
      <c r="D193" s="0" t="s">
        <v>4549</v>
      </c>
      <c r="E193" s="0" t="s">
        <v>4550</v>
      </c>
      <c r="F193" s="0" t="s">
        <v>4551</v>
      </c>
      <c r="G193" s="0" t="s">
        <v>3550</v>
      </c>
      <c r="H193" s="0" t="s">
        <v>4552</v>
      </c>
      <c r="I193" s="0" t="s">
        <v>4553</v>
      </c>
      <c r="J193" s="0" t="s">
        <v>3649</v>
      </c>
      <c r="K193" s="0" t="s">
        <v>4554</v>
      </c>
      <c r="L193" s="0" t="s">
        <v>4554</v>
      </c>
      <c r="M193" s="0" t="s">
        <v>4555</v>
      </c>
      <c r="N193" s="0" t="s">
        <v>4556</v>
      </c>
      <c r="O193" s="0" t="s">
        <v>4557</v>
      </c>
      <c r="P193" s="0" t="s">
        <v>3487</v>
      </c>
      <c r="Q193" s="0" t="s">
        <v>4558</v>
      </c>
      <c r="R193" s="0" t="b">
        <v>1</v>
      </c>
      <c r="S193" s="0" t="s">
        <v>4025</v>
      </c>
    </row>
    <row customHeight="1" ht="11.25">
      <c r="A194" s="0">
        <v>2655</v>
      </c>
      <c r="B194" s="0" t="s">
        <v>114</v>
      </c>
      <c r="C194" s="0">
        <v>26852692</v>
      </c>
      <c r="D194" s="0" t="s">
        <v>4559</v>
      </c>
      <c r="E194" s="0" t="s">
        <v>4560</v>
      </c>
      <c r="F194" s="0" t="s">
        <v>4561</v>
      </c>
      <c r="G194" s="0" t="s">
        <v>3750</v>
      </c>
      <c r="H194" s="0" t="s">
        <v>4562</v>
      </c>
      <c r="I194" s="0" t="s">
        <v>4563</v>
      </c>
      <c r="K194" s="0" t="s">
        <v>4564</v>
      </c>
      <c r="L194" s="0" t="s">
        <v>4564</v>
      </c>
      <c r="M194" s="0" t="s">
        <v>4555</v>
      </c>
      <c r="N194" s="0" t="s">
        <v>4556</v>
      </c>
      <c r="O194" s="0" t="s">
        <v>4565</v>
      </c>
      <c r="P194" s="0" t="s">
        <v>3487</v>
      </c>
      <c r="Q194" s="0" t="s">
        <v>152</v>
      </c>
      <c r="R194" s="0" t="b">
        <v>1</v>
      </c>
      <c r="S194" s="0" t="s">
        <v>4025</v>
      </c>
    </row>
    <row customHeight="1" ht="11.25">
      <c r="A195" s="0">
        <v>2655</v>
      </c>
      <c r="B195" s="0" t="s">
        <v>114</v>
      </c>
      <c r="C195" s="0">
        <v>31534676</v>
      </c>
      <c r="D195" s="0" t="s">
        <v>4566</v>
      </c>
      <c r="E195" s="0" t="s">
        <v>4567</v>
      </c>
      <c r="F195" s="0" t="s">
        <v>4568</v>
      </c>
      <c r="G195" s="0" t="s">
        <v>3522</v>
      </c>
      <c r="H195" s="0" t="s">
        <v>4569</v>
      </c>
      <c r="I195" s="0" t="s">
        <v>4570</v>
      </c>
      <c r="K195" s="0" t="s">
        <v>4571</v>
      </c>
      <c r="L195" s="0" t="s">
        <v>4572</v>
      </c>
      <c r="M195" s="0" t="s">
        <v>4573</v>
      </c>
      <c r="N195" s="0" t="s">
        <v>4574</v>
      </c>
      <c r="O195" s="0" t="s">
        <v>4575</v>
      </c>
      <c r="P195" s="0" t="s">
        <v>3487</v>
      </c>
      <c r="Q195" s="0" t="s">
        <v>152</v>
      </c>
      <c r="R195" s="0" t="b">
        <v>0</v>
      </c>
      <c r="S195" s="0" t="s">
        <v>4025</v>
      </c>
    </row>
    <row customHeight="1" ht="11.25">
      <c r="A196" s="0">
        <v>2655</v>
      </c>
      <c r="B196" s="0" t="s">
        <v>114</v>
      </c>
      <c r="C196" s="0">
        <v>26356899</v>
      </c>
      <c r="D196" s="0" t="s">
        <v>4576</v>
      </c>
      <c r="E196" s="0" t="s">
        <v>4577</v>
      </c>
      <c r="F196" s="0" t="s">
        <v>4578</v>
      </c>
      <c r="G196" s="0" t="s">
        <v>4579</v>
      </c>
      <c r="H196" s="0" t="s">
        <v>4580</v>
      </c>
      <c r="I196" s="0" t="s">
        <v>152</v>
      </c>
      <c r="J196" s="0" t="s">
        <v>3649</v>
      </c>
      <c r="K196" s="0" t="s">
        <v>3838</v>
      </c>
      <c r="L196" s="0" t="s">
        <v>3838</v>
      </c>
      <c r="M196" s="0" t="s">
        <v>4581</v>
      </c>
      <c r="N196" s="0" t="s">
        <v>152</v>
      </c>
      <c r="O196" s="0" t="s">
        <v>3840</v>
      </c>
      <c r="P196" s="0" t="s">
        <v>3487</v>
      </c>
      <c r="Q196" s="0" t="s">
        <v>152</v>
      </c>
      <c r="R196" s="0" t="b">
        <v>0</v>
      </c>
      <c r="S196" s="0" t="s">
        <v>4025</v>
      </c>
    </row>
    <row customHeight="1" ht="11.25">
      <c r="A197" s="0">
        <v>2655</v>
      </c>
      <c r="B197" s="0" t="s">
        <v>114</v>
      </c>
      <c r="C197" s="0">
        <v>31224507</v>
      </c>
      <c r="D197" s="0" t="s">
        <v>4582</v>
      </c>
      <c r="E197" s="0" t="s">
        <v>4583</v>
      </c>
      <c r="F197" s="0" t="s">
        <v>4584</v>
      </c>
      <c r="G197" s="0" t="s">
        <v>4585</v>
      </c>
      <c r="H197" s="0" t="s">
        <v>4586</v>
      </c>
      <c r="I197" s="0" t="s">
        <v>4587</v>
      </c>
      <c r="J197" s="0" t="s">
        <v>3649</v>
      </c>
      <c r="K197" s="0" t="s">
        <v>4588</v>
      </c>
      <c r="L197" s="0" t="s">
        <v>4588</v>
      </c>
      <c r="M197" s="0" t="s">
        <v>4589</v>
      </c>
      <c r="N197" s="0" t="s">
        <v>4590</v>
      </c>
      <c r="O197" s="0" t="s">
        <v>4548</v>
      </c>
      <c r="P197" s="0" t="s">
        <v>3437</v>
      </c>
      <c r="Q197" s="0" t="s">
        <v>152</v>
      </c>
      <c r="R197" s="0" t="b">
        <v>0</v>
      </c>
      <c r="S197" s="0" t="s">
        <v>4025</v>
      </c>
    </row>
    <row customHeight="1" ht="11.25">
      <c r="A198" s="0">
        <v>2655</v>
      </c>
      <c r="B198" s="0" t="s">
        <v>114</v>
      </c>
      <c r="C198" s="0">
        <v>27968109</v>
      </c>
      <c r="D198" s="0" t="s">
        <v>4591</v>
      </c>
      <c r="E198" s="0" t="s">
        <v>4592</v>
      </c>
      <c r="F198" s="0" t="s">
        <v>4593</v>
      </c>
      <c r="G198" s="0" t="s">
        <v>3363</v>
      </c>
      <c r="H198" s="0" t="s">
        <v>4594</v>
      </c>
      <c r="I198" s="0" t="s">
        <v>4595</v>
      </c>
      <c r="J198" s="0" t="s">
        <v>3649</v>
      </c>
      <c r="K198" s="0" t="s">
        <v>4596</v>
      </c>
      <c r="L198" s="0" t="s">
        <v>4596</v>
      </c>
      <c r="M198" s="0" t="s">
        <v>4597</v>
      </c>
      <c r="N198" s="0" t="s">
        <v>4598</v>
      </c>
      <c r="O198" s="0" t="s">
        <v>4599</v>
      </c>
      <c r="P198" s="0" t="s">
        <v>3437</v>
      </c>
      <c r="Q198" s="0" t="s">
        <v>4600</v>
      </c>
      <c r="R198" s="0" t="b">
        <v>0</v>
      </c>
      <c r="S198" s="0" t="s">
        <v>4025</v>
      </c>
    </row>
    <row customHeight="1" ht="11.25">
      <c r="A199" s="0">
        <v>2655</v>
      </c>
      <c r="B199" s="0" t="s">
        <v>114</v>
      </c>
      <c r="C199" s="0">
        <v>26356932</v>
      </c>
      <c r="D199" s="0" t="s">
        <v>4601</v>
      </c>
      <c r="E199" s="0" t="s">
        <v>4602</v>
      </c>
      <c r="F199" s="0" t="s">
        <v>4603</v>
      </c>
      <c r="G199" s="0" t="s">
        <v>3656</v>
      </c>
      <c r="H199" s="0" t="s">
        <v>4604</v>
      </c>
      <c r="I199" s="0" t="s">
        <v>4605</v>
      </c>
      <c r="J199" s="0" t="s">
        <v>3649</v>
      </c>
      <c r="K199" s="0" t="s">
        <v>4606</v>
      </c>
      <c r="L199" s="0" t="s">
        <v>4606</v>
      </c>
      <c r="M199" s="0" t="s">
        <v>4607</v>
      </c>
      <c r="N199" s="0" t="s">
        <v>4608</v>
      </c>
      <c r="O199" s="0" t="s">
        <v>4609</v>
      </c>
      <c r="P199" s="0" t="s">
        <v>3487</v>
      </c>
      <c r="Q199" s="0" t="s">
        <v>152</v>
      </c>
      <c r="R199" s="0" t="b">
        <v>1</v>
      </c>
      <c r="S199" s="0" t="s">
        <v>4025</v>
      </c>
    </row>
    <row customHeight="1" ht="11.25">
      <c r="A200" s="0">
        <v>2655</v>
      </c>
      <c r="B200" s="0" t="s">
        <v>114</v>
      </c>
      <c r="C200" s="0">
        <v>28270293</v>
      </c>
      <c r="D200" s="0" t="s">
        <v>3814</v>
      </c>
      <c r="E200" s="0" t="s">
        <v>3815</v>
      </c>
      <c r="F200" s="0" t="s">
        <v>3816</v>
      </c>
      <c r="G200" s="0" t="s">
        <v>3579</v>
      </c>
      <c r="H200" s="0" t="s">
        <v>3817</v>
      </c>
      <c r="I200" s="0" t="s">
        <v>3818</v>
      </c>
      <c r="J200" s="0" t="s">
        <v>3649</v>
      </c>
      <c r="K200" s="0" t="s">
        <v>3819</v>
      </c>
      <c r="L200" s="0" t="s">
        <v>3819</v>
      </c>
      <c r="M200" s="0" t="s">
        <v>3820</v>
      </c>
      <c r="N200" s="0" t="s">
        <v>3821</v>
      </c>
      <c r="O200" s="0" t="s">
        <v>3822</v>
      </c>
      <c r="P200" s="0" t="s">
        <v>3437</v>
      </c>
      <c r="Q200" s="0" t="s">
        <v>152</v>
      </c>
      <c r="R200" s="0" t="b">
        <v>0</v>
      </c>
      <c r="S200" s="0" t="s">
        <v>4025</v>
      </c>
    </row>
    <row customHeight="1" ht="11.25">
      <c r="A201" s="0">
        <v>2655</v>
      </c>
      <c r="B201" s="0" t="s">
        <v>114</v>
      </c>
      <c r="C201" s="0">
        <v>28873362</v>
      </c>
      <c r="D201" s="0" t="s">
        <v>3823</v>
      </c>
      <c r="E201" s="0" t="s">
        <v>3824</v>
      </c>
      <c r="F201" s="0" t="s">
        <v>3825</v>
      </c>
      <c r="G201" s="0" t="s">
        <v>3363</v>
      </c>
      <c r="H201" s="0" t="s">
        <v>3826</v>
      </c>
      <c r="I201" s="0" t="s">
        <v>3827</v>
      </c>
      <c r="J201" s="0" t="s">
        <v>3649</v>
      </c>
      <c r="K201" s="0" t="s">
        <v>3828</v>
      </c>
      <c r="L201" s="0" t="s">
        <v>3828</v>
      </c>
      <c r="M201" s="0" t="s">
        <v>3829</v>
      </c>
      <c r="N201" s="0" t="s">
        <v>3830</v>
      </c>
      <c r="O201" s="0" t="s">
        <v>3831</v>
      </c>
      <c r="P201" s="0" t="s">
        <v>3487</v>
      </c>
      <c r="Q201" s="0" t="s">
        <v>3832</v>
      </c>
      <c r="R201" s="0" t="b">
        <v>0</v>
      </c>
      <c r="S201" s="0" t="s">
        <v>4025</v>
      </c>
    </row>
    <row customHeight="1" ht="11.25">
      <c r="A202" s="0">
        <v>2655</v>
      </c>
      <c r="B202" s="0" t="s">
        <v>114</v>
      </c>
      <c r="C202" s="0">
        <v>31774768</v>
      </c>
      <c r="D202" s="0" t="s">
        <v>4610</v>
      </c>
      <c r="E202" s="0" t="s">
        <v>4611</v>
      </c>
      <c r="F202" s="0" t="s">
        <v>4612</v>
      </c>
      <c r="G202" s="0" t="s">
        <v>3598</v>
      </c>
      <c r="H202" s="0" t="s">
        <v>4613</v>
      </c>
      <c r="I202" s="0" t="s">
        <v>4614</v>
      </c>
      <c r="K202" s="0" t="s">
        <v>4615</v>
      </c>
      <c r="L202" s="0" t="s">
        <v>4615</v>
      </c>
      <c r="M202" s="0" t="s">
        <v>152</v>
      </c>
      <c r="N202" s="0" t="s">
        <v>4616</v>
      </c>
      <c r="O202" s="0" t="s">
        <v>4617</v>
      </c>
      <c r="P202" s="0" t="s">
        <v>3371</v>
      </c>
      <c r="Q202" s="0" t="s">
        <v>152</v>
      </c>
      <c r="R202" s="0" t="b">
        <v>1</v>
      </c>
      <c r="S202" s="0" t="s">
        <v>4025</v>
      </c>
    </row>
    <row customHeight="1" ht="11.25">
      <c r="A203" s="0">
        <v>2655</v>
      </c>
      <c r="B203" s="0" t="s">
        <v>114</v>
      </c>
      <c r="C203" s="0">
        <v>30992391</v>
      </c>
      <c r="D203" s="0" t="s">
        <v>3841</v>
      </c>
      <c r="E203" s="0" t="s">
        <v>3842</v>
      </c>
      <c r="F203" s="0" t="s">
        <v>3843</v>
      </c>
      <c r="G203" s="0" t="s">
        <v>3479</v>
      </c>
      <c r="H203" s="0" t="s">
        <v>3844</v>
      </c>
      <c r="I203" s="0" t="s">
        <v>3845</v>
      </c>
      <c r="J203" s="0" t="s">
        <v>3649</v>
      </c>
      <c r="K203" s="0" t="s">
        <v>3846</v>
      </c>
      <c r="L203" s="0" t="s">
        <v>3847</v>
      </c>
      <c r="M203" s="0" t="s">
        <v>3848</v>
      </c>
      <c r="N203" s="0" t="s">
        <v>3849</v>
      </c>
      <c r="O203" s="0" t="s">
        <v>3850</v>
      </c>
      <c r="P203" s="0" t="s">
        <v>3487</v>
      </c>
      <c r="Q203" s="0" t="s">
        <v>3851</v>
      </c>
      <c r="R203" s="0" t="b">
        <v>0</v>
      </c>
      <c r="S203" s="0" t="s">
        <v>4025</v>
      </c>
    </row>
    <row customHeight="1" ht="11.25">
      <c r="A204" s="0">
        <v>2655</v>
      </c>
      <c r="B204" s="0" t="s">
        <v>114</v>
      </c>
      <c r="C204" s="0">
        <v>31491836</v>
      </c>
      <c r="D204" s="0" t="s">
        <v>4618</v>
      </c>
      <c r="E204" s="0" t="s">
        <v>4619</v>
      </c>
      <c r="F204" s="0" t="s">
        <v>4620</v>
      </c>
      <c r="G204" s="0" t="s">
        <v>3363</v>
      </c>
      <c r="H204" s="0" t="s">
        <v>4621</v>
      </c>
      <c r="I204" s="0" t="s">
        <v>4622</v>
      </c>
      <c r="J204" s="0" t="s">
        <v>3649</v>
      </c>
      <c r="K204" s="0" t="s">
        <v>4623</v>
      </c>
      <c r="L204" s="0" t="s">
        <v>4624</v>
      </c>
      <c r="M204" s="0" t="s">
        <v>4625</v>
      </c>
      <c r="N204" s="0" t="s">
        <v>4626</v>
      </c>
      <c r="O204" s="0" t="s">
        <v>4627</v>
      </c>
      <c r="P204" s="0" t="s">
        <v>3456</v>
      </c>
      <c r="Q204" s="0" t="s">
        <v>152</v>
      </c>
      <c r="R204" s="0" t="b">
        <v>1</v>
      </c>
      <c r="S204" s="0" t="s">
        <v>4025</v>
      </c>
    </row>
    <row customHeight="1" ht="11.25">
      <c r="A205" s="0">
        <v>2655</v>
      </c>
      <c r="B205" s="0" t="s">
        <v>114</v>
      </c>
      <c r="C205" s="0">
        <v>26356974</v>
      </c>
      <c r="D205" s="0" t="s">
        <v>4628</v>
      </c>
      <c r="E205" s="0" t="s">
        <v>4629</v>
      </c>
      <c r="F205" s="0" t="s">
        <v>4630</v>
      </c>
      <c r="G205" s="0" t="s">
        <v>4631</v>
      </c>
      <c r="H205" s="0" t="s">
        <v>4632</v>
      </c>
      <c r="I205" s="0" t="s">
        <v>4633</v>
      </c>
      <c r="J205" s="0" t="s">
        <v>3649</v>
      </c>
      <c r="K205" s="0" t="s">
        <v>4634</v>
      </c>
      <c r="L205" s="0" t="s">
        <v>4634</v>
      </c>
      <c r="M205" s="0" t="s">
        <v>4635</v>
      </c>
      <c r="N205" s="0" t="s">
        <v>4636</v>
      </c>
      <c r="O205" s="0" t="s">
        <v>4637</v>
      </c>
      <c r="P205" s="0" t="s">
        <v>3487</v>
      </c>
      <c r="Q205" s="0" t="s">
        <v>4638</v>
      </c>
      <c r="R205" s="0" t="b">
        <v>0</v>
      </c>
      <c r="S205" s="0" t="s">
        <v>4025</v>
      </c>
    </row>
    <row customHeight="1" ht="11.25">
      <c r="A206" s="0">
        <v>2655</v>
      </c>
      <c r="B206" s="0" t="s">
        <v>114</v>
      </c>
      <c r="C206" s="0">
        <v>31365968</v>
      </c>
      <c r="D206" s="0" t="s">
        <v>4639</v>
      </c>
      <c r="E206" s="0" t="s">
        <v>4640</v>
      </c>
      <c r="F206" s="0" t="s">
        <v>4641</v>
      </c>
      <c r="G206" s="0" t="s">
        <v>3550</v>
      </c>
      <c r="H206" s="0" t="s">
        <v>4642</v>
      </c>
      <c r="I206" s="0" t="s">
        <v>4643</v>
      </c>
      <c r="J206" s="0" t="s">
        <v>3649</v>
      </c>
      <c r="K206" s="0" t="s">
        <v>4644</v>
      </c>
      <c r="L206" s="0" t="s">
        <v>4644</v>
      </c>
      <c r="M206" s="0" t="s">
        <v>4645</v>
      </c>
      <c r="N206" s="0" t="s">
        <v>4646</v>
      </c>
      <c r="O206" s="0" t="s">
        <v>4647</v>
      </c>
      <c r="P206" s="0" t="s">
        <v>3437</v>
      </c>
      <c r="Q206" s="0" t="s">
        <v>152</v>
      </c>
      <c r="R206" s="0" t="b">
        <v>0</v>
      </c>
      <c r="S206" s="0" t="s">
        <v>4025</v>
      </c>
    </row>
    <row customHeight="1" ht="11.25">
      <c r="A207" s="0">
        <v>2655</v>
      </c>
      <c r="B207" s="0" t="s">
        <v>114</v>
      </c>
      <c r="C207" s="0">
        <v>31038861</v>
      </c>
      <c r="D207" s="0" t="s">
        <v>4648</v>
      </c>
      <c r="E207" s="0" t="s">
        <v>4649</v>
      </c>
      <c r="F207" s="0" t="s">
        <v>4650</v>
      </c>
      <c r="G207" s="0" t="s">
        <v>3386</v>
      </c>
      <c r="H207" s="0" t="s">
        <v>4651</v>
      </c>
      <c r="I207" s="0" t="s">
        <v>4652</v>
      </c>
      <c r="J207" s="0" t="s">
        <v>3649</v>
      </c>
      <c r="K207" s="0" t="s">
        <v>4653</v>
      </c>
      <c r="L207" s="0" t="s">
        <v>4654</v>
      </c>
      <c r="M207" s="0" t="s">
        <v>4655</v>
      </c>
      <c r="N207" s="0" t="s">
        <v>4656</v>
      </c>
      <c r="O207" s="0" t="s">
        <v>4657</v>
      </c>
      <c r="P207" s="0" t="s">
        <v>3437</v>
      </c>
      <c r="Q207" s="0" t="s">
        <v>152</v>
      </c>
      <c r="R207" s="0" t="b">
        <v>0</v>
      </c>
      <c r="S207" s="0" t="s">
        <v>4025</v>
      </c>
    </row>
    <row customHeight="1" ht="11.25">
      <c r="A208" s="0">
        <v>2655</v>
      </c>
      <c r="B208" s="0" t="s">
        <v>114</v>
      </c>
      <c r="C208" s="0">
        <v>26519663</v>
      </c>
      <c r="D208" s="0" t="s">
        <v>4658</v>
      </c>
      <c r="E208" s="0" t="s">
        <v>4659</v>
      </c>
      <c r="F208" s="0" t="s">
        <v>4660</v>
      </c>
      <c r="G208" s="0" t="s">
        <v>3541</v>
      </c>
      <c r="H208" s="0" t="s">
        <v>4661</v>
      </c>
      <c r="I208" s="0" t="s">
        <v>4662</v>
      </c>
      <c r="J208" s="0" t="s">
        <v>156</v>
      </c>
      <c r="K208" s="0" t="s">
        <v>4663</v>
      </c>
      <c r="L208" s="0" t="s">
        <v>4663</v>
      </c>
      <c r="M208" s="0" t="s">
        <v>4664</v>
      </c>
      <c r="N208" s="0" t="s">
        <v>4665</v>
      </c>
      <c r="O208" s="0" t="s">
        <v>4666</v>
      </c>
      <c r="P208" s="0" t="s">
        <v>3404</v>
      </c>
      <c r="Q208" s="0" t="s">
        <v>4667</v>
      </c>
      <c r="R208" s="0" t="b">
        <v>0</v>
      </c>
      <c r="S208" s="0" t="s">
        <v>4025</v>
      </c>
    </row>
    <row customHeight="1" ht="11.25">
      <c r="A209" s="0">
        <v>2655</v>
      </c>
      <c r="B209" s="0" t="s">
        <v>114</v>
      </c>
      <c r="C209" s="0">
        <v>30808511</v>
      </c>
      <c r="D209" s="0" t="s">
        <v>3852</v>
      </c>
      <c r="E209" s="0" t="s">
        <v>3852</v>
      </c>
      <c r="F209" s="0" t="s">
        <v>3853</v>
      </c>
      <c r="G209" s="0" t="s">
        <v>3854</v>
      </c>
      <c r="H209" s="0" t="s">
        <v>3855</v>
      </c>
      <c r="I209" s="0" t="s">
        <v>3856</v>
      </c>
      <c r="J209" s="0" t="s">
        <v>3857</v>
      </c>
      <c r="K209" s="0" t="s">
        <v>3858</v>
      </c>
      <c r="L209" s="0" t="s">
        <v>3859</v>
      </c>
      <c r="M209" s="0" t="s">
        <v>3860</v>
      </c>
      <c r="N209" s="0" t="s">
        <v>152</v>
      </c>
      <c r="O209" s="0" t="s">
        <v>3861</v>
      </c>
      <c r="P209" s="0" t="s">
        <v>3487</v>
      </c>
      <c r="Q209" s="0" t="s">
        <v>3862</v>
      </c>
      <c r="R209" s="0" t="b">
        <v>0</v>
      </c>
      <c r="S209" s="0" t="s">
        <v>4025</v>
      </c>
    </row>
    <row customHeight="1" ht="11.25">
      <c r="A210" s="0">
        <v>2655</v>
      </c>
      <c r="B210" s="0" t="s">
        <v>114</v>
      </c>
      <c r="C210" s="0">
        <v>30829962</v>
      </c>
      <c r="D210" s="0" t="s">
        <v>4668</v>
      </c>
      <c r="E210" s="0" t="s">
        <v>4669</v>
      </c>
      <c r="F210" s="0" t="s">
        <v>3853</v>
      </c>
      <c r="G210" s="0" t="s">
        <v>3363</v>
      </c>
      <c r="H210" s="0" t="s">
        <v>3855</v>
      </c>
      <c r="I210" s="0" t="s">
        <v>4670</v>
      </c>
      <c r="J210" s="0" t="s">
        <v>3857</v>
      </c>
      <c r="K210" s="0" t="s">
        <v>4671</v>
      </c>
      <c r="L210" s="0" t="s">
        <v>4671</v>
      </c>
      <c r="M210" s="0" t="s">
        <v>4672</v>
      </c>
      <c r="N210" s="0" t="s">
        <v>4673</v>
      </c>
      <c r="O210" s="0" t="s">
        <v>4674</v>
      </c>
      <c r="P210" s="0" t="s">
        <v>3456</v>
      </c>
      <c r="Q210" s="0" t="s">
        <v>152</v>
      </c>
      <c r="R210" s="0" t="b">
        <v>0</v>
      </c>
      <c r="S210" s="0" t="s">
        <v>4025</v>
      </c>
    </row>
    <row customHeight="1" ht="11.25">
      <c r="A211" s="0">
        <v>2655</v>
      </c>
      <c r="B211" s="0" t="s">
        <v>114</v>
      </c>
      <c r="C211" s="0">
        <v>28977129</v>
      </c>
      <c r="D211" s="0" t="s">
        <v>4675</v>
      </c>
      <c r="E211" s="0" t="s">
        <v>4676</v>
      </c>
      <c r="F211" s="0" t="s">
        <v>3853</v>
      </c>
      <c r="G211" s="0" t="s">
        <v>4677</v>
      </c>
      <c r="H211" s="0" t="s">
        <v>3855</v>
      </c>
      <c r="I211" s="0" t="s">
        <v>3870</v>
      </c>
      <c r="J211" s="0" t="s">
        <v>3857</v>
      </c>
      <c r="K211" s="0" t="s">
        <v>4678</v>
      </c>
      <c r="L211" s="0" t="s">
        <v>4679</v>
      </c>
      <c r="M211" s="0" t="s">
        <v>4680</v>
      </c>
      <c r="N211" s="0" t="s">
        <v>152</v>
      </c>
      <c r="O211" s="0" t="s">
        <v>4681</v>
      </c>
      <c r="P211" s="0" t="s">
        <v>3487</v>
      </c>
      <c r="Q211" s="0" t="s">
        <v>152</v>
      </c>
      <c r="R211" s="0" t="b">
        <v>0</v>
      </c>
      <c r="S211" s="0" t="s">
        <v>4025</v>
      </c>
    </row>
    <row customHeight="1" ht="11.25">
      <c r="A212" s="0">
        <v>2655</v>
      </c>
      <c r="B212" s="0" t="s">
        <v>114</v>
      </c>
      <c r="C212" s="0">
        <v>30914574</v>
      </c>
      <c r="D212" s="0" t="s">
        <v>4682</v>
      </c>
      <c r="E212" s="0" t="s">
        <v>4683</v>
      </c>
      <c r="F212" s="0" t="s">
        <v>4684</v>
      </c>
      <c r="G212" s="0" t="s">
        <v>4685</v>
      </c>
      <c r="H212" s="0" t="s">
        <v>4686</v>
      </c>
      <c r="I212" s="0" t="s">
        <v>4687</v>
      </c>
      <c r="J212" s="0" t="s">
        <v>4688</v>
      </c>
      <c r="K212" s="0" t="s">
        <v>152</v>
      </c>
      <c r="L212" s="0" t="s">
        <v>4689</v>
      </c>
      <c r="M212" s="0" t="s">
        <v>4690</v>
      </c>
      <c r="N212" s="0" t="s">
        <v>4691</v>
      </c>
      <c r="O212" s="0" t="s">
        <v>4692</v>
      </c>
      <c r="P212" s="0" t="s">
        <v>4693</v>
      </c>
      <c r="Q212" s="0" t="s">
        <v>152</v>
      </c>
      <c r="R212" s="0" t="b">
        <v>0</v>
      </c>
      <c r="S212" s="0" t="s">
        <v>4025</v>
      </c>
    </row>
    <row customHeight="1" ht="11.25">
      <c r="A213" s="0">
        <v>2655</v>
      </c>
      <c r="B213" s="0" t="s">
        <v>114</v>
      </c>
      <c r="C213" s="0">
        <v>26356915</v>
      </c>
      <c r="D213" s="0" t="s">
        <v>3889</v>
      </c>
      <c r="E213" s="0" t="s">
        <v>3890</v>
      </c>
      <c r="F213" s="0" t="s">
        <v>3891</v>
      </c>
      <c r="G213" s="0" t="s">
        <v>3568</v>
      </c>
      <c r="H213" s="0" t="s">
        <v>3892</v>
      </c>
      <c r="I213" s="0" t="s">
        <v>3893</v>
      </c>
      <c r="J213" s="0" t="s">
        <v>3351</v>
      </c>
      <c r="K213" s="0" t="s">
        <v>3894</v>
      </c>
      <c r="L213" s="0" t="s">
        <v>3894</v>
      </c>
      <c r="M213" s="0" t="s">
        <v>3895</v>
      </c>
      <c r="N213" s="0" t="s">
        <v>3896</v>
      </c>
      <c r="O213" s="0" t="s">
        <v>3897</v>
      </c>
      <c r="P213" s="0" t="s">
        <v>3437</v>
      </c>
      <c r="Q213" s="0" t="s">
        <v>189</v>
      </c>
      <c r="R213" s="0" t="b">
        <v>0</v>
      </c>
      <c r="S213" s="0" t="s">
        <v>4694</v>
      </c>
    </row>
    <row customHeight="1" ht="11.25">
      <c r="A214" s="0">
        <v>2655</v>
      </c>
      <c r="B214" s="0" t="s">
        <v>114</v>
      </c>
      <c r="C214" s="0">
        <v>26357007</v>
      </c>
      <c r="D214" s="0" t="s">
        <v>4026</v>
      </c>
      <c r="E214" s="0" t="s">
        <v>4027</v>
      </c>
      <c r="F214" s="0" t="s">
        <v>4028</v>
      </c>
      <c r="G214" s="0" t="s">
        <v>3598</v>
      </c>
      <c r="H214" s="0" t="s">
        <v>4029</v>
      </c>
      <c r="I214" s="0" t="s">
        <v>4030</v>
      </c>
      <c r="J214" s="0" t="s">
        <v>3351</v>
      </c>
      <c r="K214" s="0" t="s">
        <v>4031</v>
      </c>
      <c r="L214" s="0" t="s">
        <v>4031</v>
      </c>
      <c r="M214" s="0" t="s">
        <v>4032</v>
      </c>
      <c r="N214" s="0" t="s">
        <v>4033</v>
      </c>
      <c r="O214" s="0" t="s">
        <v>4034</v>
      </c>
      <c r="P214" s="0" t="s">
        <v>3437</v>
      </c>
      <c r="Q214" s="0" t="s">
        <v>4035</v>
      </c>
      <c r="R214" s="0" t="b">
        <v>0</v>
      </c>
      <c r="S214" s="0" t="s">
        <v>4694</v>
      </c>
    </row>
    <row customHeight="1" ht="11.25">
      <c r="A215" s="0">
        <v>2655</v>
      </c>
      <c r="B215" s="0" t="s">
        <v>114</v>
      </c>
      <c r="C215" s="0">
        <v>27804990</v>
      </c>
      <c r="D215" s="0" t="s">
        <v>3360</v>
      </c>
      <c r="E215" s="0" t="s">
        <v>3361</v>
      </c>
      <c r="F215" s="0" t="s">
        <v>3362</v>
      </c>
      <c r="G215" s="0" t="s">
        <v>3363</v>
      </c>
      <c r="H215" s="0" t="s">
        <v>3364</v>
      </c>
      <c r="I215" s="0" t="s">
        <v>3365</v>
      </c>
      <c r="J215" s="0" t="s">
        <v>3351</v>
      </c>
      <c r="K215" s="0" t="s">
        <v>3366</v>
      </c>
      <c r="L215" s="0" t="s">
        <v>3367</v>
      </c>
      <c r="M215" s="0" t="s">
        <v>3368</v>
      </c>
      <c r="N215" s="0" t="s">
        <v>3369</v>
      </c>
      <c r="O215" s="0" t="s">
        <v>3370</v>
      </c>
      <c r="P215" s="0" t="s">
        <v>3371</v>
      </c>
      <c r="Q215" s="0" t="s">
        <v>3372</v>
      </c>
      <c r="R215" s="0" t="b">
        <v>0</v>
      </c>
      <c r="S215" s="0" t="s">
        <v>4694</v>
      </c>
    </row>
    <row customHeight="1" ht="11.25">
      <c r="A216" s="0">
        <v>2655</v>
      </c>
      <c r="B216" s="0" t="s">
        <v>114</v>
      </c>
      <c r="C216" s="0">
        <v>28048296</v>
      </c>
      <c r="D216" s="0" t="s">
        <v>4036</v>
      </c>
      <c r="E216" s="0" t="s">
        <v>4037</v>
      </c>
      <c r="F216" s="0" t="s">
        <v>4038</v>
      </c>
      <c r="G216" s="0" t="s">
        <v>3363</v>
      </c>
      <c r="H216" s="0" t="s">
        <v>4039</v>
      </c>
      <c r="I216" s="0" t="s">
        <v>4040</v>
      </c>
      <c r="J216" s="0" t="s">
        <v>3351</v>
      </c>
      <c r="K216" s="0" t="s">
        <v>4041</v>
      </c>
      <c r="L216" s="0" t="s">
        <v>3367</v>
      </c>
      <c r="M216" s="0" t="s">
        <v>4042</v>
      </c>
      <c r="N216" s="0" t="s">
        <v>4043</v>
      </c>
      <c r="O216" s="0" t="s">
        <v>4044</v>
      </c>
      <c r="P216" s="0" t="s">
        <v>3371</v>
      </c>
      <c r="Q216" s="0" t="s">
        <v>3372</v>
      </c>
      <c r="R216" s="0" t="b">
        <v>0</v>
      </c>
      <c r="S216" s="0" t="s">
        <v>4694</v>
      </c>
    </row>
    <row customHeight="1" ht="11.25">
      <c r="A217" s="0">
        <v>2655</v>
      </c>
      <c r="B217" s="0" t="s">
        <v>114</v>
      </c>
      <c r="C217" s="0">
        <v>27804826</v>
      </c>
      <c r="D217" s="0" t="s">
        <v>3373</v>
      </c>
      <c r="E217" s="0" t="s">
        <v>3374</v>
      </c>
      <c r="F217" s="0" t="s">
        <v>3375</v>
      </c>
      <c r="G217" s="0" t="s">
        <v>3376</v>
      </c>
      <c r="H217" s="0" t="s">
        <v>3377</v>
      </c>
      <c r="I217" s="0" t="s">
        <v>3378</v>
      </c>
      <c r="J217" s="0" t="s">
        <v>3351</v>
      </c>
      <c r="K217" s="0" t="s">
        <v>3379</v>
      </c>
      <c r="L217" s="0" t="s">
        <v>3367</v>
      </c>
      <c r="M217" s="0" t="s">
        <v>152</v>
      </c>
      <c r="N217" s="0" t="s">
        <v>3380</v>
      </c>
      <c r="O217" s="0" t="s">
        <v>3381</v>
      </c>
      <c r="P217" s="0" t="s">
        <v>3371</v>
      </c>
      <c r="Q217" s="0" t="s">
        <v>3382</v>
      </c>
      <c r="R217" s="0" t="b">
        <v>0</v>
      </c>
      <c r="S217" s="0" t="s">
        <v>4694</v>
      </c>
    </row>
    <row customHeight="1" ht="11.25">
      <c r="A218" s="0">
        <v>2655</v>
      </c>
      <c r="B218" s="0" t="s">
        <v>114</v>
      </c>
      <c r="C218" s="0">
        <v>27804896</v>
      </c>
      <c r="D218" s="0" t="s">
        <v>4045</v>
      </c>
      <c r="E218" s="0" t="s">
        <v>4046</v>
      </c>
      <c r="F218" s="0" t="s">
        <v>4047</v>
      </c>
      <c r="G218" s="0" t="s">
        <v>3363</v>
      </c>
      <c r="H218" s="0" t="s">
        <v>4048</v>
      </c>
      <c r="I218" s="0" t="s">
        <v>4049</v>
      </c>
      <c r="J218" s="0" t="s">
        <v>3351</v>
      </c>
      <c r="K218" s="0" t="s">
        <v>4050</v>
      </c>
      <c r="L218" s="0" t="s">
        <v>3367</v>
      </c>
      <c r="M218" s="0" t="s">
        <v>4051</v>
      </c>
      <c r="N218" s="0" t="s">
        <v>4052</v>
      </c>
      <c r="O218" s="0" t="s">
        <v>4053</v>
      </c>
      <c r="P218" s="0" t="s">
        <v>3371</v>
      </c>
      <c r="Q218" s="0" t="s">
        <v>3372</v>
      </c>
      <c r="R218" s="0" t="b">
        <v>0</v>
      </c>
      <c r="S218" s="0" t="s">
        <v>4694</v>
      </c>
    </row>
    <row customHeight="1" ht="11.25">
      <c r="A219" s="0">
        <v>2655</v>
      </c>
      <c r="B219" s="0" t="s">
        <v>114</v>
      </c>
      <c r="C219" s="0">
        <v>27820148</v>
      </c>
      <c r="D219" s="0" t="s">
        <v>3912</v>
      </c>
      <c r="E219" s="0" t="s">
        <v>3913</v>
      </c>
      <c r="F219" s="0" t="s">
        <v>3914</v>
      </c>
      <c r="G219" s="0" t="s">
        <v>3656</v>
      </c>
      <c r="H219" s="0" t="s">
        <v>3915</v>
      </c>
      <c r="I219" s="0" t="s">
        <v>3916</v>
      </c>
      <c r="J219" s="0" t="s">
        <v>3351</v>
      </c>
      <c r="K219" s="0" t="s">
        <v>3917</v>
      </c>
      <c r="L219" s="0" t="s">
        <v>3917</v>
      </c>
      <c r="M219" s="0" t="s">
        <v>3918</v>
      </c>
      <c r="N219" s="0" t="s">
        <v>3919</v>
      </c>
      <c r="O219" s="0" t="s">
        <v>3920</v>
      </c>
      <c r="P219" s="0" t="s">
        <v>3921</v>
      </c>
      <c r="Q219" s="0" t="s">
        <v>3922</v>
      </c>
      <c r="R219" s="0" t="b">
        <v>0</v>
      </c>
      <c r="S219" s="0" t="s">
        <v>4694</v>
      </c>
    </row>
    <row customHeight="1" ht="11.25">
      <c r="A220" s="0">
        <v>2655</v>
      </c>
      <c r="B220" s="0" t="s">
        <v>114</v>
      </c>
      <c r="C220" s="0">
        <v>26356905</v>
      </c>
      <c r="D220" s="0" t="s">
        <v>3406</v>
      </c>
      <c r="E220" s="0" t="s">
        <v>3407</v>
      </c>
      <c r="F220" s="0" t="s">
        <v>3408</v>
      </c>
      <c r="G220" s="0" t="s">
        <v>3363</v>
      </c>
      <c r="H220" s="0" t="s">
        <v>3409</v>
      </c>
      <c r="I220" s="0" t="s">
        <v>3410</v>
      </c>
      <c r="J220" s="0" t="s">
        <v>3351</v>
      </c>
      <c r="K220" s="0" t="s">
        <v>3411</v>
      </c>
      <c r="L220" s="0" t="s">
        <v>3411</v>
      </c>
      <c r="M220" s="0" t="s">
        <v>3412</v>
      </c>
      <c r="N220" s="0" t="s">
        <v>3413</v>
      </c>
      <c r="O220" s="0" t="s">
        <v>3414</v>
      </c>
      <c r="P220" s="0" t="s">
        <v>3415</v>
      </c>
      <c r="Q220" s="0" t="s">
        <v>3416</v>
      </c>
      <c r="R220" s="0" t="b">
        <v>0</v>
      </c>
      <c r="S220" s="0" t="s">
        <v>4694</v>
      </c>
    </row>
    <row customHeight="1" ht="11.25">
      <c r="A221" s="0">
        <v>2655</v>
      </c>
      <c r="B221" s="0" t="s">
        <v>114</v>
      </c>
      <c r="C221" s="0">
        <v>30808700</v>
      </c>
      <c r="D221" s="0" t="s">
        <v>3499</v>
      </c>
      <c r="E221" s="0" t="s">
        <v>3500</v>
      </c>
      <c r="F221" s="0" t="s">
        <v>3501</v>
      </c>
      <c r="G221" s="0" t="s">
        <v>3440</v>
      </c>
      <c r="H221" s="0" t="s">
        <v>3502</v>
      </c>
      <c r="I221" s="0" t="s">
        <v>3503</v>
      </c>
      <c r="J221" s="0" t="s">
        <v>3494</v>
      </c>
      <c r="K221" s="0" t="s">
        <v>3504</v>
      </c>
      <c r="L221" s="0" t="s">
        <v>3505</v>
      </c>
      <c r="M221" s="0" t="s">
        <v>3506</v>
      </c>
      <c r="N221" s="0" t="s">
        <v>3507</v>
      </c>
      <c r="O221" s="0" t="s">
        <v>3508</v>
      </c>
      <c r="P221" s="0" t="s">
        <v>3456</v>
      </c>
      <c r="Q221" s="0" t="s">
        <v>152</v>
      </c>
      <c r="R221" s="0" t="b">
        <v>1</v>
      </c>
      <c r="S221" s="0" t="s">
        <v>4694</v>
      </c>
    </row>
    <row customHeight="1" ht="11.25">
      <c r="A222" s="0">
        <v>2655</v>
      </c>
      <c r="B222" s="0" t="s">
        <v>114</v>
      </c>
      <c r="C222" s="0">
        <v>31343443</v>
      </c>
      <c r="D222" s="0" t="s">
        <v>3530</v>
      </c>
      <c r="E222" s="0" t="s">
        <v>3531</v>
      </c>
      <c r="F222" s="0" t="s">
        <v>3532</v>
      </c>
      <c r="G222" s="0" t="s">
        <v>3440</v>
      </c>
      <c r="H222" s="0" t="s">
        <v>3533</v>
      </c>
      <c r="I222" s="0" t="s">
        <v>3534</v>
      </c>
      <c r="J222" s="0" t="s">
        <v>3482</v>
      </c>
      <c r="K222" s="0" t="s">
        <v>3535</v>
      </c>
      <c r="L222" s="0" t="s">
        <v>3535</v>
      </c>
      <c r="N222" s="0" t="s">
        <v>3536</v>
      </c>
      <c r="O222" s="0" t="s">
        <v>3537</v>
      </c>
      <c r="P222" s="0" t="s">
        <v>3456</v>
      </c>
      <c r="R222" s="0" t="b">
        <v>0</v>
      </c>
      <c r="S222" s="0" t="s">
        <v>4694</v>
      </c>
    </row>
    <row customHeight="1" ht="11.25">
      <c r="A223" s="0">
        <v>2655</v>
      </c>
      <c r="B223" s="0" t="s">
        <v>114</v>
      </c>
      <c r="C223" s="0">
        <v>31087651</v>
      </c>
      <c r="D223" s="0" t="s">
        <v>3547</v>
      </c>
      <c r="E223" s="0" t="s">
        <v>3548</v>
      </c>
      <c r="F223" s="0" t="s">
        <v>3549</v>
      </c>
      <c r="G223" s="0" t="s">
        <v>3550</v>
      </c>
      <c r="H223" s="0" t="s">
        <v>3551</v>
      </c>
      <c r="I223" s="0" t="s">
        <v>3552</v>
      </c>
      <c r="J223" s="0" t="s">
        <v>3482</v>
      </c>
      <c r="K223" s="0" t="s">
        <v>3553</v>
      </c>
      <c r="L223" s="0" t="s">
        <v>3553</v>
      </c>
      <c r="M223" s="0" t="s">
        <v>3554</v>
      </c>
      <c r="N223" s="0" t="s">
        <v>3555</v>
      </c>
      <c r="O223" s="0" t="s">
        <v>3556</v>
      </c>
      <c r="R223" s="0" t="b">
        <v>0</v>
      </c>
      <c r="S223" s="0" t="s">
        <v>4694</v>
      </c>
    </row>
    <row customHeight="1" ht="11.25">
      <c r="A224" s="0">
        <v>2655</v>
      </c>
      <c r="B224" s="0" t="s">
        <v>114</v>
      </c>
      <c r="C224" s="0">
        <v>31085797</v>
      </c>
      <c r="D224" s="0" t="s">
        <v>4126</v>
      </c>
      <c r="E224" s="0" t="s">
        <v>4127</v>
      </c>
      <c r="F224" s="0" t="s">
        <v>4128</v>
      </c>
      <c r="G224" s="0" t="s">
        <v>3376</v>
      </c>
      <c r="H224" s="0" t="s">
        <v>4129</v>
      </c>
      <c r="I224" s="0" t="s">
        <v>4130</v>
      </c>
      <c r="J224" s="0" t="s">
        <v>3494</v>
      </c>
      <c r="K224" s="0" t="s">
        <v>4131</v>
      </c>
      <c r="L224" s="0" t="s">
        <v>4132</v>
      </c>
      <c r="M224" s="0" t="s">
        <v>4133</v>
      </c>
      <c r="N224" s="0" t="s">
        <v>4134</v>
      </c>
      <c r="O224" s="0" t="s">
        <v>4135</v>
      </c>
      <c r="P224" s="0" t="s">
        <v>3487</v>
      </c>
      <c r="Q224" s="0" t="s">
        <v>152</v>
      </c>
      <c r="R224" s="0" t="b">
        <v>1</v>
      </c>
      <c r="S224" s="0" t="s">
        <v>4694</v>
      </c>
    </row>
    <row customHeight="1" ht="11.25">
      <c r="A225" s="0">
        <v>2655</v>
      </c>
      <c r="B225" s="0" t="s">
        <v>114</v>
      </c>
      <c r="C225" s="0">
        <v>31187282</v>
      </c>
      <c r="D225" s="0" t="s">
        <v>4136</v>
      </c>
      <c r="E225" s="0" t="s">
        <v>4137</v>
      </c>
      <c r="F225" s="0" t="s">
        <v>4138</v>
      </c>
      <c r="G225" s="0" t="s">
        <v>3386</v>
      </c>
      <c r="H225" s="0" t="s">
        <v>4139</v>
      </c>
      <c r="I225" s="0" t="s">
        <v>4140</v>
      </c>
      <c r="J225" s="0" t="s">
        <v>3494</v>
      </c>
      <c r="K225" s="0" t="s">
        <v>4141</v>
      </c>
      <c r="L225" s="0" t="s">
        <v>4141</v>
      </c>
      <c r="M225" s="0" t="s">
        <v>152</v>
      </c>
      <c r="N225" s="0" t="s">
        <v>4142</v>
      </c>
      <c r="O225" s="0" t="s">
        <v>4143</v>
      </c>
      <c r="P225" s="0" t="s">
        <v>3487</v>
      </c>
      <c r="Q225" s="0" t="s">
        <v>152</v>
      </c>
      <c r="R225" s="0" t="b">
        <v>0</v>
      </c>
      <c r="S225" s="0" t="s">
        <v>4694</v>
      </c>
    </row>
    <row customHeight="1" ht="11.25">
      <c r="A226" s="0">
        <v>2655</v>
      </c>
      <c r="B226" s="0" t="s">
        <v>114</v>
      </c>
      <c r="C226" s="0">
        <v>31284269</v>
      </c>
      <c r="D226" s="0" t="s">
        <v>3605</v>
      </c>
      <c r="E226" s="0" t="s">
        <v>3606</v>
      </c>
      <c r="F226" s="0" t="s">
        <v>3607</v>
      </c>
      <c r="G226" s="0" t="s">
        <v>3550</v>
      </c>
      <c r="H226" s="0" t="s">
        <v>3608</v>
      </c>
      <c r="I226" s="0" t="s">
        <v>3609</v>
      </c>
      <c r="J226" s="0" t="s">
        <v>3494</v>
      </c>
      <c r="K226" s="0" t="s">
        <v>3610</v>
      </c>
      <c r="L226" s="0" t="s">
        <v>3611</v>
      </c>
      <c r="M226" s="0" t="s">
        <v>3612</v>
      </c>
      <c r="N226" s="0" t="s">
        <v>3613</v>
      </c>
      <c r="O226" s="0" t="s">
        <v>3614</v>
      </c>
      <c r="P226" s="0" t="s">
        <v>152</v>
      </c>
      <c r="Q226" s="0" t="s">
        <v>152</v>
      </c>
      <c r="R226" s="0" t="b">
        <v>0</v>
      </c>
      <c r="S226" s="0" t="s">
        <v>4694</v>
      </c>
    </row>
    <row customHeight="1" ht="11.25">
      <c r="A227" s="0">
        <v>2655</v>
      </c>
      <c r="B227" s="0" t="s">
        <v>114</v>
      </c>
      <c r="C227" s="0">
        <v>31159389</v>
      </c>
      <c r="D227" s="0" t="s">
        <v>4144</v>
      </c>
      <c r="E227" s="0" t="s">
        <v>4145</v>
      </c>
      <c r="F227" s="0" t="s">
        <v>4146</v>
      </c>
      <c r="G227" s="0" t="s">
        <v>3522</v>
      </c>
      <c r="H227" s="0" t="s">
        <v>4147</v>
      </c>
      <c r="I227" s="0" t="s">
        <v>4148</v>
      </c>
      <c r="J227" s="0" t="s">
        <v>3494</v>
      </c>
      <c r="K227" s="0" t="s">
        <v>4149</v>
      </c>
      <c r="L227" s="0" t="s">
        <v>4150</v>
      </c>
      <c r="M227" s="0" t="s">
        <v>4151</v>
      </c>
      <c r="N227" s="0" t="s">
        <v>4152</v>
      </c>
      <c r="O227" s="0" t="s">
        <v>4153</v>
      </c>
      <c r="P227" s="0" t="s">
        <v>3487</v>
      </c>
      <c r="Q227" s="0" t="s">
        <v>152</v>
      </c>
      <c r="R227" s="0" t="b">
        <v>0</v>
      </c>
      <c r="S227" s="0" t="s">
        <v>4694</v>
      </c>
    </row>
    <row customHeight="1" ht="11.25">
      <c r="A228" s="0">
        <v>2655</v>
      </c>
      <c r="B228" s="0" t="s">
        <v>114</v>
      </c>
      <c r="C228" s="0">
        <v>30843704</v>
      </c>
      <c r="D228" s="0" t="s">
        <v>4162</v>
      </c>
      <c r="E228" s="0" t="s">
        <v>4163</v>
      </c>
      <c r="F228" s="0" t="s">
        <v>4164</v>
      </c>
      <c r="G228" s="0" t="s">
        <v>3363</v>
      </c>
      <c r="H228" s="0" t="s">
        <v>4165</v>
      </c>
      <c r="I228" s="0" t="s">
        <v>4166</v>
      </c>
      <c r="J228" s="0" t="s">
        <v>3649</v>
      </c>
      <c r="K228" s="0" t="s">
        <v>4167</v>
      </c>
      <c r="L228" s="0" t="s">
        <v>4168</v>
      </c>
      <c r="M228" s="0" t="s">
        <v>152</v>
      </c>
      <c r="N228" s="0" t="s">
        <v>4169</v>
      </c>
      <c r="O228" s="0" t="s">
        <v>4170</v>
      </c>
      <c r="P228" s="0" t="s">
        <v>3437</v>
      </c>
      <c r="Q228" s="0" t="s">
        <v>152</v>
      </c>
      <c r="R228" s="0" t="b">
        <v>0</v>
      </c>
      <c r="S228" s="0" t="s">
        <v>4694</v>
      </c>
    </row>
    <row customHeight="1" ht="11.25">
      <c r="A229" s="0">
        <v>2655</v>
      </c>
      <c r="B229" s="0" t="s">
        <v>114</v>
      </c>
      <c r="C229" s="0">
        <v>28869965</v>
      </c>
      <c r="D229" s="0" t="s">
        <v>3663</v>
      </c>
      <c r="E229" s="0" t="s">
        <v>3664</v>
      </c>
      <c r="F229" s="0" t="s">
        <v>3665</v>
      </c>
      <c r="G229" s="0" t="s">
        <v>3479</v>
      </c>
      <c r="H229" s="0" t="s">
        <v>3666</v>
      </c>
      <c r="I229" s="0" t="s">
        <v>152</v>
      </c>
      <c r="J229" s="0" t="s">
        <v>3649</v>
      </c>
      <c r="K229" s="0" t="s">
        <v>3667</v>
      </c>
      <c r="L229" s="0" t="s">
        <v>3667</v>
      </c>
      <c r="M229" s="0" t="s">
        <v>3668</v>
      </c>
      <c r="N229" s="0" t="s">
        <v>3669</v>
      </c>
      <c r="O229" s="0" t="s">
        <v>3670</v>
      </c>
      <c r="P229" s="0" t="s">
        <v>3437</v>
      </c>
      <c r="Q229" s="0" t="s">
        <v>3671</v>
      </c>
      <c r="R229" s="0" t="b">
        <v>0</v>
      </c>
      <c r="S229" s="0" t="s">
        <v>4694</v>
      </c>
    </row>
    <row customHeight="1" ht="11.25">
      <c r="A230" s="0">
        <v>2655</v>
      </c>
      <c r="B230" s="0" t="s">
        <v>114</v>
      </c>
      <c r="C230" s="0">
        <v>31245446</v>
      </c>
      <c r="D230" s="0" t="s">
        <v>4198</v>
      </c>
      <c r="E230" s="0" t="s">
        <v>4199</v>
      </c>
      <c r="F230" s="0" t="s">
        <v>4200</v>
      </c>
      <c r="G230" s="0" t="s">
        <v>3684</v>
      </c>
      <c r="H230" s="0" t="s">
        <v>4201</v>
      </c>
      <c r="I230" s="0" t="s">
        <v>4202</v>
      </c>
      <c r="J230" s="0" t="s">
        <v>3649</v>
      </c>
      <c r="K230" s="0" t="s">
        <v>152</v>
      </c>
      <c r="L230" s="0" t="s">
        <v>4203</v>
      </c>
      <c r="M230" s="0" t="s">
        <v>152</v>
      </c>
      <c r="N230" s="0" t="s">
        <v>4204</v>
      </c>
      <c r="O230" s="0" t="s">
        <v>4205</v>
      </c>
      <c r="P230" s="0" t="s">
        <v>3487</v>
      </c>
      <c r="Q230" s="0" t="s">
        <v>152</v>
      </c>
      <c r="R230" s="0" t="b">
        <v>0</v>
      </c>
      <c r="S230" s="0" t="s">
        <v>4694</v>
      </c>
    </row>
    <row customHeight="1" ht="11.25">
      <c r="A231" s="0">
        <v>2655</v>
      </c>
      <c r="B231" s="0" t="s">
        <v>114</v>
      </c>
      <c r="C231" s="0">
        <v>30950350</v>
      </c>
      <c r="D231" s="0" t="s">
        <v>4225</v>
      </c>
      <c r="E231" s="0" t="s">
        <v>4226</v>
      </c>
      <c r="F231" s="0" t="s">
        <v>4227</v>
      </c>
      <c r="G231" s="0" t="s">
        <v>3598</v>
      </c>
      <c r="H231" s="0" t="s">
        <v>4228</v>
      </c>
      <c r="I231" s="0" t="s">
        <v>4229</v>
      </c>
      <c r="J231" s="0" t="s">
        <v>3649</v>
      </c>
      <c r="K231" s="0" t="s">
        <v>4230</v>
      </c>
      <c r="L231" s="0" t="s">
        <v>4230</v>
      </c>
      <c r="M231" s="0" t="s">
        <v>4231</v>
      </c>
      <c r="N231" s="0" t="s">
        <v>4232</v>
      </c>
      <c r="O231" s="0" t="s">
        <v>4233</v>
      </c>
      <c r="P231" s="0" t="s">
        <v>3487</v>
      </c>
      <c r="Q231" s="0" t="s">
        <v>189</v>
      </c>
      <c r="R231" s="0" t="b">
        <v>0</v>
      </c>
      <c r="S231" s="0" t="s">
        <v>4694</v>
      </c>
    </row>
    <row customHeight="1" ht="11.25">
      <c r="A232" s="0">
        <v>2655</v>
      </c>
      <c r="B232" s="0" t="s">
        <v>114</v>
      </c>
      <c r="C232" s="0">
        <v>31874557</v>
      </c>
      <c r="D232" s="0" t="s">
        <v>4243</v>
      </c>
      <c r="E232" s="0" t="s">
        <v>4244</v>
      </c>
      <c r="F232" s="0" t="s">
        <v>4245</v>
      </c>
      <c r="G232" s="0" t="s">
        <v>3598</v>
      </c>
      <c r="H232" s="0" t="s">
        <v>4246</v>
      </c>
      <c r="I232" s="0" t="s">
        <v>4247</v>
      </c>
      <c r="K232" s="0" t="s">
        <v>4248</v>
      </c>
      <c r="L232" s="0" t="s">
        <v>4248</v>
      </c>
      <c r="M232" s="0" t="s">
        <v>4249</v>
      </c>
      <c r="N232" s="0" t="s">
        <v>4250</v>
      </c>
      <c r="O232" s="0" t="s">
        <v>4251</v>
      </c>
      <c r="P232" s="0" t="s">
        <v>3437</v>
      </c>
      <c r="Q232" s="0" t="s">
        <v>152</v>
      </c>
      <c r="R232" s="0" t="b">
        <v>1</v>
      </c>
      <c r="S232" s="0" t="s">
        <v>4694</v>
      </c>
    </row>
    <row customHeight="1" ht="11.25">
      <c r="A233" s="0">
        <v>2655</v>
      </c>
      <c r="B233" s="0" t="s">
        <v>114</v>
      </c>
      <c r="C233" s="0">
        <v>31656254</v>
      </c>
      <c r="D233" s="0" t="s">
        <v>3701</v>
      </c>
      <c r="E233" s="0" t="s">
        <v>3702</v>
      </c>
      <c r="F233" s="0" t="s">
        <v>3703</v>
      </c>
      <c r="G233" s="0" t="s">
        <v>3704</v>
      </c>
      <c r="H233" s="0" t="s">
        <v>3705</v>
      </c>
      <c r="I233" s="0" t="s">
        <v>3706</v>
      </c>
      <c r="K233" s="0" t="s">
        <v>3707</v>
      </c>
      <c r="L233" s="0" t="s">
        <v>3708</v>
      </c>
      <c r="M233" s="0" t="s">
        <v>3709</v>
      </c>
      <c r="N233" s="0" t="s">
        <v>3710</v>
      </c>
      <c r="O233" s="0" t="s">
        <v>3711</v>
      </c>
      <c r="P233" s="0" t="s">
        <v>3487</v>
      </c>
      <c r="Q233" s="0" t="s">
        <v>3712</v>
      </c>
      <c r="R233" s="0" t="b">
        <v>0</v>
      </c>
      <c r="S233" s="0" t="s">
        <v>4694</v>
      </c>
    </row>
    <row customHeight="1" ht="11.25">
      <c r="A234" s="0">
        <v>2655</v>
      </c>
      <c r="B234" s="0" t="s">
        <v>114</v>
      </c>
      <c r="C234" s="0">
        <v>31519209</v>
      </c>
      <c r="D234" s="0" t="s">
        <v>4316</v>
      </c>
      <c r="E234" s="0" t="s">
        <v>4317</v>
      </c>
      <c r="F234" s="0" t="s">
        <v>4318</v>
      </c>
      <c r="G234" s="0" t="s">
        <v>3656</v>
      </c>
      <c r="H234" s="0" t="s">
        <v>4319</v>
      </c>
      <c r="I234" s="0" t="s">
        <v>4320</v>
      </c>
      <c r="J234" s="0" t="s">
        <v>3649</v>
      </c>
      <c r="K234" s="0" t="s">
        <v>4321</v>
      </c>
      <c r="L234" s="0" t="s">
        <v>4322</v>
      </c>
      <c r="M234" s="0" t="s">
        <v>4323</v>
      </c>
      <c r="N234" s="0" t="s">
        <v>4324</v>
      </c>
      <c r="O234" s="0" t="s">
        <v>4325</v>
      </c>
      <c r="P234" s="0" t="s">
        <v>3371</v>
      </c>
      <c r="Q234" s="0" t="s">
        <v>152</v>
      </c>
      <c r="R234" s="0" t="b">
        <v>0</v>
      </c>
      <c r="S234" s="0" t="s">
        <v>4694</v>
      </c>
    </row>
    <row customHeight="1" ht="11.25">
      <c r="A235" s="0">
        <v>2655</v>
      </c>
      <c r="B235" s="0" t="s">
        <v>114</v>
      </c>
      <c r="C235" s="0">
        <v>31424033</v>
      </c>
      <c r="D235" s="0" t="s">
        <v>3713</v>
      </c>
      <c r="E235" s="0" t="s">
        <v>3714</v>
      </c>
      <c r="F235" s="0" t="s">
        <v>3715</v>
      </c>
      <c r="G235" s="0" t="s">
        <v>3716</v>
      </c>
      <c r="H235" s="0" t="s">
        <v>3717</v>
      </c>
      <c r="I235" s="0" t="s">
        <v>152</v>
      </c>
      <c r="J235" s="0" t="s">
        <v>3649</v>
      </c>
      <c r="K235" s="0" t="s">
        <v>152</v>
      </c>
      <c r="L235" s="0" t="s">
        <v>152</v>
      </c>
      <c r="M235" s="0" t="s">
        <v>152</v>
      </c>
      <c r="N235" s="0" t="s">
        <v>152</v>
      </c>
      <c r="O235" s="0" t="s">
        <v>152</v>
      </c>
      <c r="P235" s="0" t="s">
        <v>152</v>
      </c>
      <c r="Q235" s="0" t="s">
        <v>152</v>
      </c>
      <c r="R235" s="0" t="b">
        <v>0</v>
      </c>
      <c r="S235" s="0" t="s">
        <v>4694</v>
      </c>
    </row>
    <row customHeight="1" ht="11.25">
      <c r="A236" s="0">
        <v>2655</v>
      </c>
      <c r="B236" s="0" t="s">
        <v>114</v>
      </c>
      <c r="C236" s="0">
        <v>28151808</v>
      </c>
      <c r="D236" s="0" t="s">
        <v>3727</v>
      </c>
      <c r="E236" s="0" t="s">
        <v>3728</v>
      </c>
      <c r="F236" s="0" t="s">
        <v>3729</v>
      </c>
      <c r="G236" s="0" t="s">
        <v>3440</v>
      </c>
      <c r="H236" s="0" t="s">
        <v>3730</v>
      </c>
      <c r="I236" s="0" t="s">
        <v>3731</v>
      </c>
      <c r="J236" s="0" t="s">
        <v>3649</v>
      </c>
      <c r="K236" s="0" t="s">
        <v>3732</v>
      </c>
      <c r="L236" s="0" t="s">
        <v>3733</v>
      </c>
      <c r="M236" s="0" t="s">
        <v>3734</v>
      </c>
      <c r="N236" s="0" t="s">
        <v>3735</v>
      </c>
      <c r="O236" s="0" t="s">
        <v>3736</v>
      </c>
      <c r="P236" s="0" t="s">
        <v>3437</v>
      </c>
      <c r="Q236" s="0" t="s">
        <v>152</v>
      </c>
      <c r="R236" s="0" t="b">
        <v>1</v>
      </c>
      <c r="S236" s="0" t="s">
        <v>4694</v>
      </c>
    </row>
    <row customHeight="1" ht="11.25">
      <c r="A237" s="0">
        <v>2655</v>
      </c>
      <c r="B237" s="0" t="s">
        <v>114</v>
      </c>
      <c r="C237" s="0">
        <v>30433806</v>
      </c>
      <c r="D237" s="0" t="s">
        <v>4373</v>
      </c>
      <c r="E237" s="0" t="s">
        <v>4374</v>
      </c>
      <c r="F237" s="0" t="s">
        <v>4375</v>
      </c>
      <c r="G237" s="0" t="s">
        <v>3568</v>
      </c>
      <c r="H237" s="0" t="s">
        <v>4376</v>
      </c>
      <c r="I237" s="0" t="s">
        <v>4377</v>
      </c>
      <c r="J237" s="0" t="s">
        <v>3649</v>
      </c>
      <c r="K237" s="0" t="s">
        <v>4378</v>
      </c>
      <c r="L237" s="0" t="s">
        <v>4378</v>
      </c>
      <c r="M237" s="0" t="s">
        <v>4379</v>
      </c>
      <c r="N237" s="0" t="s">
        <v>4380</v>
      </c>
      <c r="O237" s="0" t="s">
        <v>4381</v>
      </c>
      <c r="P237" s="0" t="s">
        <v>3487</v>
      </c>
      <c r="Q237" s="0" t="s">
        <v>189</v>
      </c>
      <c r="R237" s="0" t="b">
        <v>0</v>
      </c>
      <c r="S237" s="0" t="s">
        <v>4694</v>
      </c>
    </row>
    <row customHeight="1" ht="11.25">
      <c r="A238" s="0">
        <v>2655</v>
      </c>
      <c r="B238" s="0" t="s">
        <v>114</v>
      </c>
      <c r="C238" s="0">
        <v>31743966</v>
      </c>
      <c r="D238" s="0" t="s">
        <v>4382</v>
      </c>
      <c r="E238" s="0" t="s">
        <v>4383</v>
      </c>
      <c r="F238" s="0" t="s">
        <v>4384</v>
      </c>
      <c r="G238" s="0" t="s">
        <v>3363</v>
      </c>
      <c r="H238" s="0" t="s">
        <v>4385</v>
      </c>
      <c r="I238" s="0" t="s">
        <v>4386</v>
      </c>
      <c r="K238" s="0" t="s">
        <v>4387</v>
      </c>
      <c r="L238" s="0" t="s">
        <v>4387</v>
      </c>
      <c r="M238" s="0" t="s">
        <v>4388</v>
      </c>
      <c r="N238" s="0" t="s">
        <v>4389</v>
      </c>
      <c r="O238" s="0" t="s">
        <v>4390</v>
      </c>
      <c r="P238" s="0" t="s">
        <v>3437</v>
      </c>
      <c r="Q238" s="0" t="s">
        <v>4391</v>
      </c>
      <c r="R238" s="0" t="b">
        <v>1</v>
      </c>
      <c r="S238" s="0" t="s">
        <v>4694</v>
      </c>
    </row>
    <row customHeight="1" ht="11.25">
      <c r="A239" s="0">
        <v>2655</v>
      </c>
      <c r="B239" s="0" t="s">
        <v>114</v>
      </c>
      <c r="C239" s="0">
        <v>30874454</v>
      </c>
      <c r="D239" s="0" t="s">
        <v>4392</v>
      </c>
      <c r="E239" s="0" t="s">
        <v>4393</v>
      </c>
      <c r="F239" s="0" t="s">
        <v>4394</v>
      </c>
      <c r="G239" s="0" t="s">
        <v>3716</v>
      </c>
      <c r="H239" s="0" t="s">
        <v>4395</v>
      </c>
      <c r="I239" s="0" t="s">
        <v>4396</v>
      </c>
      <c r="J239" s="0" t="s">
        <v>3649</v>
      </c>
      <c r="K239" s="0" t="s">
        <v>4397</v>
      </c>
      <c r="L239" s="0" t="s">
        <v>4398</v>
      </c>
      <c r="M239" s="0" t="s">
        <v>4399</v>
      </c>
      <c r="N239" s="0" t="s">
        <v>4361</v>
      </c>
      <c r="O239" s="0" t="s">
        <v>4400</v>
      </c>
      <c r="P239" s="0" t="s">
        <v>3456</v>
      </c>
      <c r="Q239" s="0" t="s">
        <v>4401</v>
      </c>
      <c r="R239" s="0" t="b">
        <v>0</v>
      </c>
      <c r="S239" s="0" t="s">
        <v>4694</v>
      </c>
    </row>
    <row customHeight="1" ht="11.25">
      <c r="A240" s="0">
        <v>2655</v>
      </c>
      <c r="B240" s="0" t="s">
        <v>114</v>
      </c>
      <c r="C240" s="0">
        <v>26356987</v>
      </c>
      <c r="D240" s="0" t="s">
        <v>3757</v>
      </c>
      <c r="E240" s="0" t="s">
        <v>3758</v>
      </c>
      <c r="F240" s="0" t="s">
        <v>3759</v>
      </c>
      <c r="G240" s="0" t="s">
        <v>3760</v>
      </c>
      <c r="H240" s="0" t="s">
        <v>3761</v>
      </c>
      <c r="I240" s="0" t="s">
        <v>3762</v>
      </c>
      <c r="J240" s="0" t="s">
        <v>3649</v>
      </c>
      <c r="K240" s="0" t="s">
        <v>3763</v>
      </c>
      <c r="L240" s="0" t="s">
        <v>3763</v>
      </c>
      <c r="M240" s="0" t="s">
        <v>3764</v>
      </c>
      <c r="N240" s="0" t="s">
        <v>3765</v>
      </c>
      <c r="O240" s="0" t="s">
        <v>3766</v>
      </c>
      <c r="P240" s="0" t="s">
        <v>3456</v>
      </c>
      <c r="Q240" s="0" t="s">
        <v>3767</v>
      </c>
      <c r="R240" s="0" t="b">
        <v>0</v>
      </c>
      <c r="S240" s="0" t="s">
        <v>4694</v>
      </c>
    </row>
    <row customHeight="1" ht="11.25">
      <c r="A241" s="0">
        <v>2655</v>
      </c>
      <c r="B241" s="0" t="s">
        <v>114</v>
      </c>
      <c r="C241" s="0">
        <v>30856223</v>
      </c>
      <c r="D241" s="0" t="s">
        <v>4402</v>
      </c>
      <c r="E241" s="0" t="s">
        <v>4403</v>
      </c>
      <c r="F241" s="0" t="s">
        <v>4404</v>
      </c>
      <c r="G241" s="0" t="s">
        <v>3386</v>
      </c>
      <c r="H241" s="0" t="s">
        <v>4405</v>
      </c>
      <c r="I241" s="0" t="s">
        <v>4406</v>
      </c>
      <c r="J241" s="0" t="s">
        <v>3649</v>
      </c>
      <c r="K241" s="0" t="s">
        <v>4407</v>
      </c>
      <c r="L241" s="0" t="s">
        <v>4407</v>
      </c>
      <c r="M241" s="0" t="s">
        <v>4408</v>
      </c>
      <c r="N241" s="0" t="s">
        <v>4409</v>
      </c>
      <c r="O241" s="0" t="s">
        <v>4410</v>
      </c>
      <c r="P241" s="0" t="s">
        <v>3437</v>
      </c>
      <c r="Q241" s="0" t="s">
        <v>4411</v>
      </c>
      <c r="R241" s="0" t="b">
        <v>0</v>
      </c>
      <c r="S241" s="0" t="s">
        <v>4694</v>
      </c>
    </row>
    <row customHeight="1" ht="11.25">
      <c r="A242" s="0">
        <v>2655</v>
      </c>
      <c r="B242" s="0" t="s">
        <v>114</v>
      </c>
      <c r="C242" s="0">
        <v>27566835</v>
      </c>
      <c r="D242" s="0" t="s">
        <v>4431</v>
      </c>
      <c r="E242" s="0" t="s">
        <v>4432</v>
      </c>
      <c r="F242" s="0" t="s">
        <v>4433</v>
      </c>
      <c r="G242" s="0" t="s">
        <v>3579</v>
      </c>
      <c r="H242" s="0" t="s">
        <v>4434</v>
      </c>
      <c r="I242" s="0" t="s">
        <v>4435</v>
      </c>
      <c r="J242" s="0" t="s">
        <v>3649</v>
      </c>
      <c r="K242" s="0" t="s">
        <v>4436</v>
      </c>
      <c r="L242" s="0" t="s">
        <v>4436</v>
      </c>
      <c r="M242" s="0" t="s">
        <v>4437</v>
      </c>
      <c r="N242" s="0" t="s">
        <v>3593</v>
      </c>
      <c r="O242" s="0" t="s">
        <v>4438</v>
      </c>
      <c r="P242" s="0" t="s">
        <v>3487</v>
      </c>
      <c r="Q242" s="0" t="s">
        <v>189</v>
      </c>
      <c r="R242" s="0" t="b">
        <v>0</v>
      </c>
      <c r="S242" s="0" t="s">
        <v>4694</v>
      </c>
    </row>
    <row customHeight="1" ht="11.25">
      <c r="A243" s="0">
        <v>2655</v>
      </c>
      <c r="B243" s="0" t="s">
        <v>114</v>
      </c>
      <c r="C243" s="0">
        <v>31229342</v>
      </c>
      <c r="D243" s="0" t="s">
        <v>4439</v>
      </c>
      <c r="E243" s="0" t="s">
        <v>4440</v>
      </c>
      <c r="F243" s="0" t="s">
        <v>4441</v>
      </c>
      <c r="G243" s="0" t="s">
        <v>3598</v>
      </c>
      <c r="H243" s="0" t="s">
        <v>4442</v>
      </c>
      <c r="I243" s="0" t="s">
        <v>4443</v>
      </c>
      <c r="J243" s="0" t="s">
        <v>3649</v>
      </c>
      <c r="K243" s="0" t="s">
        <v>4444</v>
      </c>
      <c r="L243" s="0" t="s">
        <v>4444</v>
      </c>
      <c r="M243" s="0" t="s">
        <v>4445</v>
      </c>
      <c r="N243" s="0" t="s">
        <v>4446</v>
      </c>
      <c r="O243" s="0" t="s">
        <v>4447</v>
      </c>
      <c r="P243" s="0" t="s">
        <v>3437</v>
      </c>
      <c r="Q243" s="0" t="s">
        <v>152</v>
      </c>
      <c r="R243" s="0" t="b">
        <v>0</v>
      </c>
      <c r="S243" s="0" t="s">
        <v>4694</v>
      </c>
    </row>
    <row customHeight="1" ht="11.25">
      <c r="A244" s="0">
        <v>2655</v>
      </c>
      <c r="B244" s="0" t="s">
        <v>114</v>
      </c>
      <c r="C244" s="0">
        <v>31690080</v>
      </c>
      <c r="D244" s="0" t="s">
        <v>4448</v>
      </c>
      <c r="E244" s="0" t="s">
        <v>4449</v>
      </c>
      <c r="F244" s="0" t="s">
        <v>4450</v>
      </c>
      <c r="G244" s="0" t="s">
        <v>3598</v>
      </c>
      <c r="H244" s="0" t="s">
        <v>4451</v>
      </c>
      <c r="I244" s="0" t="s">
        <v>4452</v>
      </c>
      <c r="K244" s="0" t="s">
        <v>4453</v>
      </c>
      <c r="L244" s="0" t="s">
        <v>4453</v>
      </c>
      <c r="M244" s="0" t="s">
        <v>4454</v>
      </c>
      <c r="N244" s="0" t="s">
        <v>4455</v>
      </c>
      <c r="O244" s="0" t="s">
        <v>4456</v>
      </c>
      <c r="P244" s="0" t="s">
        <v>3487</v>
      </c>
      <c r="Q244" s="0" t="s">
        <v>152</v>
      </c>
      <c r="R244" s="0" t="b">
        <v>1</v>
      </c>
      <c r="S244" s="0" t="s">
        <v>4694</v>
      </c>
    </row>
    <row customHeight="1" ht="11.25">
      <c r="A245" s="0">
        <v>2655</v>
      </c>
      <c r="B245" s="0" t="s">
        <v>114</v>
      </c>
      <c r="C245" s="0">
        <v>30856253</v>
      </c>
      <c r="D245" s="0" t="s">
        <v>4474</v>
      </c>
      <c r="E245" s="0" t="s">
        <v>4475</v>
      </c>
      <c r="F245" s="0" t="s">
        <v>4476</v>
      </c>
      <c r="G245" s="0" t="s">
        <v>3440</v>
      </c>
      <c r="H245" s="0" t="s">
        <v>4477</v>
      </c>
      <c r="I245" s="0" t="s">
        <v>4478</v>
      </c>
      <c r="J245" s="0" t="s">
        <v>3649</v>
      </c>
      <c r="K245" s="0" t="s">
        <v>4479</v>
      </c>
      <c r="L245" s="0" t="s">
        <v>4479</v>
      </c>
      <c r="M245" s="0" t="s">
        <v>4480</v>
      </c>
      <c r="N245" s="0" t="s">
        <v>4481</v>
      </c>
      <c r="O245" s="0" t="s">
        <v>4482</v>
      </c>
      <c r="P245" s="0" t="s">
        <v>3487</v>
      </c>
      <c r="Q245" s="0" t="s">
        <v>152</v>
      </c>
      <c r="R245" s="0" t="b">
        <v>0</v>
      </c>
      <c r="S245" s="0" t="s">
        <v>4694</v>
      </c>
    </row>
    <row customHeight="1" ht="11.25">
      <c r="A246" s="0">
        <v>2655</v>
      </c>
      <c r="B246" s="0" t="s">
        <v>114</v>
      </c>
      <c r="C246" s="0">
        <v>33000042</v>
      </c>
      <c r="D246" s="0" t="s">
        <v>4483</v>
      </c>
      <c r="E246" s="0" t="s">
        <v>4484</v>
      </c>
      <c r="F246" s="0" t="s">
        <v>4485</v>
      </c>
      <c r="G246" s="0" t="s">
        <v>3684</v>
      </c>
      <c r="H246" s="0" t="s">
        <v>4486</v>
      </c>
      <c r="I246" s="0" t="s">
        <v>4487</v>
      </c>
      <c r="K246" s="0" t="s">
        <v>4488</v>
      </c>
      <c r="L246" s="0" t="s">
        <v>4489</v>
      </c>
      <c r="M246" s="0" t="s">
        <v>4490</v>
      </c>
      <c r="N246" s="0" t="s">
        <v>4491</v>
      </c>
      <c r="O246" s="0" t="s">
        <v>3691</v>
      </c>
      <c r="P246" s="0" t="s">
        <v>4492</v>
      </c>
      <c r="Q246" s="0" t="s">
        <v>152</v>
      </c>
      <c r="R246" s="0" t="b">
        <v>0</v>
      </c>
      <c r="S246" s="0" t="s">
        <v>4694</v>
      </c>
    </row>
    <row customHeight="1" ht="11.25">
      <c r="A247" s="0">
        <v>2655</v>
      </c>
      <c r="B247" s="0" t="s">
        <v>114</v>
      </c>
      <c r="C247" s="0">
        <v>26517842</v>
      </c>
      <c r="D247" s="0" t="s">
        <v>4493</v>
      </c>
      <c r="E247" s="0" t="s">
        <v>4494</v>
      </c>
      <c r="F247" s="0" t="s">
        <v>4495</v>
      </c>
      <c r="G247" s="0" t="s">
        <v>3579</v>
      </c>
      <c r="H247" s="0" t="s">
        <v>4496</v>
      </c>
      <c r="I247" s="0" t="s">
        <v>4497</v>
      </c>
      <c r="J247" s="0" t="s">
        <v>3649</v>
      </c>
      <c r="K247" s="0" t="s">
        <v>4498</v>
      </c>
      <c r="L247" s="0" t="s">
        <v>3367</v>
      </c>
      <c r="M247" s="0" t="s">
        <v>4499</v>
      </c>
      <c r="N247" s="0" t="s">
        <v>4500</v>
      </c>
      <c r="O247" s="0" t="s">
        <v>4501</v>
      </c>
      <c r="P247" s="0" t="s">
        <v>3437</v>
      </c>
      <c r="Q247" s="0" t="s">
        <v>152</v>
      </c>
      <c r="R247" s="0" t="b">
        <v>0</v>
      </c>
      <c r="S247" s="0" t="s">
        <v>4694</v>
      </c>
    </row>
    <row customHeight="1" ht="11.25">
      <c r="A248" s="0">
        <v>2655</v>
      </c>
      <c r="B248" s="0" t="s">
        <v>114</v>
      </c>
      <c r="C248" s="0">
        <v>31473621</v>
      </c>
      <c r="D248" s="0" t="s">
        <v>4502</v>
      </c>
      <c r="E248" s="0" t="s">
        <v>4503</v>
      </c>
      <c r="F248" s="0" t="s">
        <v>4504</v>
      </c>
      <c r="G248" s="0" t="s">
        <v>3522</v>
      </c>
      <c r="H248" s="0" t="s">
        <v>4505</v>
      </c>
      <c r="I248" s="0" t="s">
        <v>4506</v>
      </c>
      <c r="J248" s="0" t="s">
        <v>3649</v>
      </c>
      <c r="K248" s="0" t="s">
        <v>4507</v>
      </c>
      <c r="L248" s="0" t="s">
        <v>4507</v>
      </c>
      <c r="M248" s="0" t="s">
        <v>4508</v>
      </c>
      <c r="N248" s="0" t="s">
        <v>4509</v>
      </c>
      <c r="O248" s="0" t="s">
        <v>4510</v>
      </c>
      <c r="P248" s="0" t="s">
        <v>3437</v>
      </c>
      <c r="Q248" s="0" t="s">
        <v>4511</v>
      </c>
      <c r="R248" s="0" t="b">
        <v>0</v>
      </c>
      <c r="S248" s="0" t="s">
        <v>4694</v>
      </c>
    </row>
    <row customHeight="1" ht="11.25">
      <c r="A249" s="0">
        <v>2655</v>
      </c>
      <c r="B249" s="0" t="s">
        <v>114</v>
      </c>
      <c r="C249" s="0">
        <v>31004851</v>
      </c>
      <c r="D249" s="0" t="s">
        <v>4512</v>
      </c>
      <c r="E249" s="0" t="s">
        <v>4513</v>
      </c>
      <c r="F249" s="0" t="s">
        <v>4514</v>
      </c>
      <c r="G249" s="0" t="s">
        <v>3386</v>
      </c>
      <c r="H249" s="0" t="s">
        <v>4515</v>
      </c>
      <c r="I249" s="0" t="s">
        <v>4516</v>
      </c>
      <c r="J249" s="0" t="s">
        <v>3649</v>
      </c>
      <c r="K249" s="0" t="s">
        <v>4517</v>
      </c>
      <c r="L249" s="0" t="s">
        <v>4518</v>
      </c>
      <c r="M249" s="0" t="s">
        <v>4519</v>
      </c>
      <c r="N249" s="0" t="s">
        <v>4520</v>
      </c>
      <c r="O249" s="0" t="s">
        <v>4521</v>
      </c>
      <c r="P249" s="0" t="s">
        <v>152</v>
      </c>
      <c r="Q249" s="0" t="s">
        <v>152</v>
      </c>
      <c r="R249" s="0" t="b">
        <v>0</v>
      </c>
      <c r="S249" s="0" t="s">
        <v>4694</v>
      </c>
    </row>
    <row customHeight="1" ht="11.25">
      <c r="A250" s="0">
        <v>2655</v>
      </c>
      <c r="B250" s="0" t="s">
        <v>114</v>
      </c>
      <c r="C250" s="0">
        <v>26356976</v>
      </c>
      <c r="D250" s="0" t="s">
        <v>4522</v>
      </c>
      <c r="E250" s="0" t="s">
        <v>4523</v>
      </c>
      <c r="F250" s="0" t="s">
        <v>4524</v>
      </c>
      <c r="G250" s="0" t="s">
        <v>3750</v>
      </c>
      <c r="H250" s="0" t="s">
        <v>4525</v>
      </c>
      <c r="I250" s="0" t="s">
        <v>4526</v>
      </c>
      <c r="J250" s="0" t="s">
        <v>3649</v>
      </c>
      <c r="K250" s="0" t="s">
        <v>4527</v>
      </c>
      <c r="L250" s="0" t="s">
        <v>4527</v>
      </c>
      <c r="M250" s="0" t="s">
        <v>4528</v>
      </c>
      <c r="N250" s="0" t="s">
        <v>4529</v>
      </c>
      <c r="O250" s="0" t="s">
        <v>4530</v>
      </c>
      <c r="P250" s="0" t="s">
        <v>3404</v>
      </c>
      <c r="Q250" s="0" t="s">
        <v>4531</v>
      </c>
      <c r="R250" s="0" t="b">
        <v>0</v>
      </c>
      <c r="S250" s="0" t="s">
        <v>4694</v>
      </c>
    </row>
    <row customHeight="1" ht="11.25">
      <c r="A251" s="0">
        <v>2655</v>
      </c>
      <c r="B251" s="0" t="s">
        <v>114</v>
      </c>
      <c r="C251" s="0">
        <v>28274482</v>
      </c>
      <c r="D251" s="0" t="s">
        <v>4532</v>
      </c>
      <c r="E251" s="0" t="s">
        <v>4533</v>
      </c>
      <c r="F251" s="0" t="s">
        <v>4534</v>
      </c>
      <c r="G251" s="0" t="s">
        <v>3440</v>
      </c>
      <c r="H251" s="0" t="s">
        <v>4535</v>
      </c>
      <c r="I251" s="0" t="s">
        <v>4536</v>
      </c>
      <c r="J251" s="0" t="s">
        <v>3649</v>
      </c>
      <c r="K251" s="0" t="s">
        <v>4537</v>
      </c>
      <c r="L251" s="0" t="s">
        <v>4538</v>
      </c>
      <c r="M251" s="0" t="s">
        <v>3734</v>
      </c>
      <c r="N251" s="0" t="s">
        <v>4539</v>
      </c>
      <c r="O251" s="0" t="s">
        <v>3736</v>
      </c>
      <c r="P251" s="0" t="s">
        <v>3487</v>
      </c>
      <c r="Q251" s="0" t="s">
        <v>152</v>
      </c>
      <c r="R251" s="0" t="b">
        <v>0</v>
      </c>
      <c r="S251" s="0" t="s">
        <v>4694</v>
      </c>
    </row>
    <row customHeight="1" ht="11.25">
      <c r="A252" s="0">
        <v>2655</v>
      </c>
      <c r="B252" s="0" t="s">
        <v>114</v>
      </c>
      <c r="C252" s="0">
        <v>31224454</v>
      </c>
      <c r="D252" s="0" t="s">
        <v>4540</v>
      </c>
      <c r="E252" s="0" t="s">
        <v>4541</v>
      </c>
      <c r="F252" s="0" t="s">
        <v>4542</v>
      </c>
      <c r="G252" s="0" t="s">
        <v>3386</v>
      </c>
      <c r="H252" s="0" t="s">
        <v>4543</v>
      </c>
      <c r="I252" s="0" t="s">
        <v>4544</v>
      </c>
      <c r="J252" s="0" t="s">
        <v>3649</v>
      </c>
      <c r="K252" s="0" t="s">
        <v>4545</v>
      </c>
      <c r="L252" s="0" t="s">
        <v>4545</v>
      </c>
      <c r="M252" s="0" t="s">
        <v>4546</v>
      </c>
      <c r="N252" s="0" t="s">
        <v>4547</v>
      </c>
      <c r="O252" s="0" t="s">
        <v>4548</v>
      </c>
      <c r="P252" s="0" t="s">
        <v>3437</v>
      </c>
      <c r="Q252" s="0" t="s">
        <v>152</v>
      </c>
      <c r="R252" s="0" t="b">
        <v>0</v>
      </c>
      <c r="S252" s="0" t="s">
        <v>4694</v>
      </c>
    </row>
    <row customHeight="1" ht="11.25">
      <c r="A253" s="0">
        <v>2655</v>
      </c>
      <c r="B253" s="0" t="s">
        <v>114</v>
      </c>
      <c r="C253" s="0">
        <v>31534676</v>
      </c>
      <c r="D253" s="0" t="s">
        <v>4566</v>
      </c>
      <c r="E253" s="0" t="s">
        <v>4567</v>
      </c>
      <c r="F253" s="0" t="s">
        <v>4568</v>
      </c>
      <c r="G253" s="0" t="s">
        <v>3522</v>
      </c>
      <c r="H253" s="0" t="s">
        <v>4569</v>
      </c>
      <c r="I253" s="0" t="s">
        <v>4570</v>
      </c>
      <c r="K253" s="0" t="s">
        <v>4571</v>
      </c>
      <c r="L253" s="0" t="s">
        <v>4572</v>
      </c>
      <c r="M253" s="0" t="s">
        <v>4573</v>
      </c>
      <c r="N253" s="0" t="s">
        <v>4574</v>
      </c>
      <c r="O253" s="0" t="s">
        <v>4575</v>
      </c>
      <c r="P253" s="0" t="s">
        <v>3487</v>
      </c>
      <c r="Q253" s="0" t="s">
        <v>152</v>
      </c>
      <c r="R253" s="0" t="b">
        <v>0</v>
      </c>
      <c r="S253" s="0" t="s">
        <v>4694</v>
      </c>
    </row>
    <row customHeight="1" ht="11.25">
      <c r="A254" s="0">
        <v>2655</v>
      </c>
      <c r="B254" s="0" t="s">
        <v>114</v>
      </c>
      <c r="C254" s="0">
        <v>26356899</v>
      </c>
      <c r="D254" s="0" t="s">
        <v>4576</v>
      </c>
      <c r="E254" s="0" t="s">
        <v>4577</v>
      </c>
      <c r="F254" s="0" t="s">
        <v>4578</v>
      </c>
      <c r="G254" s="0" t="s">
        <v>4579</v>
      </c>
      <c r="H254" s="0" t="s">
        <v>4580</v>
      </c>
      <c r="I254" s="0" t="s">
        <v>152</v>
      </c>
      <c r="J254" s="0" t="s">
        <v>3649</v>
      </c>
      <c r="K254" s="0" t="s">
        <v>3838</v>
      </c>
      <c r="L254" s="0" t="s">
        <v>3838</v>
      </c>
      <c r="M254" s="0" t="s">
        <v>4581</v>
      </c>
      <c r="N254" s="0" t="s">
        <v>152</v>
      </c>
      <c r="O254" s="0" t="s">
        <v>3840</v>
      </c>
      <c r="P254" s="0" t="s">
        <v>3487</v>
      </c>
      <c r="Q254" s="0" t="s">
        <v>152</v>
      </c>
      <c r="R254" s="0" t="b">
        <v>0</v>
      </c>
      <c r="S254" s="0" t="s">
        <v>4694</v>
      </c>
    </row>
    <row customHeight="1" ht="11.25">
      <c r="A255" s="0">
        <v>2655</v>
      </c>
      <c r="B255" s="0" t="s">
        <v>114</v>
      </c>
      <c r="C255" s="0">
        <v>31224507</v>
      </c>
      <c r="D255" s="0" t="s">
        <v>4582</v>
      </c>
      <c r="E255" s="0" t="s">
        <v>4583</v>
      </c>
      <c r="F255" s="0" t="s">
        <v>4584</v>
      </c>
      <c r="G255" s="0" t="s">
        <v>4585</v>
      </c>
      <c r="H255" s="0" t="s">
        <v>4586</v>
      </c>
      <c r="I255" s="0" t="s">
        <v>4587</v>
      </c>
      <c r="J255" s="0" t="s">
        <v>3649</v>
      </c>
      <c r="K255" s="0" t="s">
        <v>4588</v>
      </c>
      <c r="L255" s="0" t="s">
        <v>4588</v>
      </c>
      <c r="M255" s="0" t="s">
        <v>4589</v>
      </c>
      <c r="N255" s="0" t="s">
        <v>4590</v>
      </c>
      <c r="O255" s="0" t="s">
        <v>4548</v>
      </c>
      <c r="P255" s="0" t="s">
        <v>3437</v>
      </c>
      <c r="Q255" s="0" t="s">
        <v>152</v>
      </c>
      <c r="R255" s="0" t="b">
        <v>0</v>
      </c>
      <c r="S255" s="0" t="s">
        <v>4694</v>
      </c>
    </row>
    <row customHeight="1" ht="11.25">
      <c r="A256" s="0">
        <v>2655</v>
      </c>
      <c r="B256" s="0" t="s">
        <v>114</v>
      </c>
      <c r="C256" s="0">
        <v>27968109</v>
      </c>
      <c r="D256" s="0" t="s">
        <v>4591</v>
      </c>
      <c r="E256" s="0" t="s">
        <v>4592</v>
      </c>
      <c r="F256" s="0" t="s">
        <v>4593</v>
      </c>
      <c r="G256" s="0" t="s">
        <v>3363</v>
      </c>
      <c r="H256" s="0" t="s">
        <v>4594</v>
      </c>
      <c r="I256" s="0" t="s">
        <v>4595</v>
      </c>
      <c r="J256" s="0" t="s">
        <v>3649</v>
      </c>
      <c r="K256" s="0" t="s">
        <v>4596</v>
      </c>
      <c r="L256" s="0" t="s">
        <v>4596</v>
      </c>
      <c r="M256" s="0" t="s">
        <v>4597</v>
      </c>
      <c r="N256" s="0" t="s">
        <v>4598</v>
      </c>
      <c r="O256" s="0" t="s">
        <v>4599</v>
      </c>
      <c r="P256" s="0" t="s">
        <v>3437</v>
      </c>
      <c r="Q256" s="0" t="s">
        <v>4600</v>
      </c>
      <c r="R256" s="0" t="b">
        <v>0</v>
      </c>
      <c r="S256" s="0" t="s">
        <v>4694</v>
      </c>
    </row>
    <row customHeight="1" ht="11.25">
      <c r="A257" s="0">
        <v>2655</v>
      </c>
      <c r="B257" s="0" t="s">
        <v>114</v>
      </c>
      <c r="C257" s="0">
        <v>28270293</v>
      </c>
      <c r="D257" s="0" t="s">
        <v>3814</v>
      </c>
      <c r="E257" s="0" t="s">
        <v>3815</v>
      </c>
      <c r="F257" s="0" t="s">
        <v>3816</v>
      </c>
      <c r="G257" s="0" t="s">
        <v>3579</v>
      </c>
      <c r="H257" s="0" t="s">
        <v>3817</v>
      </c>
      <c r="I257" s="0" t="s">
        <v>3818</v>
      </c>
      <c r="J257" s="0" t="s">
        <v>3649</v>
      </c>
      <c r="K257" s="0" t="s">
        <v>3819</v>
      </c>
      <c r="L257" s="0" t="s">
        <v>3819</v>
      </c>
      <c r="M257" s="0" t="s">
        <v>3820</v>
      </c>
      <c r="N257" s="0" t="s">
        <v>3821</v>
      </c>
      <c r="O257" s="0" t="s">
        <v>3822</v>
      </c>
      <c r="P257" s="0" t="s">
        <v>3437</v>
      </c>
      <c r="Q257" s="0" t="s">
        <v>152</v>
      </c>
      <c r="R257" s="0" t="b">
        <v>0</v>
      </c>
      <c r="S257" s="0" t="s">
        <v>4694</v>
      </c>
    </row>
    <row customHeight="1" ht="11.25">
      <c r="A258" s="0">
        <v>2655</v>
      </c>
      <c r="B258" s="0" t="s">
        <v>114</v>
      </c>
      <c r="C258" s="0">
        <v>28873362</v>
      </c>
      <c r="D258" s="0" t="s">
        <v>3823</v>
      </c>
      <c r="E258" s="0" t="s">
        <v>3824</v>
      </c>
      <c r="F258" s="0" t="s">
        <v>3825</v>
      </c>
      <c r="G258" s="0" t="s">
        <v>3363</v>
      </c>
      <c r="H258" s="0" t="s">
        <v>3826</v>
      </c>
      <c r="I258" s="0" t="s">
        <v>3827</v>
      </c>
      <c r="J258" s="0" t="s">
        <v>3649</v>
      </c>
      <c r="K258" s="0" t="s">
        <v>3828</v>
      </c>
      <c r="L258" s="0" t="s">
        <v>3828</v>
      </c>
      <c r="M258" s="0" t="s">
        <v>3829</v>
      </c>
      <c r="N258" s="0" t="s">
        <v>3830</v>
      </c>
      <c r="O258" s="0" t="s">
        <v>3831</v>
      </c>
      <c r="P258" s="0" t="s">
        <v>3487</v>
      </c>
      <c r="Q258" s="0" t="s">
        <v>3832</v>
      </c>
      <c r="R258" s="0" t="b">
        <v>0</v>
      </c>
      <c r="S258" s="0" t="s">
        <v>4694</v>
      </c>
    </row>
    <row customHeight="1" ht="11.25">
      <c r="A259" s="0">
        <v>2655</v>
      </c>
      <c r="B259" s="0" t="s">
        <v>114</v>
      </c>
      <c r="C259" s="0">
        <v>30992391</v>
      </c>
      <c r="D259" s="0" t="s">
        <v>3841</v>
      </c>
      <c r="E259" s="0" t="s">
        <v>3842</v>
      </c>
      <c r="F259" s="0" t="s">
        <v>3843</v>
      </c>
      <c r="G259" s="0" t="s">
        <v>3479</v>
      </c>
      <c r="H259" s="0" t="s">
        <v>3844</v>
      </c>
      <c r="I259" s="0" t="s">
        <v>3845</v>
      </c>
      <c r="J259" s="0" t="s">
        <v>3649</v>
      </c>
      <c r="K259" s="0" t="s">
        <v>3846</v>
      </c>
      <c r="L259" s="0" t="s">
        <v>3847</v>
      </c>
      <c r="M259" s="0" t="s">
        <v>3848</v>
      </c>
      <c r="N259" s="0" t="s">
        <v>3849</v>
      </c>
      <c r="O259" s="0" t="s">
        <v>3850</v>
      </c>
      <c r="P259" s="0" t="s">
        <v>3487</v>
      </c>
      <c r="Q259" s="0" t="s">
        <v>3851</v>
      </c>
      <c r="R259" s="0" t="b">
        <v>0</v>
      </c>
      <c r="S259" s="0" t="s">
        <v>4694</v>
      </c>
    </row>
    <row customHeight="1" ht="11.25">
      <c r="A260" s="0">
        <v>2655</v>
      </c>
      <c r="B260" s="0" t="s">
        <v>114</v>
      </c>
      <c r="C260" s="0">
        <v>26356974</v>
      </c>
      <c r="D260" s="0" t="s">
        <v>4628</v>
      </c>
      <c r="E260" s="0" t="s">
        <v>4629</v>
      </c>
      <c r="F260" s="0" t="s">
        <v>4630</v>
      </c>
      <c r="G260" s="0" t="s">
        <v>4631</v>
      </c>
      <c r="H260" s="0" t="s">
        <v>4632</v>
      </c>
      <c r="I260" s="0" t="s">
        <v>4633</v>
      </c>
      <c r="J260" s="0" t="s">
        <v>3649</v>
      </c>
      <c r="K260" s="0" t="s">
        <v>4634</v>
      </c>
      <c r="L260" s="0" t="s">
        <v>4634</v>
      </c>
      <c r="M260" s="0" t="s">
        <v>4635</v>
      </c>
      <c r="N260" s="0" t="s">
        <v>4636</v>
      </c>
      <c r="O260" s="0" t="s">
        <v>4637</v>
      </c>
      <c r="P260" s="0" t="s">
        <v>3487</v>
      </c>
      <c r="Q260" s="0" t="s">
        <v>4638</v>
      </c>
      <c r="R260" s="0" t="b">
        <v>0</v>
      </c>
      <c r="S260" s="0" t="s">
        <v>4694</v>
      </c>
    </row>
    <row customHeight="1" ht="11.25">
      <c r="A261" s="0">
        <v>2655</v>
      </c>
      <c r="B261" s="0" t="s">
        <v>114</v>
      </c>
      <c r="C261" s="0">
        <v>31038861</v>
      </c>
      <c r="D261" s="0" t="s">
        <v>4648</v>
      </c>
      <c r="E261" s="0" t="s">
        <v>4649</v>
      </c>
      <c r="F261" s="0" t="s">
        <v>4650</v>
      </c>
      <c r="G261" s="0" t="s">
        <v>3386</v>
      </c>
      <c r="H261" s="0" t="s">
        <v>4651</v>
      </c>
      <c r="I261" s="0" t="s">
        <v>4652</v>
      </c>
      <c r="J261" s="0" t="s">
        <v>3649</v>
      </c>
      <c r="K261" s="0" t="s">
        <v>4653</v>
      </c>
      <c r="L261" s="0" t="s">
        <v>4654</v>
      </c>
      <c r="M261" s="0" t="s">
        <v>4655</v>
      </c>
      <c r="N261" s="0" t="s">
        <v>4656</v>
      </c>
      <c r="O261" s="0" t="s">
        <v>4657</v>
      </c>
      <c r="P261" s="0" t="s">
        <v>3437</v>
      </c>
      <c r="Q261" s="0" t="s">
        <v>152</v>
      </c>
      <c r="R261" s="0" t="b">
        <v>0</v>
      </c>
      <c r="S261" s="0" t="s">
        <v>4694</v>
      </c>
    </row>
    <row customHeight="1" ht="11.25">
      <c r="A262" s="0">
        <v>2655</v>
      </c>
      <c r="B262" s="0" t="s">
        <v>114</v>
      </c>
      <c r="C262" s="0">
        <v>26519663</v>
      </c>
      <c r="D262" s="0" t="s">
        <v>4658</v>
      </c>
      <c r="E262" s="0" t="s">
        <v>4659</v>
      </c>
      <c r="F262" s="0" t="s">
        <v>4660</v>
      </c>
      <c r="G262" s="0" t="s">
        <v>3541</v>
      </c>
      <c r="H262" s="0" t="s">
        <v>4661</v>
      </c>
      <c r="I262" s="0" t="s">
        <v>4662</v>
      </c>
      <c r="J262" s="0" t="s">
        <v>156</v>
      </c>
      <c r="K262" s="0" t="s">
        <v>4663</v>
      </c>
      <c r="L262" s="0" t="s">
        <v>4663</v>
      </c>
      <c r="M262" s="0" t="s">
        <v>4664</v>
      </c>
      <c r="N262" s="0" t="s">
        <v>4665</v>
      </c>
      <c r="O262" s="0" t="s">
        <v>4666</v>
      </c>
      <c r="P262" s="0" t="s">
        <v>3404</v>
      </c>
      <c r="Q262" s="0" t="s">
        <v>4667</v>
      </c>
      <c r="R262" s="0" t="b">
        <v>0</v>
      </c>
      <c r="S262" s="0" t="s">
        <v>4694</v>
      </c>
    </row>
    <row customHeight="1" ht="11.25">
      <c r="A263" s="0">
        <v>2655</v>
      </c>
      <c r="B263" s="0" t="s">
        <v>114</v>
      </c>
      <c r="C263" s="0">
        <v>28977129</v>
      </c>
      <c r="D263" s="0" t="s">
        <v>4675</v>
      </c>
      <c r="E263" s="0" t="s">
        <v>4676</v>
      </c>
      <c r="F263" s="0" t="s">
        <v>3853</v>
      </c>
      <c r="G263" s="0" t="s">
        <v>4677</v>
      </c>
      <c r="H263" s="0" t="s">
        <v>3855</v>
      </c>
      <c r="I263" s="0" t="s">
        <v>3870</v>
      </c>
      <c r="J263" s="0" t="s">
        <v>3857</v>
      </c>
      <c r="K263" s="0" t="s">
        <v>4678</v>
      </c>
      <c r="L263" s="0" t="s">
        <v>4679</v>
      </c>
      <c r="M263" s="0" t="s">
        <v>4680</v>
      </c>
      <c r="N263" s="0" t="s">
        <v>152</v>
      </c>
      <c r="O263" s="0" t="s">
        <v>4681</v>
      </c>
      <c r="P263" s="0" t="s">
        <v>3487</v>
      </c>
      <c r="Q263" s="0" t="s">
        <v>152</v>
      </c>
      <c r="R263" s="0" t="b">
        <v>0</v>
      </c>
      <c r="S263" s="0" t="s">
        <v>4694</v>
      </c>
    </row>
    <row customHeight="1" ht="11.25">
      <c r="A264" s="0">
        <v>2655</v>
      </c>
      <c r="B264" s="0" t="s">
        <v>114</v>
      </c>
      <c r="C264" s="0">
        <v>30914574</v>
      </c>
      <c r="D264" s="0" t="s">
        <v>4682</v>
      </c>
      <c r="E264" s="0" t="s">
        <v>4683</v>
      </c>
      <c r="F264" s="0" t="s">
        <v>4684</v>
      </c>
      <c r="G264" s="0" t="s">
        <v>4685</v>
      </c>
      <c r="H264" s="0" t="s">
        <v>4686</v>
      </c>
      <c r="I264" s="0" t="s">
        <v>4687</v>
      </c>
      <c r="J264" s="0" t="s">
        <v>4688</v>
      </c>
      <c r="K264" s="0" t="s">
        <v>152</v>
      </c>
      <c r="L264" s="0" t="s">
        <v>4689</v>
      </c>
      <c r="M264" s="0" t="s">
        <v>4690</v>
      </c>
      <c r="N264" s="0" t="s">
        <v>4691</v>
      </c>
      <c r="O264" s="0" t="s">
        <v>4692</v>
      </c>
      <c r="P264" s="0" t="s">
        <v>4693</v>
      </c>
      <c r="Q264" s="0" t="s">
        <v>152</v>
      </c>
      <c r="R264" s="0" t="b">
        <v>0</v>
      </c>
      <c r="S264" s="0" t="s">
        <v>4694</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DF5DE-2B08-5765-7888-E3D928FAE8B8}" mc:Ignorable="x14ac xr xr2 xr3">
  <sheetPr>
    <tabColor theme="3" tint="0.6"/>
    <pageSetUpPr fitToPage="1"/>
  </sheetPr>
  <dimension ref="A1:BE233"/>
  <sheetViews>
    <sheetView topLeftCell="AD218" showGridLines="0" workbookViewId="0">
      <selection activeCell="AE210" sqref="AE210"/>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7.0039062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4">
        <v>20.4</v>
      </c>
      <c r="S25" s="1256" t="s">
        <v>119</v>
      </c>
      <c r="T25" s="1257" t="s">
        <v>120</v>
      </c>
      <c r="AB25" s="1427" t="s">
        <v>123</v>
      </c>
      <c r="AC25" s="1428"/>
      <c r="AD25" s="1429"/>
      <c r="AE25" s="1335">
        <v>2026</v>
      </c>
      <c r="AF25" s="427">
        <f>first_year+PERIOD_LENGTH-1</f>
        <v>2030</v>
      </c>
      <c r="AG25" s="248" cm="1" t="str">
        <f t="array" ref="AG25:AG25">IF(CorrectionOnlyForRegPeriod="да",god,last_year)</f>
        <v>2030</v>
      </c>
      <c r="AL25" s="1439"/>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4">
        <v>20.4</v>
      </c>
      <c r="S26" s="1256" t="s">
        <v>125</v>
      </c>
      <c r="T26" s="1257" t="s">
        <v>126</v>
      </c>
      <c r="AB26" s="1427" t="s">
        <v>127</v>
      </c>
      <c r="AC26" s="1428"/>
      <c r="AD26" s="1429"/>
      <c r="AE26" s="1335">
        <v>5</v>
      </c>
      <c r="AF26" s="426"/>
      <c r="AL26" s="1439"/>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5</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26824396</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c r="AF40" s="423"/>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4">
        <v>20.4</v>
      </c>
      <c r="S41" s="1256" t="s">
        <v>111</v>
      </c>
      <c r="T41" s="1257" t="s">
        <v>112</v>
      </c>
      <c r="AB41" s="1411" t="s">
        <v>142</v>
      </c>
      <c r="AC41" s="1411"/>
      <c r="AD41" s="1411"/>
      <c r="AE41" s="1113" t="s">
        <v>143</v>
      </c>
      <c r="AF41" s="423"/>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4">
        <v>20.4</v>
      </c>
      <c r="S42" s="1256" t="s">
        <v>111</v>
      </c>
      <c r="T42" s="1257" t="s">
        <v>112</v>
      </c>
      <c r="AB42" s="1411" t="s">
        <v>145</v>
      </c>
      <c r="AC42" s="1411"/>
      <c r="AD42" s="1411"/>
      <c r="AE42" s="1113" t="s">
        <v>146</v>
      </c>
      <c r="AF42" s="423"/>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4">
        <v>20.4</v>
      </c>
      <c r="S43" s="1256" t="s">
        <v>111</v>
      </c>
      <c r="T43" s="1257" t="s">
        <v>112</v>
      </c>
      <c r="AB43" s="1411" t="s">
        <v>148</v>
      </c>
      <c r="AC43" s="1411"/>
      <c r="AD43" s="1411"/>
      <c r="AE43" s="1113" t="s">
        <v>149</v>
      </c>
      <c r="AF43" s="423"/>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4">
        <v>20.4</v>
      </c>
      <c r="S44" s="1256" t="s">
        <v>111</v>
      </c>
      <c r="T44" s="1257" t="s">
        <v>112</v>
      </c>
      <c r="AB44" s="1411" t="s">
        <v>151</v>
      </c>
      <c r="AC44" s="1411"/>
      <c r="AD44" s="1411"/>
      <c r="AE44" s="456" t="s">
        <v>152</v>
      </c>
      <c r="AF44" s="423"/>
      <c r="AG44" s="152"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4">
        <v>20.4</v>
      </c>
      <c r="S45" s="1256" t="s">
        <v>111</v>
      </c>
      <c r="T45" s="1257" t="s">
        <v>112</v>
      </c>
      <c r="AB45" s="1411" t="s">
        <v>155</v>
      </c>
      <c r="AC45" s="1411"/>
      <c r="AD45" s="1411"/>
      <c r="AE45" s="436" t="s">
        <v>156</v>
      </c>
      <c r="AF45" s="423"/>
      <c r="AG45" s="152"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4">
        <v>20.4</v>
      </c>
      <c r="S46" s="1256" t="s">
        <v>111</v>
      </c>
      <c r="T46" s="1257" t="s">
        <v>112</v>
      </c>
      <c r="AB46" s="1411" t="s">
        <v>159</v>
      </c>
      <c r="AC46" s="1411"/>
      <c r="AD46" s="1411"/>
      <c r="AE46" s="436" t="s">
        <v>160</v>
      </c>
      <c r="AF46" s="429"/>
      <c r="AG46" s="152"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4">
        <v>20.4</v>
      </c>
      <c r="S47" s="1256" t="s">
        <v>111</v>
      </c>
      <c r="T47" s="1257" t="s">
        <v>112</v>
      </c>
      <c r="AB47" s="1411" t="s">
        <v>163</v>
      </c>
      <c r="AC47" s="1411"/>
      <c r="AD47" s="1411"/>
      <c r="AE47" s="436" t="s">
        <v>160</v>
      </c>
      <c r="AF47" s="429"/>
      <c r="AG47" s="152" t="s">
        <v>164</v>
      </c>
      <c r="AO47" s="1258"/>
      <c r="AP47" s="1258"/>
      <c r="AQ47" s="1258"/>
      <c r="AR47" s="1258"/>
      <c r="AS47" s="1258"/>
      <c r="AT47" s="1258" t="s">
        <v>165</v>
      </c>
      <c r="AU47" s="1258"/>
      <c r="AV47" s="1258"/>
      <c r="AW47" s="1258"/>
      <c r="AX47" s="1258"/>
      <c r="AY47" s="1258"/>
      <c r="AZ47" s="1258"/>
      <c r="BA47" s="1258"/>
      <c r="BB47" s="1258"/>
      <c r="BC47" s="1258"/>
      <c r="BD47" s="1258"/>
      <c r="BE47" s="1258"/>
    </row>
    <row customHeight="1" ht="19.89">
      <c r="E48" s="794">
        <v>20.4</v>
      </c>
      <c r="S48" s="1256" t="s">
        <v>111</v>
      </c>
      <c r="T48" s="1257" t="s">
        <v>112</v>
      </c>
      <c r="AB48" s="1411" t="s">
        <v>166</v>
      </c>
      <c r="AC48" s="1411"/>
      <c r="AD48" s="1411"/>
      <c r="AE48" s="421" t="s">
        <v>167</v>
      </c>
      <c r="AF48" s="429"/>
      <c r="AG48" s="152" t="s">
        <v>168</v>
      </c>
      <c r="AO48" s="1258"/>
      <c r="AP48" s="1258"/>
      <c r="AQ48" s="1258"/>
      <c r="AR48" s="1258"/>
      <c r="AS48" s="1258"/>
      <c r="AT48" s="1258" t="s">
        <v>169</v>
      </c>
      <c r="AU48" s="1258"/>
      <c r="AV48" s="1258"/>
      <c r="AW48" s="1258"/>
      <c r="AX48" s="1258"/>
      <c r="AY48" s="1258"/>
      <c r="AZ48" s="1258"/>
      <c r="BA48" s="1258"/>
      <c r="BB48" s="1258"/>
      <c r="BC48" s="1258"/>
      <c r="BD48" s="1258"/>
      <c r="BE48" s="1258"/>
    </row>
    <row customHeight="1" ht="19.89">
      <c r="E49" s="794">
        <v>20.4</v>
      </c>
      <c r="S49" s="1256" t="s">
        <v>111</v>
      </c>
      <c r="T49" s="1257" t="s">
        <v>112</v>
      </c>
      <c r="AB49" s="1411" t="s">
        <v>170</v>
      </c>
      <c r="AC49" s="1411"/>
      <c r="AD49" s="1411"/>
      <c r="AE49" s="437" t="s">
        <v>171</v>
      </c>
      <c r="AF49" s="429"/>
      <c r="AG49" s="152" t="s">
        <v>172</v>
      </c>
      <c r="AO49" s="1258"/>
      <c r="AP49" s="1258"/>
      <c r="AQ49" s="1258"/>
      <c r="AR49" s="1258"/>
      <c r="AS49" s="1258"/>
      <c r="AT49" s="1258" t="s">
        <v>173</v>
      </c>
      <c r="AU49" s="1258"/>
      <c r="AV49" s="1258"/>
      <c r="AW49" s="1258"/>
      <c r="AX49" s="1258"/>
      <c r="AY49" s="1258"/>
      <c r="AZ49" s="1258"/>
      <c r="BA49" s="1258"/>
      <c r="BB49" s="1258"/>
      <c r="BC49" s="1258"/>
      <c r="BD49" s="1258"/>
      <c r="BE49" s="1258"/>
    </row>
    <row customHeight="1" ht="19.89">
      <c r="E50" s="794">
        <v>20.4</v>
      </c>
      <c r="S50" s="1256" t="s">
        <v>111</v>
      </c>
      <c r="T50" s="1257" t="s">
        <v>112</v>
      </c>
      <c r="AB50" s="1411" t="s">
        <v>174</v>
      </c>
      <c r="AC50" s="1411"/>
      <c r="AD50" s="1411"/>
      <c r="AE50" s="436" t="s">
        <v>175</v>
      </c>
      <c r="AF50" s="429"/>
      <c r="AG50" s="152" t="s">
        <v>176</v>
      </c>
      <c r="AO50" s="1258"/>
      <c r="AP50" s="1258"/>
      <c r="AQ50" s="1258"/>
      <c r="AR50" s="1258"/>
      <c r="AS50" s="1258"/>
      <c r="AT50" s="1258" t="s">
        <v>177</v>
      </c>
      <c r="AU50" s="1258"/>
      <c r="AV50" s="1258"/>
      <c r="AW50" s="1258"/>
      <c r="AX50" s="1258"/>
      <c r="AY50" s="1258"/>
      <c r="AZ50" s="1258"/>
      <c r="BA50" s="1258"/>
      <c r="BB50" s="1258"/>
      <c r="BC50" s="1258"/>
      <c r="BD50" s="1258"/>
      <c r="BE50" s="1258"/>
    </row>
    <row customHeight="1" ht="19.89">
      <c r="E51" s="794">
        <v>20.4</v>
      </c>
      <c r="S51" s="1256" t="s">
        <v>111</v>
      </c>
      <c r="T51" s="1257" t="s">
        <v>112</v>
      </c>
      <c r="AB51" s="1411" t="s">
        <v>178</v>
      </c>
      <c r="AC51" s="1411"/>
      <c r="AD51" s="1411"/>
      <c r="AE51" s="436" t="s">
        <v>179</v>
      </c>
      <c r="AF51" s="429"/>
      <c r="AG51" s="152" t="s">
        <v>180</v>
      </c>
      <c r="AO51" s="1258"/>
      <c r="AP51" s="1258"/>
      <c r="AQ51" s="1258"/>
      <c r="AR51" s="1258"/>
      <c r="AS51" s="1258"/>
      <c r="AT51" s="1258" t="s">
        <v>181</v>
      </c>
      <c r="AU51" s="1258"/>
      <c r="AV51" s="1258"/>
      <c r="AW51" s="1258"/>
      <c r="AX51" s="1258"/>
      <c r="AY51" s="1258"/>
      <c r="AZ51" s="1258"/>
      <c r="BA51" s="1258"/>
      <c r="BB51" s="1258"/>
      <c r="BC51" s="1258"/>
      <c r="BD51" s="1258"/>
      <c r="BE51" s="1258"/>
    </row>
    <row customHeight="1" ht="19.89">
      <c r="E52" s="794">
        <v>20.4</v>
      </c>
      <c r="S52" s="1256" t="s">
        <v>111</v>
      </c>
      <c r="T52" s="1257" t="s">
        <v>112</v>
      </c>
      <c r="AB52" s="1411" t="s">
        <v>182</v>
      </c>
      <c r="AC52" s="1411"/>
      <c r="AD52" s="1411"/>
      <c r="AE52" s="438" t="s">
        <v>152</v>
      </c>
      <c r="AF52" s="429"/>
      <c r="AG52" s="152" t="s">
        <v>183</v>
      </c>
      <c r="AO52" s="1258"/>
      <c r="AP52" s="1258"/>
      <c r="AQ52" s="1258"/>
      <c r="AR52" s="1258"/>
      <c r="AS52" s="1258"/>
      <c r="AT52" s="1258" t="s">
        <v>184</v>
      </c>
      <c r="AU52" s="1258"/>
      <c r="AV52" s="1258"/>
      <c r="AW52" s="1258"/>
      <c r="AX52" s="1258"/>
      <c r="AY52" s="1258"/>
      <c r="AZ52" s="1258"/>
      <c r="BA52" s="1258"/>
      <c r="BB52" s="1258"/>
      <c r="BC52" s="1258"/>
      <c r="BD52" s="1258"/>
      <c r="BE52" s="1258"/>
    </row>
    <row customHeight="1" ht="19.89">
      <c r="E53" s="794">
        <v>20.4</v>
      </c>
      <c r="S53" s="1256" t="s">
        <v>185</v>
      </c>
      <c r="T53" s="1257" t="s">
        <v>186</v>
      </c>
      <c r="AB53" s="1411" t="s">
        <v>187</v>
      </c>
      <c r="AC53" s="1411"/>
      <c r="AD53" s="182" t="s">
        <v>188</v>
      </c>
      <c r="AE53" s="439" t="s">
        <v>189</v>
      </c>
      <c r="AF53" s="429"/>
      <c r="AG53" s="152" t="s">
        <v>190</v>
      </c>
      <c r="AO53" s="1258"/>
      <c r="AP53" s="1258"/>
      <c r="AQ53" s="1258"/>
      <c r="AR53" s="1258"/>
      <c r="AS53" s="1258"/>
      <c r="AT53" s="1258" t="s">
        <v>191</v>
      </c>
      <c r="AU53" s="1258"/>
      <c r="AV53" s="1258"/>
      <c r="AW53" s="1258"/>
      <c r="AX53" s="1258"/>
      <c r="AY53" s="1258"/>
      <c r="AZ53" s="1258"/>
      <c r="BA53" s="1258"/>
      <c r="BB53" s="1258"/>
      <c r="BC53" s="1258"/>
      <c r="BD53" s="1258"/>
      <c r="BE53" s="1258"/>
    </row>
    <row customHeight="1" ht="19.89" hidden="1">
      <c r="A54" s="1440"/>
      <c r="B54" s="908">
        <f>STATE_SHARE_EXISTENCE&lt;&gt;"нет"</f>
        <v>0</v>
      </c>
      <c r="C54" s="1440"/>
      <c r="D54" s="1440"/>
      <c r="E54" s="794">
        <v>20.4</v>
      </c>
      <c r="F54" s="962"/>
      <c r="G54" s="1440"/>
      <c r="H54" s="1440"/>
      <c r="I54" s="1440"/>
      <c r="J54" s="1440"/>
      <c r="K54" s="1440"/>
      <c r="L54" s="1440"/>
      <c r="M54" s="1440"/>
      <c r="N54" s="1440"/>
      <c r="O54" s="1440"/>
      <c r="P54" s="1440"/>
      <c r="Q54" s="1440"/>
      <c r="R54" s="1440"/>
      <c r="S54" s="1256" t="s">
        <v>111</v>
      </c>
      <c r="T54" s="1257" t="s">
        <v>112</v>
      </c>
      <c r="U54" s="1440"/>
      <c r="V54" s="1440"/>
      <c r="W54" s="1440"/>
      <c r="X54" s="1440"/>
      <c r="Y54" s="1440"/>
      <c r="Z54" s="1440"/>
      <c r="AA54" s="817"/>
      <c r="AB54" s="1411"/>
      <c r="AC54" s="1411"/>
      <c r="AD54" s="182" t="s">
        <v>192</v>
      </c>
      <c r="AE54" s="1588"/>
      <c r="AF54" s="429"/>
      <c r="AG54" s="152" t="s">
        <v>193</v>
      </c>
      <c r="AH54" s="1532"/>
      <c r="AI54" s="1532"/>
      <c r="AJ54" s="1532"/>
      <c r="AK54" s="1532"/>
      <c r="AL54" s="1532"/>
      <c r="AM54" s="1532"/>
      <c r="AN54" s="1532"/>
      <c r="AO54" s="1258"/>
      <c r="AP54" s="1258"/>
      <c r="AQ54" s="1258"/>
      <c r="AR54" s="1258"/>
      <c r="AS54" s="1258"/>
      <c r="AT54" s="1258" t="s">
        <v>194</v>
      </c>
      <c r="AU54" s="1258"/>
      <c r="AV54" s="1258"/>
      <c r="AW54" s="1258"/>
      <c r="AX54" s="1258"/>
      <c r="AY54" s="1258"/>
      <c r="AZ54" s="1258"/>
      <c r="BA54" s="1258"/>
      <c r="BB54" s="1258"/>
      <c r="BC54" s="1258"/>
      <c r="BD54" s="1258"/>
      <c r="BE54" s="1258"/>
    </row>
    <row customHeight="1" ht="19.89" hidden="1">
      <c r="A55" s="1440"/>
      <c r="B55" s="908">
        <f>STATE_SHARE_EXISTENCE&lt;&gt;"нет"</f>
        <v>0</v>
      </c>
      <c r="C55" s="1440"/>
      <c r="D55" s="1440"/>
      <c r="E55" s="794">
        <v>20.4</v>
      </c>
      <c r="F55" s="962"/>
      <c r="G55" s="1440"/>
      <c r="H55" s="1440"/>
      <c r="I55" s="1440"/>
      <c r="J55" s="1440"/>
      <c r="K55" s="1440"/>
      <c r="L55" s="1440"/>
      <c r="M55" s="1440"/>
      <c r="N55" s="1440"/>
      <c r="O55" s="1440"/>
      <c r="P55" s="1440"/>
      <c r="Q55" s="1440"/>
      <c r="R55" s="1440"/>
      <c r="S55" s="1256" t="s">
        <v>111</v>
      </c>
      <c r="T55" s="1257" t="s">
        <v>112</v>
      </c>
      <c r="U55" s="1440"/>
      <c r="V55" s="1440"/>
      <c r="W55" s="1440"/>
      <c r="X55" s="1440"/>
      <c r="Y55" s="1440"/>
      <c r="Z55" s="1440"/>
      <c r="AA55" s="817"/>
      <c r="AB55" s="1411"/>
      <c r="AC55" s="1411"/>
      <c r="AD55" s="182" t="s">
        <v>195</v>
      </c>
      <c r="AE55" s="1588"/>
      <c r="AF55" s="429"/>
      <c r="AG55" s="152" t="s">
        <v>196</v>
      </c>
      <c r="AH55" s="1532"/>
      <c r="AI55" s="1532"/>
      <c r="AJ55" s="1532"/>
      <c r="AK55" s="1532"/>
      <c r="AL55" s="1532"/>
      <c r="AM55" s="1532"/>
      <c r="AN55" s="1532"/>
      <c r="AO55" s="1258"/>
      <c r="AP55" s="1258"/>
      <c r="AQ55" s="1258"/>
      <c r="AR55" s="1258"/>
      <c r="AS55" s="1258"/>
      <c r="AT55" s="1258" t="s">
        <v>197</v>
      </c>
      <c r="AU55" s="1258"/>
      <c r="AV55" s="1258"/>
      <c r="AW55" s="1258"/>
      <c r="AX55" s="1258"/>
      <c r="AY55" s="1258"/>
      <c r="AZ55" s="1258"/>
      <c r="BA55" s="1258"/>
      <c r="BB55" s="1258"/>
      <c r="BC55" s="1258"/>
      <c r="BD55" s="1258"/>
      <c r="BE55" s="1258"/>
    </row>
    <row customHeight="1" ht="23.985000000000003">
      <c r="E56" s="794">
        <v>24.6</v>
      </c>
      <c r="S56" s="1256" t="s">
        <v>185</v>
      </c>
      <c r="T56" s="1257" t="s">
        <v>186</v>
      </c>
      <c r="AB56" s="1411" t="s">
        <v>198</v>
      </c>
      <c r="AC56" s="1411"/>
      <c r="AD56" s="1411"/>
      <c r="AE56" s="439" t="s">
        <v>189</v>
      </c>
      <c r="AF56" s="434"/>
      <c r="AG56" s="152" t="s">
        <v>199</v>
      </c>
      <c r="AO56" s="1258"/>
      <c r="AP56" s="1258"/>
      <c r="AQ56" s="1258"/>
      <c r="AR56" s="1258"/>
      <c r="AS56" s="1258"/>
      <c r="AT56" s="1258" t="s">
        <v>200</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201</v>
      </c>
      <c r="AC57" s="1411"/>
      <c r="AD57" s="1411"/>
      <c r="AE57" s="439" t="s">
        <v>202</v>
      </c>
      <c r="AF57" s="434"/>
      <c r="AO57" s="1258"/>
      <c r="AP57" s="1258"/>
      <c r="AQ57" s="1258"/>
      <c r="AR57" s="1258"/>
      <c r="AS57" s="1258"/>
      <c r="AT57" s="1258" t="s">
        <v>203</v>
      </c>
      <c r="AU57" s="1258"/>
      <c r="AV57" s="1258"/>
      <c r="AW57" s="1258"/>
      <c r="AX57" s="1258"/>
      <c r="AY57" s="1258"/>
      <c r="AZ57" s="1258"/>
      <c r="BA57" s="1258"/>
      <c r="BB57" s="1258"/>
      <c r="BC57" s="1258"/>
      <c r="BD57" s="1258"/>
      <c r="BE57" s="1258"/>
    </row>
    <row customHeight="1" ht="19.89">
      <c r="E58" s="794">
        <v>20.4</v>
      </c>
      <c r="S58" s="1256" t="s">
        <v>185</v>
      </c>
      <c r="T58" s="1257" t="s">
        <v>186</v>
      </c>
      <c r="AB58" s="1411" t="s">
        <v>204</v>
      </c>
      <c r="AC58" s="1411"/>
      <c r="AD58" s="1411"/>
      <c r="AE58" s="439" t="s">
        <v>205</v>
      </c>
      <c r="AF58" s="429"/>
      <c r="AG58" s="152" t="s">
        <v>206</v>
      </c>
      <c r="AO58" s="1258"/>
      <c r="AP58" s="1258"/>
      <c r="AQ58" s="1258"/>
      <c r="AR58" s="1258"/>
      <c r="AS58" s="1258"/>
      <c r="AT58" s="1258" t="s">
        <v>203</v>
      </c>
      <c r="AU58" s="1258"/>
      <c r="AV58" s="1258"/>
      <c r="AW58" s="1258"/>
      <c r="AX58" s="1258"/>
      <c r="AY58" s="1258"/>
      <c r="AZ58" s="1258"/>
      <c r="BA58" s="1258"/>
      <c r="BB58" s="1258"/>
      <c r="BC58" s="1258"/>
      <c r="BD58" s="1258"/>
      <c r="BE58" s="1258"/>
    </row>
    <row customHeight="1" ht="23.985000000000003">
      <c r="E59" s="794">
        <v>24.6</v>
      </c>
      <c r="S59" s="1256" t="s">
        <v>185</v>
      </c>
      <c r="T59" s="1257" t="s">
        <v>186</v>
      </c>
      <c r="AB59" s="1411" t="s">
        <v>207</v>
      </c>
      <c r="AC59" s="1411"/>
      <c r="AD59" s="1411"/>
      <c r="AE59" s="439" t="s">
        <v>189</v>
      </c>
      <c r="AF59" s="434"/>
      <c r="AG59" s="152" t="s">
        <v>208</v>
      </c>
      <c r="AO59" s="1258"/>
      <c r="AP59" s="1258"/>
      <c r="AQ59" s="1258"/>
      <c r="AR59" s="1258"/>
      <c r="AS59" s="1258"/>
      <c r="AT59" s="1258" t="s">
        <v>209</v>
      </c>
      <c r="AU59" s="1258"/>
      <c r="AV59" s="1258"/>
      <c r="AW59" s="1258"/>
      <c r="AX59" s="1258"/>
      <c r="AY59" s="1258"/>
      <c r="AZ59" s="1258"/>
      <c r="BA59" s="1258"/>
      <c r="BB59" s="1258"/>
      <c r="BC59" s="1258"/>
      <c r="BD59" s="1258"/>
      <c r="BE59" s="1258"/>
    </row>
    <row customHeight="1" ht="19.89">
      <c r="E60" s="794">
        <v>20.4</v>
      </c>
      <c r="F60" s="211" t="s">
        <v>210</v>
      </c>
      <c r="S60" s="1256" t="s">
        <v>185</v>
      </c>
      <c r="T60" s="1257" t="s">
        <v>186</v>
      </c>
      <c r="AB60" s="1411" t="s">
        <v>211</v>
      </c>
      <c r="AC60" s="1411"/>
      <c r="AD60" s="1411"/>
      <c r="AE60" s="439" t="s">
        <v>205</v>
      </c>
      <c r="AF60" s="429"/>
      <c r="AG60" s="152" t="s">
        <v>212</v>
      </c>
      <c r="AO60" s="1258"/>
      <c r="AP60" s="1258"/>
      <c r="AQ60" s="1258"/>
      <c r="AR60" s="1258"/>
      <c r="AS60" s="1258"/>
      <c r="AT60" s="1258" t="s">
        <v>213</v>
      </c>
      <c r="AU60" s="1258"/>
      <c r="AV60" s="1258"/>
      <c r="AW60" s="1258"/>
      <c r="AX60" s="1258"/>
      <c r="AY60" s="1258"/>
      <c r="AZ60" s="1258"/>
      <c r="BA60" s="1258"/>
      <c r="BB60" s="1258"/>
      <c r="BC60" s="1258"/>
      <c r="BD60" s="1258"/>
      <c r="BE60" s="1258"/>
    </row>
    <row customHeight="1" ht="19.89">
      <c r="E61" s="794">
        <v>20.4</v>
      </c>
      <c r="S61" s="1256" t="s">
        <v>214</v>
      </c>
      <c r="T61" s="1257" t="s">
        <v>215</v>
      </c>
      <c r="AB61" s="1411" t="s">
        <v>216</v>
      </c>
      <c r="AC61" s="1411"/>
      <c r="AD61" s="1411"/>
      <c r="AE61" s="455"/>
      <c r="AF61" s="429"/>
      <c r="AO61" s="1258"/>
      <c r="AP61" s="1258"/>
      <c r="AQ61" s="1258"/>
      <c r="AR61" s="1258"/>
      <c r="AS61" s="1258"/>
      <c r="AT61" s="1258" t="s">
        <v>213</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217</v>
      </c>
      <c r="AB62" s="1446" t="s">
        <v>216</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218</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219</v>
      </c>
      <c r="S64" s="1256" t="s">
        <v>185</v>
      </c>
      <c r="T64" s="1257" t="s">
        <v>186</v>
      </c>
      <c r="AB64" s="1411" t="s">
        <v>220</v>
      </c>
      <c r="AC64" s="1411"/>
      <c r="AD64" s="1411"/>
      <c r="AE64" s="439" t="s">
        <v>189</v>
      </c>
      <c r="AF64" s="429"/>
      <c r="AG64" s="152" t="s">
        <v>221</v>
      </c>
      <c r="AO64" s="1258"/>
      <c r="AP64" s="1258"/>
      <c r="AQ64" s="1258"/>
      <c r="AR64" s="1258"/>
      <c r="AS64" s="1258"/>
      <c r="AT64" s="1258" t="s">
        <v>222</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hidden="1">
      <c r="A73" s="1440"/>
      <c r="B73" s="908">
        <f>HAS_DOC3="да"</f>
        <v>0</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223</v>
      </c>
      <c r="AC73" s="1411" t="s">
        <v>224</v>
      </c>
      <c r="AD73" s="1411"/>
      <c r="AE73" s="1593"/>
      <c r="AF73" s="429"/>
      <c r="AG73" s="1532"/>
      <c r="AH73" s="1532"/>
      <c r="AI73" s="1532"/>
      <c r="AJ73" s="1532"/>
      <c r="AK73" s="1532"/>
      <c r="AL73" s="1532"/>
      <c r="AM73" s="1532"/>
      <c r="AN73" s="1532"/>
      <c r="AO73" s="1258"/>
      <c r="AP73" s="1258"/>
      <c r="AQ73" s="1258"/>
      <c r="AR73" s="1258"/>
      <c r="AS73" s="1258"/>
      <c r="AT73" s="1258" t="s">
        <v>222</v>
      </c>
      <c r="AU73" s="1258" t="s">
        <v>225</v>
      </c>
      <c r="AV73" s="1258"/>
      <c r="AW73" s="1258"/>
      <c r="AX73" s="1258"/>
      <c r="AY73" s="1258"/>
      <c r="AZ73" s="1258"/>
      <c r="BA73" s="1258"/>
      <c r="BB73" s="1258"/>
      <c r="BC73" s="1258"/>
      <c r="BD73" s="1258"/>
      <c r="BE73" s="1258"/>
    </row>
    <row customHeight="1" ht="19.89" hidden="1">
      <c r="A74" s="1440"/>
      <c r="B74" s="908">
        <f>HAS_DOC3="да"</f>
        <v>0</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226</v>
      </c>
      <c r="AD74" s="1411"/>
      <c r="AE74" s="1594"/>
      <c r="AF74" s="429"/>
      <c r="AG74" s="1532"/>
      <c r="AH74" s="1532"/>
      <c r="AI74" s="1532"/>
      <c r="AJ74" s="1532"/>
      <c r="AK74" s="1532"/>
      <c r="AL74" s="1532"/>
      <c r="AM74" s="1532"/>
      <c r="AN74" s="1532"/>
      <c r="AO74" s="1258"/>
      <c r="AP74" s="1258"/>
      <c r="AQ74" s="1258"/>
      <c r="AR74" s="1258"/>
      <c r="AS74" s="1258"/>
      <c r="AT74" s="1258" t="s">
        <v>222</v>
      </c>
      <c r="AU74" s="1258" t="s">
        <v>227</v>
      </c>
      <c r="AV74" s="1258"/>
      <c r="AW74" s="1258"/>
      <c r="AX74" s="1258"/>
      <c r="AY74" s="1258"/>
      <c r="AZ74" s="1258"/>
      <c r="BA74" s="1258"/>
      <c r="BB74" s="1258"/>
      <c r="BC74" s="1258"/>
      <c r="BD74" s="1258"/>
      <c r="BE74" s="1258"/>
    </row>
    <row customHeight="1" ht="19.89" hidden="1">
      <c r="A75" s="1440"/>
      <c r="B75" s="908">
        <f>HAS_DOC3="да"</f>
        <v>0</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228</v>
      </c>
      <c r="AD75" s="1411"/>
      <c r="AE75" s="1593"/>
      <c r="AF75" s="429"/>
      <c r="AG75" s="1532"/>
      <c r="AH75" s="1532"/>
      <c r="AI75" s="1532"/>
      <c r="AJ75" s="1532"/>
      <c r="AK75" s="1532"/>
      <c r="AL75" s="1532"/>
      <c r="AM75" s="1532"/>
      <c r="AN75" s="1532"/>
      <c r="AO75" s="1258"/>
      <c r="AP75" s="1258"/>
      <c r="AQ75" s="1258"/>
      <c r="AR75" s="1258"/>
      <c r="AS75" s="1258"/>
      <c r="AT75" s="1258" t="s">
        <v>222</v>
      </c>
      <c r="AU75" s="1258" t="s">
        <v>229</v>
      </c>
      <c r="AV75" s="1258"/>
      <c r="AW75" s="1258"/>
      <c r="AX75" s="1258"/>
      <c r="AY75" s="1258"/>
      <c r="AZ75" s="1258"/>
      <c r="BA75" s="1258"/>
      <c r="BB75" s="1258"/>
      <c r="BC75" s="1258"/>
      <c r="BD75" s="1258"/>
      <c r="BE75" s="1258"/>
    </row>
    <row customHeight="1" ht="19.89" hidden="1">
      <c r="A76" s="1440"/>
      <c r="B76" s="908">
        <f>HAS_DOC3="да"</f>
        <v>0</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230</v>
      </c>
      <c r="AD76" s="1411"/>
      <c r="AE76" s="1595"/>
      <c r="AF76" s="429"/>
      <c r="AG76" s="1532"/>
      <c r="AH76" s="1532"/>
      <c r="AI76" s="1532"/>
      <c r="AJ76" s="1532"/>
      <c r="AK76" s="1532"/>
      <c r="AL76" s="1532"/>
      <c r="AM76" s="1532"/>
      <c r="AN76" s="1532"/>
      <c r="AO76" s="1258"/>
      <c r="AP76" s="1258"/>
      <c r="AQ76" s="1258"/>
      <c r="AR76" s="1258"/>
      <c r="AS76" s="1258"/>
      <c r="AT76" s="1258" t="s">
        <v>222</v>
      </c>
      <c r="AU76" s="1258" t="s">
        <v>231</v>
      </c>
      <c r="AV76" s="1258"/>
      <c r="AW76" s="1258"/>
      <c r="AX76" s="1258"/>
      <c r="AY76" s="1258"/>
      <c r="AZ76" s="1258"/>
      <c r="BA76" s="1258"/>
      <c r="BB76" s="1258"/>
      <c r="BC76" s="1258"/>
      <c r="BD76" s="1258"/>
      <c r="BE76" s="1258"/>
    </row>
    <row customHeight="1" ht="19.89" hidden="1">
      <c r="A77" s="1440"/>
      <c r="B77" s="908">
        <f>HAS_DOC3="да"</f>
        <v>0</v>
      </c>
      <c r="C77" s="1440"/>
      <c r="D77" s="1440"/>
      <c r="E77" s="794">
        <v>20.4</v>
      </c>
      <c r="F77" s="962"/>
      <c r="G77" s="1440"/>
      <c r="H77" s="1440"/>
      <c r="I77" s="1440"/>
      <c r="J77" s="1440"/>
      <c r="K77" s="1440"/>
      <c r="L77" s="1440"/>
      <c r="M77" s="1440"/>
      <c r="N77" s="1440"/>
      <c r="O77" s="1440"/>
      <c r="P77" s="1440"/>
      <c r="Q77" s="1440"/>
      <c r="R77" s="1440"/>
      <c r="S77" s="1256" t="s">
        <v>214</v>
      </c>
      <c r="T77" s="1257" t="s">
        <v>215</v>
      </c>
      <c r="U77" s="1440"/>
      <c r="V77" s="1440"/>
      <c r="W77" s="1440"/>
      <c r="X77" s="1440"/>
      <c r="Y77" s="1440"/>
      <c r="Z77" s="1440"/>
      <c r="AA77" s="817"/>
      <c r="AB77" s="1410"/>
      <c r="AC77" s="1411" t="s">
        <v>214</v>
      </c>
      <c r="AD77" s="1411"/>
      <c r="AE77" s="1596"/>
      <c r="AF77" s="429"/>
      <c r="AG77" s="190"/>
      <c r="AH77" s="1532"/>
      <c r="AI77" s="1532"/>
      <c r="AJ77" s="1532"/>
      <c r="AK77" s="1532"/>
      <c r="AL77" s="1532"/>
      <c r="AM77" s="1532"/>
      <c r="AN77" s="1532"/>
      <c r="AO77" s="1258"/>
      <c r="AP77" s="1258"/>
      <c r="AQ77" s="1258"/>
      <c r="AR77" s="1258"/>
      <c r="AS77" s="1258"/>
      <c r="AT77" s="1258" t="s">
        <v>222</v>
      </c>
      <c r="AU77" s="1258" t="s">
        <v>232</v>
      </c>
      <c r="AV77" s="1258"/>
      <c r="AW77" s="1258"/>
      <c r="AX77" s="1258"/>
      <c r="AY77" s="1258"/>
      <c r="AZ77" s="1258"/>
      <c r="BA77" s="1258"/>
      <c r="BB77" s="1258"/>
      <c r="BC77" s="1258"/>
      <c r="BD77" s="1258"/>
      <c r="BE77" s="1258"/>
    </row>
    <row customHeight="1" ht="19.89" hidden="1">
      <c r="A78" s="1440"/>
      <c r="B78" s="908">
        <f>HAS_DOC3="да"</f>
        <v>0</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233</v>
      </c>
      <c r="Z78" s="1440"/>
      <c r="AA78" s="1412" t="s">
        <v>217</v>
      </c>
      <c r="AB78" s="1410" t="s">
        <v>223</v>
      </c>
      <c r="AC78" s="1411" t="s">
        <v>224</v>
      </c>
      <c r="AD78" s="1411"/>
      <c r="AE78" s="1600"/>
      <c r="AF78" s="429"/>
      <c r="AG78" s="190"/>
      <c r="AH78" s="1532"/>
      <c r="AI78" s="1532"/>
      <c r="AJ78" s="1532"/>
      <c r="AK78" s="1532"/>
      <c r="AL78" s="1532"/>
      <c r="AM78" s="1532"/>
      <c r="AN78" s="1532"/>
      <c r="AO78" s="1265" cm="1" t="str">
        <f t="array" ref="AO78:AO78">AE78</f>
        <v>0</v>
      </c>
      <c r="AP78" s="1258"/>
      <c r="AQ78" s="1258"/>
      <c r="AR78" s="1258"/>
      <c r="AS78" s="1258"/>
      <c r="AT78" s="1258" t="s">
        <v>222</v>
      </c>
      <c r="AU78" s="1258" t="s">
        <v>225</v>
      </c>
      <c r="AV78" s="1258"/>
      <c r="AW78" s="1258"/>
      <c r="AX78" s="1258"/>
      <c r="AY78" s="1258"/>
      <c r="AZ78" s="1258"/>
      <c r="BA78" s="1258"/>
      <c r="BB78" s="1258"/>
      <c r="BC78" s="1258"/>
      <c r="BD78" s="1258"/>
      <c r="BE78" s="1258"/>
    </row>
    <row customHeight="1" ht="19.89" hidden="1">
      <c r="A79" s="1440"/>
      <c r="B79" s="908">
        <f>HAS_DOC3="да"</f>
        <v>0</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226</v>
      </c>
      <c r="AD79" s="1411"/>
      <c r="AE79" s="1602"/>
      <c r="AF79" s="429"/>
      <c r="AG79" s="190"/>
      <c r="AH79" s="1532"/>
      <c r="AI79" s="1532"/>
      <c r="AJ79" s="1532"/>
      <c r="AK79" s="1532"/>
      <c r="AL79" s="1532"/>
      <c r="AM79" s="1532"/>
      <c r="AN79" s="1532"/>
      <c r="AO79" s="1258" cm="1" t="str">
        <f t="array" ref="AO79:AO79">AO78</f>
        <v>0</v>
      </c>
      <c r="AP79" s="1258"/>
      <c r="AQ79" s="1258"/>
      <c r="AR79" s="1258"/>
      <c r="AS79" s="1258"/>
      <c r="AT79" s="1258" t="s">
        <v>222</v>
      </c>
      <c r="AU79" s="1258" t="s">
        <v>227</v>
      </c>
      <c r="AV79" s="1258"/>
      <c r="AW79" s="1258"/>
      <c r="AX79" s="1258"/>
      <c r="AY79" s="1258"/>
      <c r="AZ79" s="1258"/>
      <c r="BA79" s="1258"/>
      <c r="BB79" s="1258"/>
      <c r="BC79" s="1258"/>
      <c r="BD79" s="1258"/>
      <c r="BE79" s="1258"/>
    </row>
    <row customHeight="1" ht="19.89" hidden="1">
      <c r="A80" s="1440"/>
      <c r="B80" s="908">
        <f>HAS_DOC3="да"</f>
        <v>0</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228</v>
      </c>
      <c r="AD80" s="1411"/>
      <c r="AE80" s="1600"/>
      <c r="AF80" s="429"/>
      <c r="AG80" s="190"/>
      <c r="AH80" s="1532"/>
      <c r="AI80" s="1532"/>
      <c r="AJ80" s="1532"/>
      <c r="AK80" s="1532"/>
      <c r="AL80" s="1532"/>
      <c r="AM80" s="1532"/>
      <c r="AN80" s="1532"/>
      <c r="AO80" s="1258" cm="1" t="str">
        <f t="array" ref="AO80:AO80">AO79</f>
        <v>0</v>
      </c>
      <c r="AP80" s="1258"/>
      <c r="AQ80" s="1258"/>
      <c r="AR80" s="1258"/>
      <c r="AS80" s="1258"/>
      <c r="AT80" s="1258" t="s">
        <v>222</v>
      </c>
      <c r="AU80" s="1258" t="s">
        <v>229</v>
      </c>
      <c r="AV80" s="1258"/>
      <c r="AW80" s="1258"/>
      <c r="AX80" s="1258"/>
      <c r="AY80" s="1258"/>
      <c r="AZ80" s="1258"/>
      <c r="BA80" s="1258"/>
      <c r="BB80" s="1258"/>
      <c r="BC80" s="1258"/>
      <c r="BD80" s="1258"/>
      <c r="BE80" s="1258"/>
    </row>
    <row customHeight="1" ht="19.89" hidden="1">
      <c r="A81" s="1440"/>
      <c r="B81" s="908">
        <f>HAS_DOC3="да"</f>
        <v>0</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230</v>
      </c>
      <c r="AD81" s="1411"/>
      <c r="AE81" s="1603"/>
      <c r="AF81" s="429"/>
      <c r="AG81" s="190"/>
      <c r="AH81" s="1532"/>
      <c r="AI81" s="1532"/>
      <c r="AJ81" s="1532"/>
      <c r="AK81" s="1532"/>
      <c r="AL81" s="1532"/>
      <c r="AM81" s="1532"/>
      <c r="AN81" s="1532"/>
      <c r="AO81" s="1258" cm="1" t="str">
        <f t="array" ref="AO81:AO81">AO80</f>
        <v>0</v>
      </c>
      <c r="AP81" s="1258"/>
      <c r="AQ81" s="1258"/>
      <c r="AR81" s="1258"/>
      <c r="AS81" s="1258"/>
      <c r="AT81" s="1258" t="s">
        <v>222</v>
      </c>
      <c r="AU81" s="1258" t="s">
        <v>231</v>
      </c>
      <c r="AV81" s="1258"/>
      <c r="AW81" s="1258"/>
      <c r="AX81" s="1258"/>
      <c r="AY81" s="1258"/>
      <c r="AZ81" s="1258"/>
      <c r="BA81" s="1258"/>
      <c r="BB81" s="1258"/>
      <c r="BC81" s="1258"/>
      <c r="BD81" s="1258"/>
      <c r="BE81" s="1258"/>
    </row>
    <row customHeight="1" ht="19.89" hidden="1">
      <c r="A82" s="1440"/>
      <c r="B82" s="908">
        <f>HAS_DOC3="да"</f>
        <v>0</v>
      </c>
      <c r="C82" s="1440"/>
      <c r="D82" s="1440"/>
      <c r="E82" s="794">
        <v>20.4</v>
      </c>
      <c r="F82" s="962"/>
      <c r="G82" s="1440"/>
      <c r="H82" s="1440"/>
      <c r="I82" s="1440"/>
      <c r="J82" s="1440"/>
      <c r="K82" s="1440"/>
      <c r="L82" s="1440"/>
      <c r="M82" s="1440"/>
      <c r="N82" s="1440"/>
      <c r="O82" s="1440"/>
      <c r="P82" s="1440"/>
      <c r="Q82" s="1440"/>
      <c r="R82" s="1440"/>
      <c r="S82" s="1256" t="s">
        <v>214</v>
      </c>
      <c r="T82" s="1257" t="s">
        <v>215</v>
      </c>
      <c r="U82" s="1440"/>
      <c r="V82" s="1440"/>
      <c r="W82" s="816" cm="1" t="str">
        <f t="array" ref="W82:W82">W81</f>
        <v>false</v>
      </c>
      <c r="X82" s="1440"/>
      <c r="Y82" s="1440"/>
      <c r="Z82" s="1440"/>
      <c r="AA82" s="1412"/>
      <c r="AB82" s="1410"/>
      <c r="AC82" s="1411" t="s">
        <v>214</v>
      </c>
      <c r="AD82" s="1411"/>
      <c r="AE82" s="1604"/>
      <c r="AF82" s="429"/>
      <c r="AG82" s="190"/>
      <c r="AH82" s="1532"/>
      <c r="AI82" s="1532"/>
      <c r="AJ82" s="1532"/>
      <c r="AK82" s="1532"/>
      <c r="AL82" s="1532"/>
      <c r="AM82" s="1532"/>
      <c r="AN82" s="1532"/>
      <c r="AO82" s="1258" cm="1" t="str">
        <f t="array" ref="AO82:AO82">AO81</f>
        <v>0</v>
      </c>
      <c r="AP82" s="1258"/>
      <c r="AQ82" s="1258"/>
      <c r="AR82" s="1258"/>
      <c r="AS82" s="1258"/>
      <c r="AT82" s="1258" t="s">
        <v>222</v>
      </c>
      <c r="AU82" s="1258" t="s">
        <v>232</v>
      </c>
      <c r="AV82" s="1258"/>
      <c r="AW82" s="1258"/>
      <c r="AX82" s="1258"/>
      <c r="AY82" s="1258"/>
      <c r="AZ82" s="1258"/>
      <c r="BA82" s="1258"/>
      <c r="BB82" s="1258"/>
      <c r="BC82" s="1258"/>
      <c r="BD82" s="1258"/>
      <c r="BE82" s="1258"/>
    </row>
    <row customHeight="1" ht="14.625" hidden="1">
      <c r="A83" s="1440"/>
      <c r="B83" s="908">
        <f>HAS_DOC3="да"</f>
        <v>0</v>
      </c>
      <c r="C83" s="1440"/>
      <c r="D83" s="1440"/>
      <c r="E83" s="794">
        <v>15</v>
      </c>
      <c r="F83" s="211" t="s">
        <v>219</v>
      </c>
      <c r="G83" s="1440"/>
      <c r="H83" s="1440"/>
      <c r="I83" s="1440"/>
      <c r="J83" s="1440"/>
      <c r="K83" s="1440"/>
      <c r="L83" s="1440"/>
      <c r="M83" s="1440"/>
      <c r="N83" s="1440"/>
      <c r="O83" s="1440"/>
      <c r="P83" s="1440"/>
      <c r="Q83" s="1440"/>
      <c r="R83" s="1440"/>
      <c r="S83" s="1262"/>
      <c r="T83" s="1263"/>
      <c r="U83" s="1440"/>
      <c r="V83" s="1440"/>
      <c r="W83" s="1440"/>
      <c r="X83" s="1440"/>
      <c r="Y83" s="371" t="s">
        <v>234</v>
      </c>
      <c r="Z83" s="1440"/>
      <c r="AA83" s="817"/>
      <c r="AB83" s="339"/>
      <c r="AC83" s="338"/>
      <c r="AD83" s="338"/>
      <c r="AE83" s="337" t="s">
        <v>235</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236</v>
      </c>
      <c r="S84" s="1256" t="s">
        <v>185</v>
      </c>
      <c r="T84" s="1257" t="s">
        <v>186</v>
      </c>
      <c r="AB84" s="1411" t="s">
        <v>237</v>
      </c>
      <c r="AC84" s="1411"/>
      <c r="AD84" s="1411"/>
      <c r="AE84" s="439" t="s">
        <v>205</v>
      </c>
      <c r="AF84" s="429"/>
      <c r="AG84" s="152" t="s">
        <v>238</v>
      </c>
      <c r="AO84" s="1258"/>
      <c r="AP84" s="1258"/>
      <c r="AQ84" s="1258"/>
      <c r="AR84" s="1258"/>
      <c r="AS84" s="1258"/>
      <c r="AT84" s="1258"/>
      <c r="AU84" s="1258"/>
      <c r="AV84" s="1258" t="s">
        <v>239</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223</v>
      </c>
      <c r="AC85" s="1411" t="s">
        <v>224</v>
      </c>
      <c r="AD85" s="1411"/>
      <c r="AE85" s="1610" t="s">
        <v>240</v>
      </c>
      <c r="AF85" s="429"/>
      <c r="AG85" s="1532"/>
      <c r="AH85" s="1532"/>
      <c r="AI85" s="1532"/>
      <c r="AJ85" s="1532"/>
      <c r="AK85" s="1532"/>
      <c r="AL85" s="1532"/>
      <c r="AM85" s="1532"/>
      <c r="AN85" s="1532"/>
      <c r="AO85" s="1258"/>
      <c r="AP85" s="1258"/>
      <c r="AQ85" s="1258"/>
      <c r="AR85" s="1258"/>
      <c r="AS85" s="1258"/>
      <c r="AT85" s="1258"/>
      <c r="AU85" s="1258" t="s">
        <v>225</v>
      </c>
      <c r="AV85" s="1258" t="s">
        <v>239</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226</v>
      </c>
      <c r="AD86" s="1411"/>
      <c r="AE86" s="1611" t="s">
        <v>241</v>
      </c>
      <c r="AF86" s="429"/>
      <c r="AG86" s="1532"/>
      <c r="AH86" s="1532"/>
      <c r="AI86" s="1532"/>
      <c r="AJ86" s="1532"/>
      <c r="AK86" s="1532"/>
      <c r="AL86" s="1532"/>
      <c r="AM86" s="1532"/>
      <c r="AN86" s="1532"/>
      <c r="AO86" s="1258"/>
      <c r="AP86" s="1258"/>
      <c r="AQ86" s="1258"/>
      <c r="AR86" s="1258"/>
      <c r="AS86" s="1258"/>
      <c r="AT86" s="1258"/>
      <c r="AU86" s="1258" t="s">
        <v>227</v>
      </c>
      <c r="AV86" s="1258" t="s">
        <v>239</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228</v>
      </c>
      <c r="AD87" s="1411"/>
      <c r="AE87" s="1610" t="s">
        <v>242</v>
      </c>
      <c r="AF87" s="429"/>
      <c r="AG87" s="1532"/>
      <c r="AH87" s="1532"/>
      <c r="AI87" s="1532"/>
      <c r="AJ87" s="1532"/>
      <c r="AK87" s="1532"/>
      <c r="AL87" s="1532"/>
      <c r="AM87" s="1532"/>
      <c r="AN87" s="1532"/>
      <c r="AO87" s="1258"/>
      <c r="AP87" s="1258"/>
      <c r="AQ87" s="1258"/>
      <c r="AR87" s="1258"/>
      <c r="AS87" s="1258"/>
      <c r="AT87" s="1258"/>
      <c r="AU87" s="1258" t="s">
        <v>229</v>
      </c>
      <c r="AV87" s="1258" t="s">
        <v>239</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230</v>
      </c>
      <c r="AD88" s="1411"/>
      <c r="AE88" s="1612">
        <v>44015</v>
      </c>
      <c r="AF88" s="429"/>
      <c r="AG88" s="1532"/>
      <c r="AH88" s="1532"/>
      <c r="AI88" s="1532"/>
      <c r="AJ88" s="1532"/>
      <c r="AK88" s="1532"/>
      <c r="AL88" s="1532"/>
      <c r="AM88" s="1532"/>
      <c r="AN88" s="1532"/>
      <c r="AO88" s="1258"/>
      <c r="AP88" s="1258"/>
      <c r="AQ88" s="1258"/>
      <c r="AR88" s="1258"/>
      <c r="AS88" s="1258"/>
      <c r="AT88" s="1258"/>
      <c r="AU88" s="1258" t="s">
        <v>231</v>
      </c>
      <c r="AV88" s="1258" t="s">
        <v>239</v>
      </c>
      <c r="AW88" s="1258"/>
      <c r="AX88" s="1258"/>
      <c r="AY88" s="1258"/>
      <c r="AZ88" s="1258"/>
      <c r="BA88" s="1258"/>
      <c r="BB88" s="1258"/>
      <c r="BC88" s="1258"/>
      <c r="BD88" s="1258"/>
      <c r="BE88" s="1258"/>
    </row>
    <row customHeight="1" ht="19.89">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214</v>
      </c>
      <c r="T89" s="1257" t="s">
        <v>215</v>
      </c>
      <c r="U89" s="1440"/>
      <c r="V89" s="1440"/>
      <c r="W89" s="1440"/>
      <c r="X89" s="1440"/>
      <c r="Y89" s="1440"/>
      <c r="Z89" s="1440"/>
      <c r="AA89" s="817"/>
      <c r="AB89" s="1410"/>
      <c r="AC89" s="1411" t="s">
        <v>214</v>
      </c>
      <c r="AD89" s="1411"/>
      <c r="AE89" s="1613" t="s">
        <v>243</v>
      </c>
      <c r="AF89" s="429"/>
      <c r="AG89" s="190"/>
      <c r="AH89" s="1532"/>
      <c r="AI89" s="1532"/>
      <c r="AJ89" s="1532"/>
      <c r="AK89" s="1532"/>
      <c r="AL89" s="1532"/>
      <c r="AM89" s="1532"/>
      <c r="AN89" s="1532"/>
      <c r="AO89" s="1258"/>
      <c r="AP89" s="1258"/>
      <c r="AQ89" s="1258"/>
      <c r="AR89" s="1258"/>
      <c r="AS89" s="1258"/>
      <c r="AT89" s="1258"/>
      <c r="AU89" s="1258" t="s">
        <v>232</v>
      </c>
      <c r="AV89" s="1258" t="s">
        <v>239</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233</v>
      </c>
      <c r="Z90" s="1440"/>
      <c r="AA90" s="1412" t="s">
        <v>217</v>
      </c>
      <c r="AB90" s="1410" t="s">
        <v>223</v>
      </c>
      <c r="AC90" s="1411" t="s">
        <v>224</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225</v>
      </c>
      <c r="AV90" s="1258" t="s">
        <v>239</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226</v>
      </c>
      <c r="AD91" s="1411"/>
      <c r="AE91" s="467" t="s">
        <v>152</v>
      </c>
      <c r="AF91" s="429"/>
      <c r="AG91" s="1532"/>
      <c r="AH91" s="1532"/>
      <c r="AI91" s="1532"/>
      <c r="AJ91" s="1532"/>
      <c r="AK91" s="1532"/>
      <c r="AL91" s="1532"/>
      <c r="AM91" s="1532"/>
      <c r="AN91" s="1532"/>
      <c r="AO91" s="1265" cm="1" t="str">
        <f t="array" ref="AO91:AO91">AO90</f>
        <v>0</v>
      </c>
      <c r="AP91" s="1258"/>
      <c r="AQ91" s="1258"/>
      <c r="AR91" s="1258"/>
      <c r="AS91" s="1258"/>
      <c r="AT91" s="1258"/>
      <c r="AU91" s="1258" t="s">
        <v>227</v>
      </c>
      <c r="AV91" s="1258" t="s">
        <v>239</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228</v>
      </c>
      <c r="AD92" s="1411"/>
      <c r="AE92" s="466" t="s">
        <v>152</v>
      </c>
      <c r="AF92" s="429"/>
      <c r="AG92" s="1532"/>
      <c r="AH92" s="1532"/>
      <c r="AI92" s="1532"/>
      <c r="AJ92" s="1532"/>
      <c r="AK92" s="1532"/>
      <c r="AL92" s="1532"/>
      <c r="AM92" s="1532"/>
      <c r="AN92" s="1532"/>
      <c r="AO92" s="1265" cm="1" t="str">
        <f t="array" ref="AO92:AO92">AO91</f>
        <v>0</v>
      </c>
      <c r="AP92" s="1258"/>
      <c r="AQ92" s="1258"/>
      <c r="AR92" s="1258"/>
      <c r="AS92" s="1258"/>
      <c r="AT92" s="1258"/>
      <c r="AU92" s="1258" t="s">
        <v>229</v>
      </c>
      <c r="AV92" s="1258" t="s">
        <v>239</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230</v>
      </c>
      <c r="AD93" s="1411"/>
      <c r="AE93" s="903" t="s">
        <v>152</v>
      </c>
      <c r="AF93" s="429"/>
      <c r="AG93" s="1532"/>
      <c r="AH93" s="1532"/>
      <c r="AI93" s="1532"/>
      <c r="AJ93" s="1532"/>
      <c r="AK93" s="1532"/>
      <c r="AL93" s="1532"/>
      <c r="AM93" s="1532"/>
      <c r="AN93" s="1532"/>
      <c r="AO93" s="1265" cm="1" t="str">
        <f t="array" ref="AO93:AO93">AO92</f>
        <v>0</v>
      </c>
      <c r="AP93" s="1258"/>
      <c r="AQ93" s="1258"/>
      <c r="AR93" s="1258"/>
      <c r="AS93" s="1258"/>
      <c r="AT93" s="1258"/>
      <c r="AU93" s="1258" t="s">
        <v>231</v>
      </c>
      <c r="AV93" s="1258" t="s">
        <v>239</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214</v>
      </c>
      <c r="T94" s="1257" t="s">
        <v>215</v>
      </c>
      <c r="U94" s="1440"/>
      <c r="V94" s="1440"/>
      <c r="W94" s="816" cm="1" t="str">
        <f t="array" ref="W94:W94">W93</f>
        <v>false</v>
      </c>
      <c r="X94" s="1440"/>
      <c r="Y94" s="1440"/>
      <c r="Z94" s="1440"/>
      <c r="AA94" s="1412"/>
      <c r="AB94" s="1410"/>
      <c r="AC94" s="1411" t="s">
        <v>214</v>
      </c>
      <c r="AD94" s="1411"/>
      <c r="AE94" s="465" t="s">
        <v>152</v>
      </c>
      <c r="AF94" s="429"/>
      <c r="AG94" s="190"/>
      <c r="AH94" s="1532"/>
      <c r="AI94" s="1532"/>
      <c r="AJ94" s="1532"/>
      <c r="AK94" s="1532"/>
      <c r="AL94" s="1532"/>
      <c r="AM94" s="1532"/>
      <c r="AN94" s="1532"/>
      <c r="AO94" s="1265" cm="1" t="str">
        <f t="array" ref="AO94:AO94">AO93</f>
        <v>0</v>
      </c>
      <c r="AP94" s="1258"/>
      <c r="AQ94" s="1258"/>
      <c r="AR94" s="1258"/>
      <c r="AS94" s="1258"/>
      <c r="AT94" s="1258"/>
      <c r="AU94" s="1258" t="s">
        <v>232</v>
      </c>
      <c r="AV94" s="1258" t="s">
        <v>239</v>
      </c>
      <c r="AW94" s="1258"/>
      <c r="AX94" s="1258"/>
      <c r="AY94" s="1258"/>
      <c r="AZ94" s="1258"/>
      <c r="BA94" s="1258"/>
      <c r="BB94" s="1258"/>
      <c r="BC94" s="1258"/>
      <c r="BD94" s="1258"/>
      <c r="BE94" s="1258"/>
    </row>
    <row customHeight="1" ht="14.625">
      <c r="A95" s="1440"/>
      <c r="B95" s="908">
        <f>HAS_DOC4="да"</f>
        <v>1</v>
      </c>
      <c r="C95" s="1440"/>
      <c r="D95" s="1440"/>
      <c r="E95" s="794">
        <v>15</v>
      </c>
      <c r="F95" s="211" t="s">
        <v>236</v>
      </c>
      <c r="G95" s="1440"/>
      <c r="H95" s="1440"/>
      <c r="I95" s="1440"/>
      <c r="J95" s="1440"/>
      <c r="K95" s="1440"/>
      <c r="L95" s="1440"/>
      <c r="M95" s="1440"/>
      <c r="N95" s="1440"/>
      <c r="O95" s="1440"/>
      <c r="P95" s="1440"/>
      <c r="Q95" s="1440"/>
      <c r="R95" s="1440"/>
      <c r="S95" s="1262"/>
      <c r="T95" s="1263"/>
      <c r="U95" s="1440"/>
      <c r="V95" s="1440"/>
      <c r="W95" s="1440"/>
      <c r="X95" s="1440"/>
      <c r="Y95" s="371" t="s">
        <v>234</v>
      </c>
      <c r="Z95" s="1440"/>
      <c r="AA95" s="817"/>
      <c r="AB95" s="339"/>
      <c r="AC95" s="338"/>
      <c r="AD95" s="338"/>
      <c r="AE95" s="337" t="s">
        <v>235</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244</v>
      </c>
      <c r="S96" s="1256" t="s">
        <v>185</v>
      </c>
      <c r="T96" s="1257" t="s">
        <v>186</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189</v>
      </c>
      <c r="AF96" s="434"/>
      <c r="AG96" s="152" t="s">
        <v>245</v>
      </c>
      <c r="AO96" s="1258"/>
      <c r="AP96" s="1258"/>
      <c r="AQ96" s="1258"/>
      <c r="AR96" s="1258"/>
      <c r="AS96" s="1258"/>
      <c r="AT96" s="1258"/>
      <c r="AU96" s="1258"/>
      <c r="AV96" s="1258"/>
      <c r="AW96" s="1258" t="s">
        <v>246</v>
      </c>
      <c r="AX96" s="1258" t="s">
        <v>247</v>
      </c>
      <c r="AY96" s="1258"/>
      <c r="AZ96" s="1258"/>
      <c r="BA96" s="1258"/>
      <c r="BB96" s="1258"/>
      <c r="BC96" s="1258"/>
      <c r="BD96" s="1258"/>
      <c r="BE96" s="1258"/>
    </row>
    <row customHeight="1" ht="19.89" hidden="1">
      <c r="A97" s="1440"/>
      <c r="B97" s="908">
        <f>HAS_DOC5="да"</f>
        <v>0</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223</v>
      </c>
      <c r="AC97" s="1411" t="s">
        <v>224</v>
      </c>
      <c r="AD97" s="1411"/>
      <c r="AE97" s="1593"/>
      <c r="AF97" s="429"/>
      <c r="AG97" s="1532"/>
      <c r="AH97" s="1532"/>
      <c r="AI97" s="1532"/>
      <c r="AJ97" s="1532"/>
      <c r="AK97" s="1532"/>
      <c r="AL97" s="1532"/>
      <c r="AM97" s="1532"/>
      <c r="AN97" s="1532"/>
      <c r="AO97" s="1258"/>
      <c r="AP97" s="1258"/>
      <c r="AQ97" s="1258"/>
      <c r="AR97" s="1258"/>
      <c r="AS97" s="1258"/>
      <c r="AT97" s="1258"/>
      <c r="AU97" s="1258" t="s">
        <v>225</v>
      </c>
      <c r="AV97" s="1258"/>
      <c r="AW97" s="1258" t="s">
        <v>246</v>
      </c>
      <c r="AX97" s="1258" t="s">
        <v>247</v>
      </c>
      <c r="AY97" s="1258"/>
      <c r="AZ97" s="1258"/>
      <c r="BA97" s="1258"/>
      <c r="BB97" s="1258"/>
      <c r="BC97" s="1258"/>
      <c r="BD97" s="1258"/>
      <c r="BE97" s="1258"/>
    </row>
    <row customHeight="1" ht="19.89" hidden="1">
      <c r="A98" s="1440"/>
      <c r="B98" s="908">
        <f>HAS_DOC5="да"</f>
        <v>0</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226</v>
      </c>
      <c r="AD98" s="1411"/>
      <c r="AE98" s="1594"/>
      <c r="AF98" s="429"/>
      <c r="AG98" s="1532"/>
      <c r="AH98" s="1532"/>
      <c r="AI98" s="1532"/>
      <c r="AJ98" s="1532"/>
      <c r="AK98" s="1532"/>
      <c r="AL98" s="1532"/>
      <c r="AM98" s="1532"/>
      <c r="AN98" s="1532"/>
      <c r="AO98" s="1258"/>
      <c r="AP98" s="1258"/>
      <c r="AQ98" s="1258"/>
      <c r="AR98" s="1258"/>
      <c r="AS98" s="1258"/>
      <c r="AT98" s="1258"/>
      <c r="AU98" s="1258" t="s">
        <v>227</v>
      </c>
      <c r="AV98" s="1258"/>
      <c r="AW98" s="1258" t="s">
        <v>246</v>
      </c>
      <c r="AX98" s="1258" t="s">
        <v>247</v>
      </c>
      <c r="AY98" s="1258"/>
      <c r="AZ98" s="1258"/>
      <c r="BA98" s="1258"/>
      <c r="BB98" s="1258"/>
      <c r="BC98" s="1258"/>
      <c r="BD98" s="1258"/>
      <c r="BE98" s="1258"/>
    </row>
    <row customHeight="1" ht="19.89" hidden="1">
      <c r="A99" s="1440"/>
      <c r="B99" s="908">
        <f>HAS_DOC5="да"</f>
        <v>0</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228</v>
      </c>
      <c r="AD99" s="1411"/>
      <c r="AE99" s="1593"/>
      <c r="AF99" s="429"/>
      <c r="AG99" s="1532"/>
      <c r="AH99" s="1532"/>
      <c r="AI99" s="1532"/>
      <c r="AJ99" s="1532"/>
      <c r="AK99" s="1532"/>
      <c r="AL99" s="1532"/>
      <c r="AM99" s="1532"/>
      <c r="AN99" s="1532"/>
      <c r="AO99" s="1258"/>
      <c r="AP99" s="1258"/>
      <c r="AQ99" s="1258"/>
      <c r="AR99" s="1258"/>
      <c r="AS99" s="1258"/>
      <c r="AT99" s="1258"/>
      <c r="AU99" s="1258" t="s">
        <v>229</v>
      </c>
      <c r="AV99" s="1258"/>
      <c r="AW99" s="1258" t="s">
        <v>246</v>
      </c>
      <c r="AX99" s="1258" t="s">
        <v>247</v>
      </c>
      <c r="AY99" s="1258"/>
      <c r="AZ99" s="1258"/>
      <c r="BA99" s="1258"/>
      <c r="BB99" s="1258"/>
      <c r="BC99" s="1258"/>
      <c r="BD99" s="1258"/>
      <c r="BE99" s="1258"/>
    </row>
    <row customHeight="1" ht="19.89" hidden="1">
      <c r="A100" s="1440"/>
      <c r="B100" s="908">
        <f>HAS_DOC5="да"</f>
        <v>0</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230</v>
      </c>
      <c r="AD100" s="1411"/>
      <c r="AE100" s="1595"/>
      <c r="AF100" s="429"/>
      <c r="AG100" s="1532"/>
      <c r="AH100" s="1532"/>
      <c r="AI100" s="1532"/>
      <c r="AJ100" s="1532"/>
      <c r="AK100" s="1532"/>
      <c r="AL100" s="1532"/>
      <c r="AM100" s="1532"/>
      <c r="AN100" s="1532"/>
      <c r="AO100" s="1258"/>
      <c r="AP100" s="1258"/>
      <c r="AQ100" s="1258"/>
      <c r="AR100" s="1258"/>
      <c r="AS100" s="1258"/>
      <c r="AT100" s="1258"/>
      <c r="AU100" s="1258" t="s">
        <v>231</v>
      </c>
      <c r="AV100" s="1258"/>
      <c r="AW100" s="1258" t="s">
        <v>246</v>
      </c>
      <c r="AX100" s="1258" t="s">
        <v>247</v>
      </c>
      <c r="AY100" s="1258"/>
      <c r="AZ100" s="1258"/>
      <c r="BA100" s="1258"/>
      <c r="BB100" s="1258"/>
      <c r="BC100" s="1258"/>
      <c r="BD100" s="1258"/>
      <c r="BE100" s="1258"/>
    </row>
    <row customHeight="1" ht="19.89" hidden="1">
      <c r="A101" s="1440"/>
      <c r="B101" s="908">
        <f>HAS_DOC5="да"</f>
        <v>0</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248</v>
      </c>
      <c r="AD101" s="1411"/>
      <c r="AE101" s="1595"/>
      <c r="AF101" s="429"/>
      <c r="AG101" s="1532"/>
      <c r="AH101" s="1532"/>
      <c r="AI101" s="1532"/>
      <c r="AJ101" s="1532"/>
      <c r="AK101" s="1532"/>
      <c r="AL101" s="1532"/>
      <c r="AM101" s="1532"/>
      <c r="AN101" s="1532"/>
      <c r="AO101" s="1258"/>
      <c r="AP101" s="1258"/>
      <c r="AQ101" s="1258"/>
      <c r="AR101" s="1258"/>
      <c r="AS101" s="1258"/>
      <c r="AT101" s="1258"/>
      <c r="AU101" s="1258" t="s">
        <v>249</v>
      </c>
      <c r="AV101" s="1258"/>
      <c r="AW101" s="1258" t="s">
        <v>246</v>
      </c>
      <c r="AX101" s="1258" t="s">
        <v>247</v>
      </c>
      <c r="AY101" s="1258"/>
      <c r="AZ101" s="1258"/>
      <c r="BA101" s="1258"/>
      <c r="BB101" s="1258"/>
      <c r="BC101" s="1258"/>
      <c r="BD101" s="1258"/>
      <c r="BE101" s="1258"/>
    </row>
    <row customHeight="1" ht="19.89" hidden="1">
      <c r="A102" s="1440"/>
      <c r="B102" s="908">
        <f>HAS_DOC5="да"</f>
        <v>0</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250</v>
      </c>
      <c r="AD102" s="1411"/>
      <c r="AE102" s="1595"/>
      <c r="AF102" s="429"/>
      <c r="AG102" s="1532"/>
      <c r="AH102" s="1532"/>
      <c r="AI102" s="1532"/>
      <c r="AJ102" s="1532"/>
      <c r="AK102" s="1532"/>
      <c r="AL102" s="1532"/>
      <c r="AM102" s="1532"/>
      <c r="AN102" s="1532"/>
      <c r="AO102" s="1258"/>
      <c r="AP102" s="1258"/>
      <c r="AQ102" s="1258"/>
      <c r="AR102" s="1258"/>
      <c r="AS102" s="1258"/>
      <c r="AT102" s="1258"/>
      <c r="AU102" s="1258" t="s">
        <v>251</v>
      </c>
      <c r="AV102" s="1258"/>
      <c r="AW102" s="1258" t="s">
        <v>246</v>
      </c>
      <c r="AX102" s="1258" t="s">
        <v>247</v>
      </c>
      <c r="AY102" s="1258"/>
      <c r="AZ102" s="1258"/>
      <c r="BA102" s="1258"/>
      <c r="BB102" s="1258"/>
      <c r="BC102" s="1258"/>
      <c r="BD102" s="1258"/>
      <c r="BE102" s="1258"/>
    </row>
    <row customHeight="1" ht="19.89" hidden="1">
      <c r="A103" s="1440"/>
      <c r="B103" s="908">
        <f>HAS_DOC5="да"</f>
        <v>0</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233</v>
      </c>
      <c r="Z103" s="1440"/>
      <c r="AA103" s="1412" t="s">
        <v>217</v>
      </c>
      <c r="AB103" s="1410" t="s">
        <v>223</v>
      </c>
      <c r="AC103" s="1411" t="s">
        <v>224</v>
      </c>
      <c r="AD103" s="1411"/>
      <c r="AE103" s="1593"/>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225</v>
      </c>
      <c r="AV103" s="1258"/>
      <c r="AW103" s="1258" t="s">
        <v>246</v>
      </c>
      <c r="AX103" s="1258" t="s">
        <v>247</v>
      </c>
      <c r="AY103" s="1258"/>
      <c r="AZ103" s="1258"/>
      <c r="BA103" s="1258"/>
      <c r="BB103" s="1258"/>
      <c r="BC103" s="1258"/>
      <c r="BD103" s="1258"/>
      <c r="BE103" s="1258"/>
    </row>
    <row customHeight="1" ht="19.89" hidden="1">
      <c r="A104" s="1440"/>
      <c r="B104" s="908">
        <f>HAS_DOC5="да"</f>
        <v>0</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226</v>
      </c>
      <c r="AD104" s="1411"/>
      <c r="AE104" s="1594"/>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227</v>
      </c>
      <c r="AV104" s="1258"/>
      <c r="AW104" s="1258" t="s">
        <v>246</v>
      </c>
      <c r="AX104" s="1258" t="s">
        <v>247</v>
      </c>
      <c r="AY104" s="1258"/>
      <c r="AZ104" s="1258"/>
      <c r="BA104" s="1258"/>
      <c r="BB104" s="1258"/>
      <c r="BC104" s="1258"/>
      <c r="BD104" s="1258"/>
      <c r="BE104" s="1258"/>
    </row>
    <row customHeight="1" ht="19.89" hidden="1">
      <c r="A105" s="1440"/>
      <c r="B105" s="908">
        <f>HAS_DOC5="да"</f>
        <v>0</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228</v>
      </c>
      <c r="AD105" s="1411"/>
      <c r="AE105" s="1593"/>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229</v>
      </c>
      <c r="AV105" s="1258"/>
      <c r="AW105" s="1258" t="s">
        <v>246</v>
      </c>
      <c r="AX105" s="1258" t="s">
        <v>247</v>
      </c>
      <c r="AY105" s="1258"/>
      <c r="AZ105" s="1258"/>
      <c r="BA105" s="1258"/>
      <c r="BB105" s="1258"/>
      <c r="BC105" s="1258"/>
      <c r="BD105" s="1258"/>
      <c r="BE105" s="1258"/>
    </row>
    <row customHeight="1" ht="19.89" hidden="1">
      <c r="A106" s="1440"/>
      <c r="B106" s="908">
        <f>HAS_DOC5="да"</f>
        <v>0</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230</v>
      </c>
      <c r="AD106" s="1411"/>
      <c r="AE106" s="1595"/>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231</v>
      </c>
      <c r="AV106" s="1258"/>
      <c r="AW106" s="1258" t="s">
        <v>246</v>
      </c>
      <c r="AX106" s="1258" t="s">
        <v>247</v>
      </c>
      <c r="AY106" s="1258"/>
      <c r="AZ106" s="1258"/>
      <c r="BA106" s="1258"/>
      <c r="BB106" s="1258"/>
      <c r="BC106" s="1258"/>
      <c r="BD106" s="1258"/>
      <c r="BE106" s="1258"/>
    </row>
    <row customHeight="1" ht="19.89" hidden="1">
      <c r="A107" s="1440"/>
      <c r="B107" s="908">
        <f>HAS_DOC5="да"</f>
        <v>0</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248</v>
      </c>
      <c r="AD107" s="1411"/>
      <c r="AE107" s="1595"/>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249</v>
      </c>
      <c r="AV107" s="1258"/>
      <c r="AW107" s="1258" t="s">
        <v>246</v>
      </c>
      <c r="AX107" s="1258" t="s">
        <v>247</v>
      </c>
      <c r="AY107" s="1258"/>
      <c r="AZ107" s="1258"/>
      <c r="BA107" s="1258"/>
      <c r="BB107" s="1258"/>
      <c r="BC107" s="1258"/>
      <c r="BD107" s="1258"/>
      <c r="BE107" s="1258"/>
    </row>
    <row customHeight="1" ht="19.89" hidden="1">
      <c r="A108" s="1440"/>
      <c r="B108" s="908">
        <f>HAS_DOC5="да"</f>
        <v>0</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250</v>
      </c>
      <c r="AD108" s="1411"/>
      <c r="AE108" s="1595"/>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251</v>
      </c>
      <c r="AV108" s="1258"/>
      <c r="AW108" s="1258" t="s">
        <v>246</v>
      </c>
      <c r="AX108" s="1258" t="s">
        <v>247</v>
      </c>
      <c r="AY108" s="1258"/>
      <c r="AZ108" s="1258"/>
      <c r="BA108" s="1258"/>
      <c r="BB108" s="1258"/>
      <c r="BC108" s="1258"/>
      <c r="BD108" s="1258"/>
      <c r="BE108" s="1258"/>
    </row>
    <row customHeight="1" ht="14.625" hidden="1">
      <c r="A109" s="1440"/>
      <c r="B109" s="908">
        <f>HAS_DOC5="да"</f>
        <v>0</v>
      </c>
      <c r="C109" s="1440"/>
      <c r="D109" s="1440"/>
      <c r="E109" s="794">
        <v>15</v>
      </c>
      <c r="F109" s="211" t="s">
        <v>244</v>
      </c>
      <c r="G109" s="1440"/>
      <c r="H109" s="1440"/>
      <c r="I109" s="1440"/>
      <c r="J109" s="1440"/>
      <c r="K109" s="1440"/>
      <c r="L109" s="1440"/>
      <c r="M109" s="1440"/>
      <c r="N109" s="1440"/>
      <c r="O109" s="1440"/>
      <c r="P109" s="1440"/>
      <c r="Q109" s="1440"/>
      <c r="R109" s="1440"/>
      <c r="S109" s="1262"/>
      <c r="T109" s="1263"/>
      <c r="U109" s="1440"/>
      <c r="V109" s="1440"/>
      <c r="W109" s="1440"/>
      <c r="X109" s="1440"/>
      <c r="Y109" s="371" t="s">
        <v>234</v>
      </c>
      <c r="Z109" s="1440"/>
      <c r="AA109" s="817"/>
      <c r="AB109" s="339"/>
      <c r="AC109" s="338"/>
      <c r="AD109" s="338"/>
      <c r="AE109" s="337" t="s">
        <v>235</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252</v>
      </c>
      <c r="S110" s="1256" t="s">
        <v>185</v>
      </c>
      <c r="T110" s="1257" t="s">
        <v>186</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189</v>
      </c>
      <c r="AF110" s="434"/>
      <c r="AG110" s="152" t="s">
        <v>253</v>
      </c>
      <c r="AO110" s="1258"/>
      <c r="AP110" s="1258"/>
      <c r="AQ110" s="1258"/>
      <c r="AR110" s="1258"/>
      <c r="AS110" s="1258"/>
      <c r="AT110" s="1258"/>
      <c r="AU110" s="1258"/>
      <c r="AV110" s="1258"/>
      <c r="AW110" s="1258" t="s">
        <v>246</v>
      </c>
      <c r="AX110" s="1258" t="s">
        <v>254</v>
      </c>
      <c r="AY110" s="1258"/>
      <c r="AZ110" s="1258"/>
      <c r="BA110" s="1258"/>
      <c r="BB110" s="1258"/>
      <c r="BC110" s="1258"/>
      <c r="BD110" s="1258"/>
      <c r="BE110" s="1258"/>
    </row>
    <row customHeight="1" ht="19.89" hidden="1">
      <c r="A111" s="1440"/>
      <c r="B111" s="908">
        <f>HAS_DOC6="да"</f>
        <v>0</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223</v>
      </c>
      <c r="AC111" s="1411" t="s">
        <v>224</v>
      </c>
      <c r="AD111" s="1411"/>
      <c r="AE111" s="466" t="s">
        <v>152</v>
      </c>
      <c r="AF111" s="429"/>
      <c r="AG111" s="1532"/>
      <c r="AH111" s="1532"/>
      <c r="AI111" s="1532"/>
      <c r="AJ111" s="1532"/>
      <c r="AK111" s="1532"/>
      <c r="AL111" s="1532"/>
      <c r="AM111" s="1532"/>
      <c r="AN111" s="1532"/>
      <c r="AO111" s="1258"/>
      <c r="AP111" s="1258"/>
      <c r="AQ111" s="1258"/>
      <c r="AR111" s="1258"/>
      <c r="AS111" s="1258"/>
      <c r="AT111" s="1258"/>
      <c r="AU111" s="1258" t="s">
        <v>225</v>
      </c>
      <c r="AV111" s="1258"/>
      <c r="AW111" s="1258" t="s">
        <v>246</v>
      </c>
      <c r="AX111" s="1258" t="s">
        <v>254</v>
      </c>
      <c r="AY111" s="1258"/>
      <c r="AZ111" s="1258"/>
      <c r="BA111" s="1258"/>
      <c r="BB111" s="1258"/>
      <c r="BC111" s="1258"/>
      <c r="BD111" s="1258"/>
      <c r="BE111" s="1258"/>
    </row>
    <row customHeight="1" ht="19.89" hidden="1">
      <c r="A112" s="1440"/>
      <c r="B112" s="908">
        <f>HAS_DOC6="да"</f>
        <v>0</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226</v>
      </c>
      <c r="AD112" s="1411"/>
      <c r="AE112" s="467" t="s">
        <v>152</v>
      </c>
      <c r="AF112" s="429"/>
      <c r="AG112" s="1532"/>
      <c r="AH112" s="1532"/>
      <c r="AI112" s="1532"/>
      <c r="AJ112" s="1532"/>
      <c r="AK112" s="1532"/>
      <c r="AL112" s="1532"/>
      <c r="AM112" s="1532"/>
      <c r="AN112" s="1532"/>
      <c r="AO112" s="1258"/>
      <c r="AP112" s="1258"/>
      <c r="AQ112" s="1258"/>
      <c r="AR112" s="1258"/>
      <c r="AS112" s="1258"/>
      <c r="AT112" s="1258"/>
      <c r="AU112" s="1258" t="s">
        <v>227</v>
      </c>
      <c r="AV112" s="1258"/>
      <c r="AW112" s="1258" t="s">
        <v>246</v>
      </c>
      <c r="AX112" s="1258" t="s">
        <v>254</v>
      </c>
      <c r="AY112" s="1258"/>
      <c r="AZ112" s="1258"/>
      <c r="BA112" s="1258"/>
      <c r="BB112" s="1258"/>
      <c r="BC112" s="1258"/>
      <c r="BD112" s="1258"/>
      <c r="BE112" s="1258"/>
    </row>
    <row customHeight="1" ht="19.89" hidden="1">
      <c r="A113" s="1440"/>
      <c r="B113" s="908">
        <f>HAS_DOC6="да"</f>
        <v>0</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228</v>
      </c>
      <c r="AD113" s="1411"/>
      <c r="AE113" s="466" t="s">
        <v>152</v>
      </c>
      <c r="AF113" s="429"/>
      <c r="AG113" s="1532"/>
      <c r="AH113" s="1532"/>
      <c r="AI113" s="1532"/>
      <c r="AJ113" s="1532"/>
      <c r="AK113" s="1532"/>
      <c r="AL113" s="1532"/>
      <c r="AM113" s="1532"/>
      <c r="AN113" s="1532"/>
      <c r="AO113" s="1258"/>
      <c r="AP113" s="1258"/>
      <c r="AQ113" s="1258"/>
      <c r="AR113" s="1258"/>
      <c r="AS113" s="1258"/>
      <c r="AT113" s="1258"/>
      <c r="AU113" s="1258" t="s">
        <v>229</v>
      </c>
      <c r="AV113" s="1258"/>
      <c r="AW113" s="1258" t="s">
        <v>246</v>
      </c>
      <c r="AX113" s="1258" t="s">
        <v>254</v>
      </c>
      <c r="AY113" s="1258"/>
      <c r="AZ113" s="1258"/>
      <c r="BA113" s="1258"/>
      <c r="BB113" s="1258"/>
      <c r="BC113" s="1258"/>
      <c r="BD113" s="1258"/>
      <c r="BE113" s="1258"/>
    </row>
    <row customHeight="1" ht="19.89" hidden="1">
      <c r="A114" s="1440"/>
      <c r="B114" s="908">
        <f>HAS_DOC6="да"</f>
        <v>0</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230</v>
      </c>
      <c r="AD114" s="1411"/>
      <c r="AE114" s="903" t="s">
        <v>152</v>
      </c>
      <c r="AF114" s="429"/>
      <c r="AG114" s="1532"/>
      <c r="AH114" s="1532"/>
      <c r="AI114" s="1532"/>
      <c r="AJ114" s="1532"/>
      <c r="AK114" s="1532"/>
      <c r="AL114" s="1532"/>
      <c r="AM114" s="1532"/>
      <c r="AN114" s="1532"/>
      <c r="AO114" s="1258"/>
      <c r="AP114" s="1258"/>
      <c r="AQ114" s="1258"/>
      <c r="AR114" s="1258"/>
      <c r="AS114" s="1258"/>
      <c r="AT114" s="1258"/>
      <c r="AU114" s="1258" t="s">
        <v>231</v>
      </c>
      <c r="AV114" s="1258"/>
      <c r="AW114" s="1258" t="s">
        <v>246</v>
      </c>
      <c r="AX114" s="1258" t="s">
        <v>254</v>
      </c>
      <c r="AY114" s="1258"/>
      <c r="AZ114" s="1258"/>
      <c r="BA114" s="1258"/>
      <c r="BB114" s="1258"/>
      <c r="BC114" s="1258"/>
      <c r="BD114" s="1258"/>
      <c r="BE114" s="1258"/>
    </row>
    <row customHeight="1" ht="19.89" hidden="1">
      <c r="A115" s="1440"/>
      <c r="B115" s="908">
        <f>HAS_DOC6="да"</f>
        <v>0</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248</v>
      </c>
      <c r="AD115" s="1411"/>
      <c r="AE115" s="903"/>
      <c r="AF115" s="429"/>
      <c r="AG115" s="1532"/>
      <c r="AH115" s="1532"/>
      <c r="AI115" s="1532"/>
      <c r="AJ115" s="1532"/>
      <c r="AK115" s="1532"/>
      <c r="AL115" s="1532"/>
      <c r="AM115" s="1532"/>
      <c r="AN115" s="1532"/>
      <c r="AO115" s="1258"/>
      <c r="AP115" s="1258"/>
      <c r="AQ115" s="1258"/>
      <c r="AR115" s="1258"/>
      <c r="AS115" s="1258"/>
      <c r="AT115" s="1258"/>
      <c r="AU115" s="1258" t="s">
        <v>249</v>
      </c>
      <c r="AV115" s="1258"/>
      <c r="AW115" s="1258" t="s">
        <v>246</v>
      </c>
      <c r="AX115" s="1258" t="s">
        <v>254</v>
      </c>
      <c r="AY115" s="1258"/>
      <c r="AZ115" s="1258"/>
      <c r="BA115" s="1258"/>
      <c r="BB115" s="1258"/>
      <c r="BC115" s="1258"/>
      <c r="BD115" s="1258"/>
      <c r="BE115" s="1258"/>
    </row>
    <row customHeight="1" ht="19.89" hidden="1">
      <c r="A116" s="1440"/>
      <c r="B116" s="908">
        <f>HAS_DOC6="да"</f>
        <v>0</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250</v>
      </c>
      <c r="AD116" s="1411"/>
      <c r="AE116" s="903"/>
      <c r="AF116" s="429"/>
      <c r="AG116" s="1532"/>
      <c r="AH116" s="1532"/>
      <c r="AI116" s="1532"/>
      <c r="AJ116" s="1532"/>
      <c r="AK116" s="1532"/>
      <c r="AL116" s="1532"/>
      <c r="AM116" s="1532"/>
      <c r="AN116" s="1532"/>
      <c r="AO116" s="1258"/>
      <c r="AP116" s="1258"/>
      <c r="AQ116" s="1258"/>
      <c r="AR116" s="1258"/>
      <c r="AS116" s="1258"/>
      <c r="AT116" s="1258"/>
      <c r="AU116" s="1258" t="s">
        <v>251</v>
      </c>
      <c r="AV116" s="1258"/>
      <c r="AW116" s="1258" t="s">
        <v>246</v>
      </c>
      <c r="AX116" s="1258" t="s">
        <v>254</v>
      </c>
      <c r="AY116" s="1258"/>
      <c r="AZ116" s="1258"/>
      <c r="BA116" s="1258"/>
      <c r="BB116" s="1258"/>
      <c r="BC116" s="1258"/>
      <c r="BD116" s="1258"/>
      <c r="BE116" s="1258"/>
    </row>
    <row customHeight="1" ht="19.89" hidden="1">
      <c r="A117" s="1440"/>
      <c r="B117" s="908">
        <f>HAS_DOC6="да"</f>
        <v>0</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233</v>
      </c>
      <c r="Z117" s="1440"/>
      <c r="AA117" s="1412" t="s">
        <v>217</v>
      </c>
      <c r="AB117" s="1410" t="s">
        <v>223</v>
      </c>
      <c r="AC117" s="1411" t="s">
        <v>224</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225</v>
      </c>
      <c r="AV117" s="1258"/>
      <c r="AW117" s="1258" t="s">
        <v>246</v>
      </c>
      <c r="AX117" s="1258" t="s">
        <v>254</v>
      </c>
      <c r="AY117" s="1258"/>
      <c r="AZ117" s="1258"/>
      <c r="BA117" s="1258"/>
      <c r="BB117" s="1258"/>
      <c r="BC117" s="1258"/>
      <c r="BD117" s="1258"/>
      <c r="BE117" s="1258"/>
    </row>
    <row customHeight="1" ht="19.89" hidden="1">
      <c r="A118" s="1440"/>
      <c r="B118" s="908">
        <f>HAS_DOC6="да"</f>
        <v>0</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226</v>
      </c>
      <c r="AD118" s="1411"/>
      <c r="AE118" s="467" t="s">
        <v>152</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227</v>
      </c>
      <c r="AV118" s="1258"/>
      <c r="AW118" s="1258" t="s">
        <v>246</v>
      </c>
      <c r="AX118" s="1258" t="s">
        <v>254</v>
      </c>
      <c r="AY118" s="1258"/>
      <c r="AZ118" s="1258"/>
      <c r="BA118" s="1258"/>
      <c r="BB118" s="1258"/>
      <c r="BC118" s="1258"/>
      <c r="BD118" s="1258"/>
      <c r="BE118" s="1258"/>
    </row>
    <row customHeight="1" ht="19.89" hidden="1">
      <c r="A119" s="1440"/>
      <c r="B119" s="908">
        <f>HAS_DOC6="да"</f>
        <v>0</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228</v>
      </c>
      <c r="AD119" s="1411"/>
      <c r="AE119" s="466" t="s">
        <v>152</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229</v>
      </c>
      <c r="AV119" s="1258"/>
      <c r="AW119" s="1258" t="s">
        <v>246</v>
      </c>
      <c r="AX119" s="1258" t="s">
        <v>254</v>
      </c>
      <c r="AY119" s="1258"/>
      <c r="AZ119" s="1258"/>
      <c r="BA119" s="1258"/>
      <c r="BB119" s="1258"/>
      <c r="BC119" s="1258"/>
      <c r="BD119" s="1258"/>
      <c r="BE119" s="1258"/>
    </row>
    <row customHeight="1" ht="19.89" hidden="1">
      <c r="A120" s="1440"/>
      <c r="B120" s="908">
        <f>HAS_DOC6="да"</f>
        <v>0</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230</v>
      </c>
      <c r="AD120" s="1411"/>
      <c r="AE120" s="903" t="s">
        <v>152</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231</v>
      </c>
      <c r="AV120" s="1258"/>
      <c r="AW120" s="1258" t="s">
        <v>246</v>
      </c>
      <c r="AX120" s="1258" t="s">
        <v>254</v>
      </c>
      <c r="AY120" s="1258"/>
      <c r="AZ120" s="1258"/>
      <c r="BA120" s="1258"/>
      <c r="BB120" s="1258"/>
      <c r="BC120" s="1258"/>
      <c r="BD120" s="1258"/>
      <c r="BE120" s="1258"/>
    </row>
    <row customHeight="1" ht="19.89" hidden="1">
      <c r="A121" s="1440"/>
      <c r="B121" s="908">
        <f>HAS_DOC6="да"</f>
        <v>0</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248</v>
      </c>
      <c r="AD121" s="1411"/>
      <c r="AE121" s="903" t="s">
        <v>152</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249</v>
      </c>
      <c r="AV121" s="1258"/>
      <c r="AW121" s="1258" t="s">
        <v>246</v>
      </c>
      <c r="AX121" s="1258" t="s">
        <v>254</v>
      </c>
      <c r="AY121" s="1258"/>
      <c r="AZ121" s="1258"/>
      <c r="BA121" s="1258"/>
      <c r="BB121" s="1258"/>
      <c r="BC121" s="1258"/>
      <c r="BD121" s="1258"/>
      <c r="BE121" s="1258"/>
    </row>
    <row customHeight="1" ht="19.89" hidden="1">
      <c r="A122" s="1440"/>
      <c r="B122" s="908">
        <f>HAS_DOC6="да"</f>
        <v>0</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250</v>
      </c>
      <c r="AD122" s="1411"/>
      <c r="AE122" s="906" t="s">
        <v>152</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251</v>
      </c>
      <c r="AV122" s="1258"/>
      <c r="AW122" s="1258" t="s">
        <v>246</v>
      </c>
      <c r="AX122" s="1258" t="s">
        <v>254</v>
      </c>
      <c r="AY122" s="1258"/>
      <c r="AZ122" s="1258"/>
      <c r="BA122" s="1258"/>
      <c r="BB122" s="1258"/>
      <c r="BC122" s="1258"/>
      <c r="BD122" s="1258"/>
      <c r="BE122" s="1258"/>
    </row>
    <row customHeight="1" ht="14.625" hidden="1">
      <c r="A123" s="1440"/>
      <c r="B123" s="908">
        <f>HAS_DOC6="да"</f>
        <v>0</v>
      </c>
      <c r="C123" s="1440"/>
      <c r="D123" s="1440"/>
      <c r="E123" s="794">
        <v>15</v>
      </c>
      <c r="F123" s="211" t="s">
        <v>252</v>
      </c>
      <c r="G123" s="1440"/>
      <c r="H123" s="1440"/>
      <c r="I123" s="1440"/>
      <c r="J123" s="1440"/>
      <c r="K123" s="1440"/>
      <c r="L123" s="1440"/>
      <c r="M123" s="1440"/>
      <c r="N123" s="1440"/>
      <c r="O123" s="1440"/>
      <c r="P123" s="1440"/>
      <c r="Q123" s="1440"/>
      <c r="R123" s="1440"/>
      <c r="S123" s="1262"/>
      <c r="T123" s="1263"/>
      <c r="U123" s="1440"/>
      <c r="V123" s="1440"/>
      <c r="W123" s="1440"/>
      <c r="X123" s="1440"/>
      <c r="Y123" s="371" t="s">
        <v>234</v>
      </c>
      <c r="Z123" s="1440"/>
      <c r="AA123" s="817"/>
      <c r="AB123" s="339"/>
      <c r="AC123" s="338"/>
      <c r="AD123" s="338"/>
      <c r="AE123" s="337" t="s">
        <v>235</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255</v>
      </c>
      <c r="S124" s="1256" t="s">
        <v>185</v>
      </c>
      <c r="T124" s="1257" t="s">
        <v>186</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189</v>
      </c>
      <c r="AF124" s="434"/>
      <c r="AG124" s="152" t="s">
        <v>256</v>
      </c>
      <c r="AO124" s="1258"/>
      <c r="AP124" s="1258"/>
      <c r="AQ124" s="1258"/>
      <c r="AR124" s="1258"/>
      <c r="AS124" s="1258"/>
      <c r="AT124" s="1258"/>
      <c r="AU124" s="1258"/>
      <c r="AV124" s="1258"/>
      <c r="AW124" s="1258" t="s">
        <v>257</v>
      </c>
      <c r="AX124" s="1258" t="s">
        <v>254</v>
      </c>
      <c r="AY124" s="1258"/>
      <c r="AZ124" s="1258"/>
      <c r="BA124" s="1258"/>
      <c r="BB124" s="1258"/>
      <c r="BC124" s="1258"/>
      <c r="BD124" s="1258"/>
      <c r="BE124" s="1258"/>
    </row>
    <row customHeight="1" ht="19.89" hidden="1">
      <c r="A125" s="1440"/>
      <c r="B125" s="908">
        <f>HAS_DOC7="да"</f>
        <v>0</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223</v>
      </c>
      <c r="AC125" s="1411" t="s">
        <v>224</v>
      </c>
      <c r="AD125" s="1411"/>
      <c r="AE125" s="1593"/>
      <c r="AF125" s="429"/>
      <c r="AG125" s="1532"/>
      <c r="AH125" s="1532"/>
      <c r="AI125" s="1532"/>
      <c r="AJ125" s="1532"/>
      <c r="AK125" s="1532"/>
      <c r="AL125" s="1532"/>
      <c r="AM125" s="1532"/>
      <c r="AN125" s="1532"/>
      <c r="AO125" s="1258"/>
      <c r="AP125" s="1258"/>
      <c r="AQ125" s="1258"/>
      <c r="AR125" s="1258"/>
      <c r="AS125" s="1258"/>
      <c r="AT125" s="1258"/>
      <c r="AU125" s="1258" t="s">
        <v>225</v>
      </c>
      <c r="AV125" s="1258"/>
      <c r="AW125" s="1258" t="s">
        <v>257</v>
      </c>
      <c r="AX125" s="1258" t="s">
        <v>254</v>
      </c>
      <c r="AY125" s="1258"/>
      <c r="AZ125" s="1258"/>
      <c r="BA125" s="1258"/>
      <c r="BB125" s="1258"/>
      <c r="BC125" s="1258"/>
      <c r="BD125" s="1258"/>
      <c r="BE125" s="1258"/>
    </row>
    <row customHeight="1" ht="19.89" hidden="1">
      <c r="A126" s="1440"/>
      <c r="B126" s="908">
        <f>HAS_DOC7="да"</f>
        <v>0</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226</v>
      </c>
      <c r="AD126" s="1411"/>
      <c r="AE126" s="1593"/>
      <c r="AF126" s="429"/>
      <c r="AG126" s="1532"/>
      <c r="AH126" s="1532"/>
      <c r="AI126" s="1532"/>
      <c r="AJ126" s="1532"/>
      <c r="AK126" s="1532"/>
      <c r="AL126" s="1532"/>
      <c r="AM126" s="1532"/>
      <c r="AN126" s="1532"/>
      <c r="AO126" s="1258"/>
      <c r="AP126" s="1258"/>
      <c r="AQ126" s="1258"/>
      <c r="AR126" s="1258"/>
      <c r="AS126" s="1258"/>
      <c r="AT126" s="1258"/>
      <c r="AU126" s="1258" t="s">
        <v>227</v>
      </c>
      <c r="AV126" s="1258"/>
      <c r="AW126" s="1258" t="s">
        <v>257</v>
      </c>
      <c r="AX126" s="1258" t="s">
        <v>254</v>
      </c>
      <c r="AY126" s="1258"/>
      <c r="AZ126" s="1258"/>
      <c r="BA126" s="1258"/>
      <c r="BB126" s="1258"/>
      <c r="BC126" s="1258"/>
      <c r="BD126" s="1258"/>
      <c r="BE126" s="1258"/>
    </row>
    <row customHeight="1" ht="19.89" hidden="1">
      <c r="A127" s="1440"/>
      <c r="B127" s="908">
        <f>HAS_DOC7="да"</f>
        <v>0</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258</v>
      </c>
      <c r="AD127" s="1411"/>
      <c r="AE127" s="1593"/>
      <c r="AF127" s="429"/>
      <c r="AG127" s="1532"/>
      <c r="AH127" s="1532"/>
      <c r="AI127" s="1532"/>
      <c r="AJ127" s="1532"/>
      <c r="AK127" s="1532"/>
      <c r="AL127" s="1532"/>
      <c r="AM127" s="1532"/>
      <c r="AN127" s="1532"/>
      <c r="AO127" s="1258"/>
      <c r="AP127" s="1258"/>
      <c r="AQ127" s="1258"/>
      <c r="AR127" s="1258"/>
      <c r="AS127" s="1258"/>
      <c r="AT127" s="1258"/>
      <c r="AU127" s="1258" t="s">
        <v>229</v>
      </c>
      <c r="AV127" s="1258"/>
      <c r="AW127" s="1258" t="s">
        <v>257</v>
      </c>
      <c r="AX127" s="1258" t="s">
        <v>254</v>
      </c>
      <c r="AY127" s="1258"/>
      <c r="AZ127" s="1258"/>
      <c r="BA127" s="1258"/>
      <c r="BB127" s="1258"/>
      <c r="BC127" s="1258"/>
      <c r="BD127" s="1258"/>
      <c r="BE127" s="1258"/>
    </row>
    <row customHeight="1" ht="19.89" hidden="1">
      <c r="A128" s="1440"/>
      <c r="B128" s="908">
        <f>HAS_DOC7="да"</f>
        <v>0</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230</v>
      </c>
      <c r="AD128" s="1411"/>
      <c r="AE128" s="1595"/>
      <c r="AF128" s="429"/>
      <c r="AG128" s="1532"/>
      <c r="AH128" s="1532"/>
      <c r="AI128" s="1532"/>
      <c r="AJ128" s="1532"/>
      <c r="AK128" s="1532"/>
      <c r="AL128" s="1532"/>
      <c r="AM128" s="1532"/>
      <c r="AN128" s="1532"/>
      <c r="AO128" s="1258"/>
      <c r="AP128" s="1258"/>
      <c r="AQ128" s="1258"/>
      <c r="AR128" s="1258"/>
      <c r="AS128" s="1258"/>
      <c r="AT128" s="1258"/>
      <c r="AU128" s="1258" t="s">
        <v>231</v>
      </c>
      <c r="AV128" s="1258"/>
      <c r="AW128" s="1258" t="s">
        <v>257</v>
      </c>
      <c r="AX128" s="1258" t="s">
        <v>254</v>
      </c>
      <c r="AY128" s="1258"/>
      <c r="AZ128" s="1258"/>
      <c r="BA128" s="1258"/>
      <c r="BB128" s="1258"/>
      <c r="BC128" s="1258"/>
      <c r="BD128" s="1258"/>
      <c r="BE128" s="1258"/>
    </row>
    <row customHeight="1" ht="19.89" hidden="1">
      <c r="A129" s="1440"/>
      <c r="B129" s="908">
        <f>HAS_DOC7="да"</f>
        <v>0</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259</v>
      </c>
      <c r="AD129" s="1411"/>
      <c r="AE129" s="1595"/>
      <c r="AF129" s="429"/>
      <c r="AG129" s="1532"/>
      <c r="AH129" s="1532"/>
      <c r="AI129" s="1532"/>
      <c r="AJ129" s="1532"/>
      <c r="AK129" s="1532"/>
      <c r="AL129" s="1532"/>
      <c r="AM129" s="1532"/>
      <c r="AN129" s="1532"/>
      <c r="AO129" s="1258"/>
      <c r="AP129" s="1258"/>
      <c r="AQ129" s="1258"/>
      <c r="AR129" s="1258"/>
      <c r="AS129" s="1258"/>
      <c r="AT129" s="1258"/>
      <c r="AU129" s="1258" t="s">
        <v>249</v>
      </c>
      <c r="AV129" s="1258"/>
      <c r="AW129" s="1258" t="s">
        <v>257</v>
      </c>
      <c r="AX129" s="1258" t="s">
        <v>254</v>
      </c>
      <c r="AY129" s="1258"/>
      <c r="AZ129" s="1258"/>
      <c r="BA129" s="1258"/>
      <c r="BB129" s="1258"/>
      <c r="BC129" s="1258"/>
      <c r="BD129" s="1258"/>
      <c r="BE129" s="1258"/>
    </row>
    <row customHeight="1" ht="19.89" hidden="1">
      <c r="A130" s="1440"/>
      <c r="B130" s="908">
        <f>HAS_DOC7="да"</f>
        <v>0</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260</v>
      </c>
      <c r="AD130" s="1411"/>
      <c r="AE130" s="1595"/>
      <c r="AF130" s="429"/>
      <c r="AG130" s="1532"/>
      <c r="AH130" s="1532"/>
      <c r="AI130" s="1532"/>
      <c r="AJ130" s="1532"/>
      <c r="AK130" s="1532"/>
      <c r="AL130" s="1532"/>
      <c r="AM130" s="1532"/>
      <c r="AN130" s="1532"/>
      <c r="AO130" s="1258"/>
      <c r="AP130" s="1258"/>
      <c r="AQ130" s="1258"/>
      <c r="AR130" s="1258"/>
      <c r="AS130" s="1258"/>
      <c r="AT130" s="1258"/>
      <c r="AU130" s="1258" t="s">
        <v>251</v>
      </c>
      <c r="AV130" s="1258"/>
      <c r="AW130" s="1258" t="s">
        <v>257</v>
      </c>
      <c r="AX130" s="1258" t="s">
        <v>254</v>
      </c>
      <c r="AY130" s="1258"/>
      <c r="AZ130" s="1258"/>
      <c r="BA130" s="1258"/>
      <c r="BB130" s="1258"/>
      <c r="BC130" s="1258"/>
      <c r="BD130" s="1258"/>
      <c r="BE130" s="1258"/>
    </row>
    <row customHeight="1" ht="19.89" hidden="1">
      <c r="A131" s="1440"/>
      <c r="B131" s="908">
        <f>HAS_DOC7="да"</f>
        <v>0</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233</v>
      </c>
      <c r="Z131" s="1440"/>
      <c r="AA131" s="1412" t="s">
        <v>217</v>
      </c>
      <c r="AB131" s="1410" t="s">
        <v>223</v>
      </c>
      <c r="AC131" s="1411" t="s">
        <v>224</v>
      </c>
      <c r="AD131" s="1411"/>
      <c r="AE131" s="1593"/>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225</v>
      </c>
      <c r="AV131" s="1258"/>
      <c r="AW131" s="1258" t="s">
        <v>257</v>
      </c>
      <c r="AX131" s="1258" t="s">
        <v>254</v>
      </c>
      <c r="AY131" s="1258"/>
      <c r="AZ131" s="1258"/>
      <c r="BA131" s="1258"/>
      <c r="BB131" s="1258"/>
      <c r="BC131" s="1258"/>
      <c r="BD131" s="1258"/>
      <c r="BE131" s="1258"/>
    </row>
    <row customHeight="1" ht="19.89" hidden="1">
      <c r="A132" s="1440"/>
      <c r="B132" s="908">
        <f>HAS_DOC7="да"</f>
        <v>0</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226</v>
      </c>
      <c r="AD132" s="1411"/>
      <c r="AE132" s="1593"/>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227</v>
      </c>
      <c r="AV132" s="1258"/>
      <c r="AW132" s="1258" t="s">
        <v>257</v>
      </c>
      <c r="AX132" s="1258" t="s">
        <v>254</v>
      </c>
      <c r="AY132" s="1258"/>
      <c r="AZ132" s="1258"/>
      <c r="BA132" s="1258"/>
      <c r="BB132" s="1258"/>
      <c r="BC132" s="1258"/>
      <c r="BD132" s="1258"/>
      <c r="BE132" s="1258"/>
    </row>
    <row customHeight="1" ht="19.89" hidden="1">
      <c r="A133" s="1440"/>
      <c r="B133" s="908">
        <f>HAS_DOC7="да"</f>
        <v>0</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258</v>
      </c>
      <c r="AD133" s="1411"/>
      <c r="AE133" s="1593"/>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229</v>
      </c>
      <c r="AV133" s="1258"/>
      <c r="AW133" s="1258" t="s">
        <v>257</v>
      </c>
      <c r="AX133" s="1258" t="s">
        <v>254</v>
      </c>
      <c r="AY133" s="1258"/>
      <c r="AZ133" s="1258"/>
      <c r="BA133" s="1258"/>
      <c r="BB133" s="1258"/>
      <c r="BC133" s="1258"/>
      <c r="BD133" s="1258"/>
      <c r="BE133" s="1258"/>
    </row>
    <row customHeight="1" ht="19.89" hidden="1">
      <c r="A134" s="1440"/>
      <c r="B134" s="908">
        <f>HAS_DOC7="да"</f>
        <v>0</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230</v>
      </c>
      <c r="AD134" s="1411"/>
      <c r="AE134" s="1595"/>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231</v>
      </c>
      <c r="AV134" s="1258"/>
      <c r="AW134" s="1258" t="s">
        <v>257</v>
      </c>
      <c r="AX134" s="1258" t="s">
        <v>254</v>
      </c>
      <c r="AY134" s="1258"/>
      <c r="AZ134" s="1258"/>
      <c r="BA134" s="1258"/>
      <c r="BB134" s="1258"/>
      <c r="BC134" s="1258"/>
      <c r="BD134" s="1258"/>
      <c r="BE134" s="1258"/>
    </row>
    <row customHeight="1" ht="19.89" hidden="1">
      <c r="A135" s="1440"/>
      <c r="B135" s="908">
        <f>HAS_DOC7="да"</f>
        <v>0</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259</v>
      </c>
      <c r="AD135" s="1411"/>
      <c r="AE135" s="1595"/>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249</v>
      </c>
      <c r="AV135" s="1258"/>
      <c r="AW135" s="1258" t="s">
        <v>257</v>
      </c>
      <c r="AX135" s="1258" t="s">
        <v>254</v>
      </c>
      <c r="AY135" s="1258"/>
      <c r="AZ135" s="1258"/>
      <c r="BA135" s="1258"/>
      <c r="BB135" s="1258"/>
      <c r="BC135" s="1258"/>
      <c r="BD135" s="1258"/>
      <c r="BE135" s="1258"/>
    </row>
    <row customHeight="1" ht="19.89" hidden="1">
      <c r="A136" s="1440"/>
      <c r="B136" s="908">
        <f>HAS_DOC7="да"</f>
        <v>0</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260</v>
      </c>
      <c r="AD136" s="1411"/>
      <c r="AE136" s="1595"/>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251</v>
      </c>
      <c r="AV136" s="1258"/>
      <c r="AW136" s="1258" t="s">
        <v>257</v>
      </c>
      <c r="AX136" s="1258" t="s">
        <v>254</v>
      </c>
      <c r="AY136" s="1258"/>
      <c r="AZ136" s="1258"/>
      <c r="BA136" s="1258"/>
      <c r="BB136" s="1258"/>
      <c r="BC136" s="1258"/>
      <c r="BD136" s="1258"/>
      <c r="BE136" s="1258"/>
    </row>
    <row customHeight="1" ht="14.625" hidden="1">
      <c r="A137" s="1440"/>
      <c r="B137" s="908">
        <f>HAS_DOC7="да"</f>
        <v>0</v>
      </c>
      <c r="C137" s="1440"/>
      <c r="D137" s="1440"/>
      <c r="E137" s="794">
        <v>15</v>
      </c>
      <c r="F137" s="211" t="s">
        <v>255</v>
      </c>
      <c r="G137" s="1440"/>
      <c r="H137" s="1440"/>
      <c r="I137" s="1440"/>
      <c r="J137" s="1440"/>
      <c r="K137" s="1440"/>
      <c r="L137" s="1440"/>
      <c r="M137" s="1440"/>
      <c r="N137" s="1440"/>
      <c r="O137" s="1440"/>
      <c r="P137" s="1440"/>
      <c r="Q137" s="1440"/>
      <c r="R137" s="1440"/>
      <c r="S137" s="1262"/>
      <c r="T137" s="1263"/>
      <c r="U137" s="1440"/>
      <c r="V137" s="1440"/>
      <c r="W137" s="1440"/>
      <c r="X137" s="1440"/>
      <c r="Y137" s="371" t="s">
        <v>234</v>
      </c>
      <c r="Z137" s="1440"/>
      <c r="AA137" s="817"/>
      <c r="AB137" s="339"/>
      <c r="AC137" s="338"/>
      <c r="AD137" s="338"/>
      <c r="AE137" s="337" t="s">
        <v>235</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261</v>
      </c>
      <c r="AC138" s="1411"/>
      <c r="AD138" s="1411"/>
      <c r="AE138" s="420"/>
      <c r="AF138" s="429"/>
      <c r="AG138" s="152" t="s">
        <v>262</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263</v>
      </c>
    </row>
    <row customHeight="1" ht="11.0175">
      <c r="E140" s="794">
        <v>11.3</v>
      </c>
      <c r="AE140" s="211" t="s">
        <v>152</v>
      </c>
      <c r="AF140" s="429"/>
    </row>
    <row customHeight="1" ht="19.89">
      <c r="E141" s="794">
        <v>20.4</v>
      </c>
      <c r="S141" s="1256" t="s">
        <v>111</v>
      </c>
      <c r="T141" s="1257" t="s">
        <v>112</v>
      </c>
      <c r="AB141" s="1411" t="s">
        <v>264</v>
      </c>
      <c r="AC141" s="1411"/>
      <c r="AD141" s="181" t="s">
        <v>265</v>
      </c>
      <c r="AE141" s="420" t="s">
        <v>266</v>
      </c>
      <c r="AF141" s="429"/>
      <c r="AG141" s="152" t="s">
        <v>267</v>
      </c>
      <c r="AO141" s="1258"/>
      <c r="AP141" s="1258"/>
      <c r="AQ141" s="1258"/>
      <c r="AR141" s="1258"/>
      <c r="AS141" s="1258"/>
      <c r="AT141" s="1258"/>
      <c r="AU141" s="1258"/>
      <c r="AV141" s="1258"/>
      <c r="AW141" s="1258"/>
      <c r="AX141" s="1258"/>
      <c r="AY141" s="1258" t="s">
        <v>268</v>
      </c>
      <c r="AZ141" s="1258"/>
      <c r="BA141" s="1258"/>
      <c r="BB141" s="1258"/>
      <c r="BC141" s="1258"/>
      <c r="BD141" s="1258"/>
      <c r="BE141" s="1258"/>
    </row>
    <row customHeight="1" ht="19.89">
      <c r="E142" s="794">
        <v>20.4</v>
      </c>
      <c r="S142" s="1256" t="s">
        <v>111</v>
      </c>
      <c r="T142" s="1257" t="s">
        <v>112</v>
      </c>
      <c r="AB142" s="1411"/>
      <c r="AC142" s="1411"/>
      <c r="AD142" s="182" t="s">
        <v>269</v>
      </c>
      <c r="AE142" s="420" t="s">
        <v>270</v>
      </c>
      <c r="AF142" s="429"/>
      <c r="AG142" s="152" t="s">
        <v>271</v>
      </c>
      <c r="AO142" s="1258"/>
      <c r="AP142" s="1258"/>
      <c r="AQ142" s="1258"/>
      <c r="AR142" s="1258"/>
      <c r="AS142" s="1258"/>
      <c r="AT142" s="1258"/>
      <c r="AU142" s="1258"/>
      <c r="AV142" s="1258"/>
      <c r="AW142" s="1258"/>
      <c r="AX142" s="1258"/>
      <c r="AY142" s="1258" t="s">
        <v>272</v>
      </c>
      <c r="AZ142" s="1258"/>
      <c r="BA142" s="1258"/>
      <c r="BB142" s="1258"/>
      <c r="BC142" s="1258"/>
      <c r="BD142" s="1258"/>
      <c r="BE142" s="1258"/>
    </row>
    <row customHeight="1" ht="19.89">
      <c r="E143" s="794">
        <v>20.4</v>
      </c>
      <c r="S143" s="1256" t="s">
        <v>111</v>
      </c>
      <c r="T143" s="1257" t="s">
        <v>112</v>
      </c>
      <c r="AB143" s="1411"/>
      <c r="AC143" s="1411"/>
      <c r="AD143" s="182" t="s">
        <v>273</v>
      </c>
      <c r="AE143" s="420" t="s">
        <v>274</v>
      </c>
      <c r="AF143" s="429"/>
      <c r="AG143" s="152" t="s">
        <v>275</v>
      </c>
      <c r="AO143" s="1258"/>
      <c r="AP143" s="1258"/>
      <c r="AQ143" s="1258"/>
      <c r="AR143" s="1258"/>
      <c r="AS143" s="1258"/>
      <c r="AT143" s="1258"/>
      <c r="AU143" s="1258"/>
      <c r="AV143" s="1258"/>
      <c r="AW143" s="1258"/>
      <c r="AX143" s="1258"/>
      <c r="AY143" s="1258" t="s">
        <v>276</v>
      </c>
      <c r="AZ143" s="1258"/>
      <c r="BA143" s="1258"/>
      <c r="BB143" s="1258"/>
      <c r="BC143" s="1258"/>
      <c r="BD143" s="1258"/>
      <c r="BE143" s="1258"/>
    </row>
    <row customHeight="1" ht="19.89">
      <c r="E144" s="794">
        <v>20.4</v>
      </c>
      <c r="S144" s="1256" t="s">
        <v>111</v>
      </c>
      <c r="T144" s="1257" t="s">
        <v>112</v>
      </c>
      <c r="AB144" s="1411"/>
      <c r="AC144" s="1411"/>
      <c r="AD144" s="181" t="s">
        <v>277</v>
      </c>
      <c r="AE144" s="420" t="s">
        <v>278</v>
      </c>
      <c r="AF144" s="429"/>
      <c r="AG144" s="152" t="s">
        <v>279</v>
      </c>
      <c r="AO144" s="1258"/>
      <c r="AP144" s="1258"/>
      <c r="AQ144" s="1258"/>
      <c r="AR144" s="1258"/>
      <c r="AS144" s="1258"/>
      <c r="AT144" s="1258"/>
      <c r="AU144" s="1258"/>
      <c r="AV144" s="1258"/>
      <c r="AW144" s="1258"/>
      <c r="AX144" s="1258"/>
      <c r="AY144" s="1258" t="s">
        <v>280</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281</v>
      </c>
      <c r="AC146" s="1445"/>
      <c r="AD146" s="1445"/>
      <c r="AE146" s="1445"/>
      <c r="AF146" s="429"/>
    </row>
    <row customHeight="1" ht="14.625">
      <c r="E147" s="794">
        <v>15</v>
      </c>
      <c r="AB147" s="1413" t="s">
        <v>282</v>
      </c>
      <c r="AC147" s="1413"/>
      <c r="AD147" s="1413"/>
      <c r="AE147" s="1413"/>
      <c r="AF147" s="459"/>
    </row>
    <row customHeight="1" ht="14.625">
      <c r="E148" s="794">
        <v>15</v>
      </c>
      <c r="AB148" s="1413" t="s">
        <v>283</v>
      </c>
      <c r="AC148" s="1413"/>
      <c r="AD148" s="1413"/>
      <c r="AE148" s="1413"/>
      <c r="AF148" s="459"/>
    </row>
    <row customHeight="1" ht="14.625">
      <c r="E149" s="794">
        <v>15</v>
      </c>
      <c r="AB149" s="1413" t="s">
        <v>284</v>
      </c>
      <c r="AC149" s="1413"/>
      <c r="AD149" s="1413"/>
      <c r="AE149" s="1413"/>
      <c r="AF149" s="459"/>
      <c r="AL149" s="1619"/>
    </row>
    <row customHeight="1" ht="16.867500000000003">
      <c r="E150" s="794">
        <v>17.3</v>
      </c>
      <c r="AB150" s="1455" t="s">
        <v>285</v>
      </c>
      <c r="AC150" s="1455"/>
      <c r="AD150" s="1455"/>
      <c r="AE150" s="1455"/>
      <c r="AF150" s="180"/>
    </row>
    <row customHeight="1" ht="16.867500000000003">
      <c r="E151" s="794">
        <v>17.3</v>
      </c>
      <c r="AB151" s="1451" t="s">
        <v>286</v>
      </c>
      <c r="AC151" s="1451"/>
      <c r="AD151" s="1451"/>
      <c r="AE151" s="1451"/>
      <c r="AF151" s="180"/>
    </row>
    <row customHeight="1" ht="29.25">
      <c r="E152" s="794">
        <v>30</v>
      </c>
      <c r="AB152" s="1451" t="s">
        <v>287</v>
      </c>
      <c r="AC152" s="1451"/>
      <c r="AD152" s="1451"/>
      <c r="AE152" s="1451"/>
      <c r="AF152" s="180"/>
    </row>
    <row customHeight="1" ht="15.405000000000001">
      <c r="E153" s="794">
        <v>15.8</v>
      </c>
      <c r="AB153" s="1451" t="s">
        <v>288</v>
      </c>
      <c r="AC153" s="1451"/>
      <c r="AD153" s="1451"/>
      <c r="AE153" s="1451"/>
      <c r="AF153" s="180"/>
    </row>
    <row customHeight="1" ht="55.57500000000001">
      <c r="E154" s="794">
        <v>57</v>
      </c>
      <c r="AB154" s="1451" t="s">
        <v>289</v>
      </c>
      <c r="AC154" s="1451"/>
      <c r="AD154" s="1451"/>
      <c r="AE154" s="1451"/>
      <c r="AF154" s="180"/>
    </row>
    <row customHeight="1" ht="45.337500000000006">
      <c r="E155" s="794">
        <v>46.5</v>
      </c>
      <c r="AB155" s="1451" t="s">
        <v>290</v>
      </c>
      <c r="AC155" s="1451"/>
      <c r="AD155" s="1451"/>
      <c r="AE155" s="1451"/>
      <c r="AF155" s="180"/>
    </row>
    <row customHeight="1" ht="27.105">
      <c r="E156" s="794">
        <v>27.8</v>
      </c>
      <c r="AB156" s="1451" t="s">
        <v>291</v>
      </c>
      <c r="AC156" s="1451"/>
      <c r="AD156" s="1451"/>
      <c r="AE156" s="1451"/>
      <c r="AF156" s="180"/>
    </row>
    <row customHeight="1" ht="26.325000000000003">
      <c r="E157" s="794">
        <v>27</v>
      </c>
      <c r="AB157" s="1451" t="s">
        <v>292</v>
      </c>
      <c r="AC157" s="1451"/>
      <c r="AD157" s="1451"/>
      <c r="AE157" s="1451"/>
      <c r="AF157" s="180"/>
    </row>
    <row customHeight="1" ht="14.625">
      <c r="E158" s="794">
        <v>15</v>
      </c>
      <c r="AB158" s="1452" t="s">
        <v>293</v>
      </c>
      <c r="AC158" s="1452"/>
      <c r="AD158" s="1452"/>
      <c r="AE158" s="1452"/>
      <c r="AF158" s="180"/>
    </row>
    <row customHeight="1" ht="23.400000000000002">
      <c r="E159" s="794">
        <v>24</v>
      </c>
      <c r="AB159" s="1451" t="s">
        <v>294</v>
      </c>
      <c r="AC159" s="1451"/>
      <c r="AD159" s="1451"/>
      <c r="AE159" s="1451"/>
      <c r="AF159" s="459"/>
    </row>
    <row customHeight="1" ht="17.55">
      <c r="E160" s="794">
        <v>18</v>
      </c>
      <c r="AB160" s="1416" t="s">
        <v>295</v>
      </c>
      <c r="AC160" s="1417"/>
      <c r="AD160" s="1417"/>
      <c r="AE160" s="1418"/>
      <c r="AF160" s="459"/>
    </row>
    <row customHeight="1" ht="16.0875">
      <c r="E161" s="794">
        <v>16.5</v>
      </c>
      <c r="AB161" s="1452" t="s">
        <v>296</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COUNTIF(AE169:AE218,"Водоснабжение")-COUNTIF(AE169:AE218,"Транспортировка воды")&gt;0</f>
        <v>0</v>
      </c>
      <c r="AE163" s="441">
        <f>COUNTIF(AE169:AE218,"Водоотведение")-COUNTIF(AE169:AE218,"Транспортировка сточных вод")&gt;0</f>
        <v>0</v>
      </c>
      <c r="AF163" s="424">
        <f>COUNTIF(AE169:AE218,"Транспортировка воды")&gt;0</f>
        <v>0</v>
      </c>
      <c r="AG163" s="248">
        <f>COUNTIF(AE169:AE218,"Транспортировка сточных вод")&gt;0</f>
        <v>0</v>
      </c>
    </row>
    <row customHeight="1" ht="19.89">
      <c r="E164" s="794">
        <v>20.4</v>
      </c>
      <c r="AB164" s="1453" t="s">
        <v>297</v>
      </c>
      <c r="AC164" s="1453"/>
      <c r="AD164" s="1453"/>
      <c r="AE164" s="1454"/>
      <c r="AF164" s="432"/>
      <c r="AG164" s="177"/>
      <c r="AH164" s="177"/>
      <c r="AI164" s="177"/>
      <c r="AJ164" s="177"/>
      <c r="AK164" s="177"/>
      <c r="AL164" s="187"/>
    </row>
    <row customHeight="1" ht="23.985000000000003">
      <c r="E165" s="794">
        <v>24.6</v>
      </c>
      <c r="S165" s="1256" t="s">
        <v>185</v>
      </c>
      <c r="T165" s="1257" t="s">
        <v>186</v>
      </c>
      <c r="AB165" s="1424" t="s">
        <v>298</v>
      </c>
      <c r="AC165" s="1424"/>
      <c r="AD165" s="1424"/>
      <c r="AE165" s="828" t="s">
        <v>189</v>
      </c>
      <c r="AF165" s="434"/>
      <c r="AG165" s="177" t="s">
        <v>299</v>
      </c>
      <c r="AH165" s="177"/>
      <c r="AI165" s="177"/>
      <c r="AJ165" s="177"/>
      <c r="AK165" s="177"/>
      <c r="AL165" s="187"/>
      <c r="AO165" s="1258"/>
      <c r="AP165" s="1258"/>
      <c r="AQ165" s="1258"/>
      <c r="AR165" s="1258"/>
      <c r="AS165" s="1258"/>
      <c r="AT165" s="1258"/>
      <c r="AU165" s="1258"/>
      <c r="AV165" s="1258"/>
      <c r="AW165" s="1258"/>
      <c r="AX165" s="1258"/>
      <c r="AY165" s="1258"/>
      <c r="AZ165" s="1258" t="s">
        <v>300</v>
      </c>
      <c r="BA165" s="1258"/>
      <c r="BB165" s="1258"/>
      <c r="BC165" s="1258"/>
      <c r="BD165" s="1258"/>
      <c r="BE165" s="1258"/>
    </row>
    <row customHeight="1" ht="19.89">
      <c r="B166" s="954">
        <f>FIRST_TIME_REG&lt;&gt;"да"</f>
        <v>1</v>
      </c>
      <c r="E166" s="794">
        <v>20.4</v>
      </c>
      <c r="S166" s="1256" t="s">
        <v>111</v>
      </c>
      <c r="T166" s="1257" t="s">
        <v>112</v>
      </c>
      <c r="AB166" s="1420" t="s">
        <v>301</v>
      </c>
      <c r="AC166" s="1421"/>
      <c r="AD166" s="829" t="s">
        <v>226</v>
      </c>
      <c r="AE166" s="457" t="s">
        <v>302</v>
      </c>
      <c r="AF166" s="429"/>
      <c r="AG166" s="177" t="s">
        <v>303</v>
      </c>
      <c r="AH166" s="177"/>
      <c r="AI166" s="177"/>
      <c r="AJ166" s="177"/>
      <c r="AK166" s="177"/>
      <c r="AL166" s="187"/>
      <c r="AO166" s="1258"/>
      <c r="AP166" s="1258"/>
      <c r="AQ166" s="1258"/>
      <c r="AR166" s="1258"/>
      <c r="AS166" s="1258"/>
      <c r="AT166" s="1258"/>
      <c r="AU166" s="1258" t="s">
        <v>227</v>
      </c>
      <c r="AV166" s="1258"/>
      <c r="AW166" s="1258"/>
      <c r="AX166" s="1258"/>
      <c r="AY166" s="1258"/>
      <c r="AZ166" s="1258" t="s">
        <v>300</v>
      </c>
      <c r="BA166" s="1258"/>
      <c r="BB166" s="1258"/>
      <c r="BC166" s="1258"/>
      <c r="BD166" s="1258"/>
      <c r="BE166" s="1258"/>
    </row>
    <row customHeight="1" ht="19.89">
      <c r="B167" s="954">
        <f>FIRST_TIME_REG&lt;&gt;"да"</f>
        <v>1</v>
      </c>
      <c r="E167" s="794">
        <v>20.4</v>
      </c>
      <c r="S167" s="1256" t="s">
        <v>111</v>
      </c>
      <c r="T167" s="1257" t="s">
        <v>112</v>
      </c>
      <c r="AB167" s="1420"/>
      <c r="AC167" s="1421"/>
      <c r="AD167" s="442" t="s">
        <v>258</v>
      </c>
      <c r="AE167" s="420" t="s">
        <v>304</v>
      </c>
      <c r="AF167" s="429"/>
      <c r="AG167" s="152" t="s">
        <v>305</v>
      </c>
      <c r="AO167" s="1258"/>
      <c r="AP167" s="1258"/>
      <c r="AQ167" s="1258"/>
      <c r="AR167" s="1258"/>
      <c r="AS167" s="1258"/>
      <c r="AT167" s="1258"/>
      <c r="AU167" s="1258" t="s">
        <v>229</v>
      </c>
      <c r="AV167" s="1258"/>
      <c r="AW167" s="1258"/>
      <c r="AX167" s="1258"/>
      <c r="AY167" s="1258"/>
      <c r="AZ167" s="1258" t="s">
        <v>300</v>
      </c>
      <c r="BA167" s="1258"/>
      <c r="BB167" s="1258"/>
      <c r="BC167" s="1258"/>
      <c r="BD167" s="1258"/>
      <c r="BE167" s="1258"/>
    </row>
    <row customHeight="1" ht="19.89">
      <c r="B168" s="954">
        <f>FIRST_TIME_REG&lt;&gt;"да"</f>
        <v>1</v>
      </c>
      <c r="E168" s="794">
        <v>20.4</v>
      </c>
      <c r="S168" s="1256" t="s">
        <v>111</v>
      </c>
      <c r="T168" s="1257" t="s">
        <v>112</v>
      </c>
      <c r="AB168" s="1422"/>
      <c r="AC168" s="1423"/>
      <c r="AD168" s="442" t="s">
        <v>230</v>
      </c>
      <c r="AE168" s="904">
        <v>45643</v>
      </c>
      <c r="AF168" s="429"/>
      <c r="AG168" s="152" t="s">
        <v>306</v>
      </c>
      <c r="AO168" s="1258"/>
      <c r="AP168" s="1258"/>
      <c r="AQ168" s="1258"/>
      <c r="AR168" s="1258"/>
      <c r="AS168" s="1258"/>
      <c r="AT168" s="1258"/>
      <c r="AU168" s="1258" t="s">
        <v>231</v>
      </c>
      <c r="AV168" s="1258"/>
      <c r="AW168" s="1258"/>
      <c r="AX168" s="1258"/>
      <c r="AY168" s="1258"/>
      <c r="AZ168" s="1258" t="s">
        <v>300</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307</v>
      </c>
      <c r="AI169" s="234"/>
      <c r="AO169" s="1258"/>
      <c r="AP169" s="1258"/>
      <c r="AQ169" s="1258"/>
      <c r="AR169" s="1258" t="s">
        <v>308</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309</v>
      </c>
      <c r="Z170" s="156">
        <v>0</v>
      </c>
      <c r="AB170" s="47"/>
      <c r="AC170" s="48"/>
      <c r="AD170" s="450" t="str">
        <f>"Тариф "&amp;Z170</f>
        <v>Тариф 0</v>
      </c>
      <c r="AE170" s="451" t="s">
        <v>310</v>
      </c>
      <c r="AF170" s="1441" t="s">
        <v>217</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311</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312</v>
      </c>
      <c r="AE171" s="440"/>
      <c r="AF171" s="1441"/>
      <c r="AO171" s="1265" cm="1" t="str">
        <f t="array" ref="AO171:AO171">AO170</f>
        <v>0</v>
      </c>
      <c r="AP171" s="1258"/>
      <c r="AQ171" s="1258"/>
      <c r="AR171" s="1258" t="s">
        <v>308</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313</v>
      </c>
      <c r="AE172" s="49"/>
      <c r="AF172" s="1441"/>
      <c r="AO172" s="1265" cm="1" t="str">
        <f t="array" ref="AO172:AO172">AO171</f>
        <v>0</v>
      </c>
      <c r="AP172" s="1258"/>
      <c r="AQ172" s="1258"/>
      <c r="AR172" s="1258" t="s">
        <v>314</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315</v>
      </c>
      <c r="AE173" s="50"/>
      <c r="AF173" s="1441"/>
      <c r="AO173" s="1265" cm="1" t="str">
        <f t="array" ref="AO173:AO173">AO172</f>
        <v>0</v>
      </c>
      <c r="AP173" s="1258"/>
      <c r="AQ173" s="1258"/>
      <c r="AR173" s="1258"/>
      <c r="AS173" s="1258"/>
      <c r="AT173" s="1258"/>
      <c r="AU173" s="1258"/>
      <c r="AV173" s="1258"/>
      <c r="AW173" s="1258"/>
      <c r="AX173" s="1258"/>
      <c r="AY173" s="1258"/>
      <c r="AZ173" s="1258"/>
      <c r="BA173" s="1258" t="s">
        <v>316</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317</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318</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319</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320</v>
      </c>
      <c r="BD175" s="1258"/>
      <c r="BE175" s="1258"/>
    </row>
    <row customHeight="1" ht="26.25" hidden="1">
      <c r="E176" s="794">
        <v>0</v>
      </c>
      <c r="G176" s="919" cm="1" t="str">
        <f t="array" ref="G176:G176">G175</f>
        <v>0</v>
      </c>
      <c r="S176" s="1256" t="s">
        <v>111</v>
      </c>
      <c r="T176" s="1257" t="s">
        <v>112</v>
      </c>
      <c r="W176" s="816" t="b">
        <v>0</v>
      </c>
      <c r="AB176" s="47"/>
      <c r="AC176" s="48"/>
      <c r="AD176" s="181" t="s">
        <v>321</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214</v>
      </c>
      <c r="T177" s="1257" t="s">
        <v>215</v>
      </c>
      <c r="W177" s="816" cm="1" t="str">
        <f t="array" ref="W177:W177">W175</f>
        <v>false</v>
      </c>
      <c r="AB177" s="47"/>
      <c r="AC177" s="48"/>
      <c r="AD177" s="181" t="s">
        <v>322</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323</v>
      </c>
      <c r="AE178" s="1114"/>
      <c r="AF178" s="1441"/>
      <c r="AO178" s="1265" cm="1" t="str">
        <f t="array" ref="AO178:AO178">AO177</f>
        <v>0</v>
      </c>
      <c r="AP178" s="1258"/>
      <c r="AQ178" s="1258"/>
      <c r="AR178" s="1258" t="s">
        <v>324</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325</v>
      </c>
      <c r="AE179" s="52"/>
      <c r="AF179" s="1441"/>
      <c r="AO179" s="1265" cm="1" t="str">
        <f t="array" ref="AO179:AO179">AO178</f>
        <v>0</v>
      </c>
      <c r="AP179" s="1258"/>
      <c r="AQ179" s="1258"/>
      <c r="AR179" s="1258" t="s">
        <v>326</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327</v>
      </c>
      <c r="AE180" s="53"/>
      <c r="AF180" s="1441"/>
      <c r="AO180" s="1265" cm="1" t="str">
        <f t="array" ref="AO180:AO180">AO179</f>
        <v>0</v>
      </c>
      <c r="AP180" s="1258"/>
      <c r="AQ180" s="1258"/>
      <c r="AR180" s="1258" t="s">
        <v>328</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329</v>
      </c>
      <c r="AE181" s="52"/>
      <c r="AF181" s="1441"/>
      <c r="AO181" s="1265" cm="1" t="str">
        <f t="array" ref="AO181:AO181">AO180</f>
        <v>0</v>
      </c>
      <c r="AP181" s="1258"/>
      <c r="AQ181" s="1258"/>
      <c r="AR181" s="1258" t="s">
        <v>330</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331</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332</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333</v>
      </c>
      <c r="AE183" s="54" cm="1" t="str">
        <f t="array" ref="AE183:AE183">IF(method_reg="","",method_reg)</f>
        <v>Метод индексации</v>
      </c>
      <c r="AF183" s="1441"/>
      <c r="AO183" s="1265" cm="1" t="str">
        <f t="array" ref="AO183:AO183">AO182</f>
        <v>0</v>
      </c>
      <c r="AP183" s="1258"/>
      <c r="AQ183" s="1258"/>
      <c r="AR183" s="1258" t="s">
        <v>334</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2026</v>
      </c>
      <c r="AF184" s="1441"/>
      <c r="AO184" s="1265" cm="1" t="str">
        <f t="array" ref="AO184:AO184">AO183</f>
        <v>0</v>
      </c>
      <c r="AP184" s="1258"/>
      <c r="AQ184" s="1258"/>
      <c r="AR184" s="1258" t="s">
        <v>334</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5</v>
      </c>
      <c r="AF185" s="1441"/>
      <c r="AO185" s="1265" cm="1" t="str">
        <f t="array" ref="AO185:AO185">AO184</f>
        <v>0</v>
      </c>
      <c r="AP185" s="1258"/>
      <c r="AQ185" s="1258"/>
      <c r="AR185" s="1258" t="s">
        <v>334</v>
      </c>
      <c r="AS185" s="1258" t="s">
        <v>128</v>
      </c>
      <c r="AT185" s="1258"/>
      <c r="AU185" s="1258"/>
      <c r="AV185" s="1258"/>
      <c r="AW185" s="1258"/>
      <c r="AX185" s="1258"/>
      <c r="AY185" s="1258"/>
      <c r="AZ185" s="1258"/>
      <c r="BA185" s="1258"/>
      <c r="BB185" s="1258"/>
      <c r="BC185" s="1258"/>
      <c r="BD185" s="1258"/>
      <c r="BE185" s="1258"/>
    </row>
    <row s="1619"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335</v>
      </c>
      <c r="AA186" s="817"/>
      <c r="AB186" s="1620"/>
      <c r="AC186" s="1621"/>
      <c r="AD186" s="450" t="str">
        <f>"Тариф "&amp;Z186</f>
        <v>Тариф 1</v>
      </c>
      <c r="AE186" s="451" t="s">
        <v>310</v>
      </c>
      <c r="AF186" s="1441" t="s">
        <v>217</v>
      </c>
      <c r="AG186" s="152" t="str">
        <f>AD186&amp;" ("&amp;AE186&amp;") - "&amp;AE188&amp;IF(AE194="",""," ("&amp;AE194&amp;")")</f>
        <v>Тариф 1 (Теплоснабжение) - Тариф на тепловую энергию (мощность), поставляемую потребителям (Тариф: Носитель - горячая вода (Т); Носитель - горячая вода (Т))</v>
      </c>
      <c r="AH186" s="152" cm="1" t="str">
        <f t="array" ref="AH186:AH186">AE192</f>
        <v>0</v>
      </c>
      <c r="AI186" s="234" cm="1" t="str">
        <f t="array" ref="AI186:AI186">AE189</f>
        <v>вода</v>
      </c>
      <c r="AJ186" s="152" cm="1" t="str">
        <f t="array" ref="AJ186:AJ186">AE194</f>
        <v>Тариф: Носитель - горячая вода (Т); Носитель - горячая вода (Т)</v>
      </c>
      <c r="AK186" s="152" cm="1" t="str">
        <f t="array" ref="AK186:AK186">AE190</f>
        <v>одноставочный</v>
      </c>
      <c r="AL186" s="233"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4" cm="1" t="str">
        <f t="array" ref="AM186:AM186">AE188</f>
        <v>Тариф на тепловую энергию (мощность), поставляемую потребителям</v>
      </c>
      <c r="AN186" s="152">
        <f>_xlfn.IFERROR(FIND("производство тепловой энергии (мощности) в режиме комбинированной выработки",AL186)&gt;0,FALSE)</f>
        <v>0</v>
      </c>
      <c r="AO186" s="1265" cm="1" t="str">
        <f t="array" ref="AO186:AO186">AE187</f>
        <v>ТЭ.42.26824396.0004</v>
      </c>
      <c r="AP186" s="1258"/>
      <c r="AQ186" s="1258"/>
      <c r="AR186" s="1258"/>
      <c r="AS186" s="1258"/>
      <c r="AT186" s="1258"/>
      <c r="AU186" s="1258"/>
      <c r="AV186" s="1258"/>
      <c r="AW186" s="1258"/>
      <c r="AX186" s="1258"/>
      <c r="AY186" s="1258"/>
      <c r="AZ186" s="1258"/>
      <c r="BA186" s="1258"/>
      <c r="BB186" s="1258"/>
      <c r="BC186" s="1258"/>
      <c r="BD186" s="1258" t="s">
        <v>311</v>
      </c>
      <c r="BE186" s="1258"/>
    </row>
    <row s="1619"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ТЭ.42.26824396.0004</v>
      </c>
      <c r="O187" s="1440"/>
      <c r="P187" s="1440"/>
      <c r="Q187" s="1440"/>
      <c r="R187" s="1440"/>
      <c r="S187" s="1256" t="s">
        <v>111</v>
      </c>
      <c r="T187" s="1257" t="s">
        <v>112</v>
      </c>
      <c r="U187" s="1440"/>
      <c r="V187" s="1440"/>
      <c r="W187" s="816" cm="1" t="str">
        <f t="array" ref="W187:W187">W186</f>
        <v>true</v>
      </c>
      <c r="X187" s="1440"/>
      <c r="Y187" s="1440"/>
      <c r="Z187" s="1440"/>
      <c r="AA187" s="817"/>
      <c r="AB187" s="1620"/>
      <c r="AC187" s="1621"/>
      <c r="AD187" s="446" t="s">
        <v>312</v>
      </c>
      <c r="AE187" s="440" t="s">
        <v>336</v>
      </c>
      <c r="AF187" s="1441"/>
      <c r="AG187" s="1532"/>
      <c r="AH187" s="1532"/>
      <c r="AI187" s="1532"/>
      <c r="AJ187" s="1532"/>
      <c r="AK187" s="1532"/>
      <c r="AL187" s="1532"/>
      <c r="AM187" s="1532"/>
      <c r="AN187" s="1532"/>
      <c r="AO187" s="1265" cm="1" t="str">
        <f t="array" ref="AO187:AO187">AO186</f>
        <v>ТЭ.42.26824396.0004</v>
      </c>
      <c r="AP187" s="1258"/>
      <c r="AQ187" s="1258"/>
      <c r="AR187" s="1258" t="s">
        <v>308</v>
      </c>
      <c r="AS187" s="1258"/>
      <c r="AT187" s="1258"/>
      <c r="AU187" s="1258"/>
      <c r="AV187" s="1258"/>
      <c r="AW187" s="1258"/>
      <c r="AX187" s="1258"/>
      <c r="AY187" s="1258"/>
      <c r="AZ187" s="1258"/>
      <c r="BA187" s="1258"/>
      <c r="BB187" s="1258"/>
      <c r="BC187" s="1258"/>
      <c r="BD187" s="1258"/>
      <c r="BE187" s="1258"/>
    </row>
    <row s="1619"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20"/>
      <c r="AC188" s="1621"/>
      <c r="AD188" s="446" t="s">
        <v>313</v>
      </c>
      <c r="AE188" s="1622" t="s">
        <v>337</v>
      </c>
      <c r="AF188" s="1441"/>
      <c r="AG188" s="1532"/>
      <c r="AH188" s="1532"/>
      <c r="AI188" s="1532"/>
      <c r="AJ188" s="1532"/>
      <c r="AK188" s="1532"/>
      <c r="AL188" s="1532"/>
      <c r="AM188" s="1532"/>
      <c r="AN188" s="1532"/>
      <c r="AO188" s="1265" cm="1" t="str">
        <f t="array" ref="AO188:AO188">AO187</f>
        <v>ТЭ.42.26824396.0004</v>
      </c>
      <c r="AP188" s="1258"/>
      <c r="AQ188" s="1258"/>
      <c r="AR188" s="1258" t="s">
        <v>314</v>
      </c>
      <c r="AS188" s="1258"/>
      <c r="AT188" s="1258"/>
      <c r="AU188" s="1258"/>
      <c r="AV188" s="1258"/>
      <c r="AW188" s="1258"/>
      <c r="AX188" s="1258"/>
      <c r="AY188" s="1258"/>
      <c r="AZ188" s="1258"/>
      <c r="BA188" s="1258"/>
      <c r="BB188" s="1258"/>
      <c r="BC188" s="1258"/>
      <c r="BD188" s="1258"/>
      <c r="BE188" s="1258"/>
    </row>
    <row s="1619"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20"/>
      <c r="AC189" s="1621"/>
      <c r="AD189" s="446" t="s">
        <v>315</v>
      </c>
      <c r="AE189" s="1623" t="s">
        <v>338</v>
      </c>
      <c r="AF189" s="1441"/>
      <c r="AG189" s="1532"/>
      <c r="AH189" s="1532"/>
      <c r="AI189" s="1532"/>
      <c r="AJ189" s="1532"/>
      <c r="AK189" s="1532"/>
      <c r="AL189" s="1532"/>
      <c r="AM189" s="1532"/>
      <c r="AN189" s="1532"/>
      <c r="AO189" s="1265" cm="1" t="str">
        <f t="array" ref="AO189:AO189">AO188</f>
        <v>ТЭ.42.26824396.0004</v>
      </c>
      <c r="AP189" s="1258"/>
      <c r="AQ189" s="1258"/>
      <c r="AR189" s="1258"/>
      <c r="AS189" s="1258"/>
      <c r="AT189" s="1258"/>
      <c r="AU189" s="1258"/>
      <c r="AV189" s="1258"/>
      <c r="AW189" s="1258"/>
      <c r="AX189" s="1258"/>
      <c r="AY189" s="1258"/>
      <c r="AZ189" s="1258"/>
      <c r="BA189" s="1258" t="s">
        <v>316</v>
      </c>
      <c r="BB189" s="1258"/>
      <c r="BC189" s="1258"/>
      <c r="BD189" s="1258"/>
      <c r="BE189" s="1258"/>
    </row>
    <row s="1619"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20"/>
      <c r="AC190" s="1621"/>
      <c r="AD190" s="446" t="s">
        <v>317</v>
      </c>
      <c r="AE190" s="1624" t="s">
        <v>339</v>
      </c>
      <c r="AF190" s="1441"/>
      <c r="AG190" s="1532"/>
      <c r="AH190" s="1532"/>
      <c r="AI190" s="1532"/>
      <c r="AJ190" s="1532"/>
      <c r="AK190" s="1532"/>
      <c r="AL190" s="1532"/>
      <c r="AM190" s="1532"/>
      <c r="AN190" s="1532"/>
      <c r="AO190" s="1265" cm="1" t="str">
        <f t="array" ref="AO190:AO190">AO189</f>
        <v>ТЭ.42.26824396.0004</v>
      </c>
      <c r="AP190" s="1258"/>
      <c r="AQ190" s="1258"/>
      <c r="AR190" s="1258"/>
      <c r="AS190" s="1258"/>
      <c r="AT190" s="1258"/>
      <c r="AU190" s="1258"/>
      <c r="AV190" s="1258"/>
      <c r="AW190" s="1258"/>
      <c r="AX190" s="1258"/>
      <c r="AY190" s="1258"/>
      <c r="AZ190" s="1258"/>
      <c r="BA190" s="1258"/>
      <c r="BB190" s="1258" t="s">
        <v>318</v>
      </c>
      <c r="BC190" s="1258"/>
      <c r="BD190" s="1258"/>
      <c r="BE190" s="1258"/>
    </row>
    <row s="1619"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20"/>
      <c r="AC191" s="1621"/>
      <c r="AD191" s="446" t="s">
        <v>319</v>
      </c>
      <c r="AE191" s="1114" t="s">
        <v>340</v>
      </c>
      <c r="AF191" s="1441"/>
      <c r="AG191" s="1532"/>
      <c r="AH191" s="1532"/>
      <c r="AI191" s="1532"/>
      <c r="AJ191" s="1532"/>
      <c r="AK191" s="1532"/>
      <c r="AL191" s="1532"/>
      <c r="AM191" s="1532"/>
      <c r="AN191" s="1532"/>
      <c r="AO191" s="1265" cm="1" t="str">
        <f t="array" ref="AO191:AO191">AO190</f>
        <v>ТЭ.42.26824396.0004</v>
      </c>
      <c r="AP191" s="1258"/>
      <c r="AQ191" s="1258"/>
      <c r="AR191" s="1258"/>
      <c r="AS191" s="1258"/>
      <c r="AT191" s="1258"/>
      <c r="AU191" s="1258"/>
      <c r="AV191" s="1258"/>
      <c r="AW191" s="1258"/>
      <c r="AX191" s="1258"/>
      <c r="AY191" s="1258"/>
      <c r="AZ191" s="1258"/>
      <c r="BA191" s="1258"/>
      <c r="BB191" s="1258"/>
      <c r="BC191" s="1258" t="s">
        <v>320</v>
      </c>
      <c r="BD191" s="1258"/>
      <c r="BE191" s="1258"/>
    </row>
    <row s="1619"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321</v>
      </c>
      <c r="AE192" s="472"/>
      <c r="AF192" s="1441"/>
      <c r="AG192" s="1532"/>
      <c r="AH192" s="1532"/>
      <c r="AI192" s="1532"/>
      <c r="AJ192" s="1532"/>
      <c r="AK192" s="1532"/>
      <c r="AL192" s="1532"/>
      <c r="AM192" s="1532"/>
      <c r="AN192" s="1532"/>
      <c r="AO192" s="1265" cm="1" t="str">
        <f t="array" ref="AO192:AO192">AO191</f>
        <v>ТЭ.42.26824396.0004</v>
      </c>
      <c r="AP192" s="1258"/>
      <c r="AQ192" s="1258"/>
      <c r="AR192" s="1258"/>
      <c r="AS192" s="1258"/>
      <c r="AT192" s="1258"/>
      <c r="AU192" s="1258"/>
      <c r="AV192" s="1258"/>
      <c r="AW192" s="1258"/>
      <c r="AX192" s="1258"/>
      <c r="AY192" s="1258"/>
      <c r="AZ192" s="1258"/>
      <c r="BA192" s="1258"/>
      <c r="BB192" s="1258"/>
      <c r="BC192" s="1258"/>
      <c r="BD192" s="1258"/>
      <c r="BE192" s="1258"/>
    </row>
    <row s="1619"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214</v>
      </c>
      <c r="T193" s="1257" t="s">
        <v>215</v>
      </c>
      <c r="U193" s="1440"/>
      <c r="V193" s="1440"/>
      <c r="W193" s="816" cm="1" t="str">
        <f t="array" ref="W193:W193">W191</f>
        <v>true</v>
      </c>
      <c r="X193" s="1440"/>
      <c r="Y193" s="1440"/>
      <c r="Z193" s="1440"/>
      <c r="AA193" s="817"/>
      <c r="AB193" s="1620"/>
      <c r="AC193" s="1621"/>
      <c r="AD193" s="181" t="s">
        <v>322</v>
      </c>
      <c r="AE193" s="1613" t="s">
        <v>341</v>
      </c>
      <c r="AF193" s="1441"/>
      <c r="AG193" s="1532"/>
      <c r="AH193" s="1532"/>
      <c r="AI193" s="1532"/>
      <c r="AJ193" s="1532"/>
      <c r="AK193" s="1532"/>
      <c r="AL193" s="1532"/>
      <c r="AM193" s="1532"/>
      <c r="AN193" s="1532"/>
      <c r="AO193" s="1265" cm="1" t="str">
        <f t="array" ref="AO193:AO193">AO192</f>
        <v>ТЭ.42.26824396.0004</v>
      </c>
      <c r="AP193" s="1258"/>
      <c r="AQ193" s="1258"/>
      <c r="AR193" s="1258"/>
      <c r="AS193" s="1258"/>
      <c r="AT193" s="1258"/>
      <c r="AU193" s="1258"/>
      <c r="AV193" s="1258"/>
      <c r="AW193" s="1258"/>
      <c r="AX193" s="1258"/>
      <c r="AY193" s="1258"/>
      <c r="AZ193" s="1258"/>
      <c r="BA193" s="1258"/>
      <c r="BB193" s="1258"/>
      <c r="BC193" s="1258"/>
      <c r="BD193" s="1258"/>
      <c r="BE193" s="1258"/>
    </row>
    <row s="1619"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20"/>
      <c r="AC194" s="1621"/>
      <c r="AD194" s="181" t="s">
        <v>323</v>
      </c>
      <c r="AE194" s="1114" t="s">
        <v>342</v>
      </c>
      <c r="AF194" s="1441"/>
      <c r="AG194" s="1532"/>
      <c r="AH194" s="1532"/>
      <c r="AI194" s="1532"/>
      <c r="AJ194" s="1532"/>
      <c r="AK194" s="1532"/>
      <c r="AL194" s="1532"/>
      <c r="AM194" s="1532"/>
      <c r="AN194" s="1532"/>
      <c r="AO194" s="1265" cm="1" t="str">
        <f t="array" ref="AO194:AO194">AO193</f>
        <v>ТЭ.42.26824396.0004</v>
      </c>
      <c r="AP194" s="1258"/>
      <c r="AQ194" s="1258"/>
      <c r="AR194" s="1258" t="s">
        <v>324</v>
      </c>
      <c r="AS194" s="1258"/>
      <c r="AT194" s="1258"/>
      <c r="AU194" s="1258"/>
      <c r="AV194" s="1258"/>
      <c r="AW194" s="1258"/>
      <c r="AX194" s="1258"/>
      <c r="AY194" s="1258"/>
      <c r="AZ194" s="1258"/>
      <c r="BA194" s="1258"/>
      <c r="BB194" s="1258"/>
      <c r="BC194" s="1258"/>
      <c r="BD194" s="1258"/>
      <c r="BE194" s="1258"/>
    </row>
    <row s="1619"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20"/>
      <c r="AC195" s="1621"/>
      <c r="AD195" s="446" t="s">
        <v>325</v>
      </c>
      <c r="AE195" s="1625"/>
      <c r="AF195" s="1441"/>
      <c r="AG195" s="1532"/>
      <c r="AH195" s="1532"/>
      <c r="AI195" s="1532"/>
      <c r="AJ195" s="1532"/>
      <c r="AK195" s="1532"/>
      <c r="AL195" s="1532"/>
      <c r="AM195" s="1532"/>
      <c r="AN195" s="1532"/>
      <c r="AO195" s="1265" cm="1" t="str">
        <f t="array" ref="AO195:AO195">AO194</f>
        <v>ТЭ.42.26824396.0004</v>
      </c>
      <c r="AP195" s="1258"/>
      <c r="AQ195" s="1258"/>
      <c r="AR195" s="1258" t="s">
        <v>326</v>
      </c>
      <c r="AS195" s="1258"/>
      <c r="AT195" s="1258"/>
      <c r="AU195" s="1258"/>
      <c r="AV195" s="1258"/>
      <c r="AW195" s="1258"/>
      <c r="AX195" s="1258"/>
      <c r="AY195" s="1258"/>
      <c r="AZ195" s="1258"/>
      <c r="BA195" s="1258"/>
      <c r="BB195" s="1258"/>
      <c r="BC195" s="1258"/>
      <c r="BD195" s="1258"/>
      <c r="BE195" s="1258"/>
    </row>
    <row s="1619"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20"/>
      <c r="AC196" s="1621"/>
      <c r="AD196" s="446" t="s">
        <v>327</v>
      </c>
      <c r="AE196" s="1626"/>
      <c r="AF196" s="1441"/>
      <c r="AG196" s="1532"/>
      <c r="AH196" s="1532"/>
      <c r="AI196" s="1532"/>
      <c r="AJ196" s="1532"/>
      <c r="AK196" s="1532"/>
      <c r="AL196" s="1532"/>
      <c r="AM196" s="1532"/>
      <c r="AN196" s="1532"/>
      <c r="AO196" s="1265" cm="1" t="str">
        <f t="array" ref="AO196:AO196">AO195</f>
        <v>ТЭ.42.26824396.0004</v>
      </c>
      <c r="AP196" s="1258"/>
      <c r="AQ196" s="1258"/>
      <c r="AR196" s="1258" t="s">
        <v>328</v>
      </c>
      <c r="AS196" s="1258"/>
      <c r="AT196" s="1258"/>
      <c r="AU196" s="1258"/>
      <c r="AV196" s="1258"/>
      <c r="AW196" s="1258"/>
      <c r="AX196" s="1258"/>
      <c r="AY196" s="1258"/>
      <c r="AZ196" s="1258"/>
      <c r="BA196" s="1258"/>
      <c r="BB196" s="1258"/>
      <c r="BC196" s="1258"/>
      <c r="BD196" s="1258"/>
      <c r="BE196" s="1258"/>
    </row>
    <row s="1619"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20"/>
      <c r="AC197" s="1621"/>
      <c r="AD197" s="446" t="s">
        <v>329</v>
      </c>
      <c r="AE197" s="1625"/>
      <c r="AF197" s="1441"/>
      <c r="AG197" s="1532"/>
      <c r="AH197" s="1532"/>
      <c r="AI197" s="1532"/>
      <c r="AJ197" s="1532"/>
      <c r="AK197" s="1532"/>
      <c r="AL197" s="1532"/>
      <c r="AM197" s="1532"/>
      <c r="AN197" s="1532"/>
      <c r="AO197" s="1265" cm="1" t="str">
        <f t="array" ref="AO197:AO197">AO196</f>
        <v>ТЭ.42.26824396.0004</v>
      </c>
      <c r="AP197" s="1258"/>
      <c r="AQ197" s="1258"/>
      <c r="AR197" s="1258" t="s">
        <v>330</v>
      </c>
      <c r="AS197" s="1258"/>
      <c r="AT197" s="1258"/>
      <c r="AU197" s="1258"/>
      <c r="AV197" s="1258"/>
      <c r="AW197" s="1258"/>
      <c r="AX197" s="1258"/>
      <c r="AY197" s="1258"/>
      <c r="AZ197" s="1258"/>
      <c r="BA197" s="1258"/>
      <c r="BB197" s="1258"/>
      <c r="BC197" s="1258"/>
      <c r="BD197" s="1258"/>
      <c r="BE197" s="1258"/>
    </row>
    <row s="1619"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20"/>
      <c r="AC198" s="1621"/>
      <c r="AD198" s="446" t="s">
        <v>331</v>
      </c>
      <c r="AE198" s="1612" t="str">
        <f>IF(AE$24="","",DATE(AE$24,1,1))</f>
        <v>46023</v>
      </c>
      <c r="AF198" s="1441"/>
      <c r="AG198" s="1532"/>
      <c r="AH198" s="1532"/>
      <c r="AI198" s="1532"/>
      <c r="AJ198" s="1532"/>
      <c r="AK198" s="1532"/>
      <c r="AL198" s="1532"/>
      <c r="AM198" s="1532"/>
      <c r="AN198" s="1532"/>
      <c r="AO198" s="1265" cm="1" t="str">
        <f t="array" ref="AO198:AO198">AO197</f>
        <v>ТЭ.42.26824396.0004</v>
      </c>
      <c r="AP198" s="1258"/>
      <c r="AQ198" s="1258"/>
      <c r="AR198" s="1258"/>
      <c r="AS198" s="1258"/>
      <c r="AT198" s="1258"/>
      <c r="AU198" s="1258"/>
      <c r="AV198" s="1258"/>
      <c r="AW198" s="1258"/>
      <c r="AX198" s="1258"/>
      <c r="AY198" s="1258"/>
      <c r="AZ198" s="1258" t="s">
        <v>332</v>
      </c>
      <c r="BA198" s="1258"/>
      <c r="BB198" s="1258"/>
      <c r="BC198" s="1258"/>
      <c r="BD198" s="1258"/>
      <c r="BE198" s="1258"/>
    </row>
    <row s="1619"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20"/>
      <c r="AC199" s="1621"/>
      <c r="AD199" s="446" t="s">
        <v>333</v>
      </c>
      <c r="AE199" s="1627"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ТЭ.42.26824396.0004</v>
      </c>
      <c r="AP199" s="1258"/>
      <c r="AQ199" s="1258"/>
      <c r="AR199" s="1258" t="s">
        <v>334</v>
      </c>
      <c r="AS199" s="1258"/>
      <c r="AT199" s="1258"/>
      <c r="AU199" s="1258"/>
      <c r="AV199" s="1258"/>
      <c r="AW199" s="1258"/>
      <c r="AX199" s="1258"/>
      <c r="AY199" s="1258"/>
      <c r="AZ199" s="1258"/>
      <c r="BA199" s="1258"/>
      <c r="BB199" s="1258"/>
      <c r="BC199" s="1258"/>
      <c r="BD199" s="1258"/>
      <c r="BE199" s="1258"/>
    </row>
    <row s="1619"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20"/>
      <c r="AC200" s="162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2026</v>
      </c>
      <c r="AF200" s="1441"/>
      <c r="AG200" s="1532"/>
      <c r="AH200" s="1532"/>
      <c r="AI200" s="1532"/>
      <c r="AJ200" s="1532"/>
      <c r="AK200" s="1532"/>
      <c r="AL200" s="1532"/>
      <c r="AM200" s="1532"/>
      <c r="AN200" s="1532"/>
      <c r="AO200" s="1265" cm="1" t="str">
        <f t="array" ref="AO200:AO200">AO199</f>
        <v>ТЭ.42.26824396.0004</v>
      </c>
      <c r="AP200" s="1258"/>
      <c r="AQ200" s="1258"/>
      <c r="AR200" s="1258" t="s">
        <v>334</v>
      </c>
      <c r="AS200" s="1258" t="s">
        <v>124</v>
      </c>
      <c r="AT200" s="1258"/>
      <c r="AU200" s="1258"/>
      <c r="AV200" s="1258"/>
      <c r="AW200" s="1258"/>
      <c r="AX200" s="1258"/>
      <c r="AY200" s="1258"/>
      <c r="AZ200" s="1258"/>
      <c r="BA200" s="1258"/>
      <c r="BB200" s="1258"/>
      <c r="BC200" s="1258"/>
      <c r="BD200" s="1258"/>
      <c r="BE200" s="1258"/>
    </row>
    <row s="1619"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20"/>
      <c r="AC201" s="1621"/>
      <c r="AD201" s="446" t="s">
        <v>127</v>
      </c>
      <c r="AE201" s="1628" cm="1" t="str">
        <f t="array" ref="AE201:AE201">IF(PERIOD_LENGTH="","",PERIOD_LENGTH)</f>
        <v>5</v>
      </c>
      <c r="AF201" s="1441"/>
      <c r="AG201" s="1532"/>
      <c r="AH201" s="1532"/>
      <c r="AI201" s="1532"/>
      <c r="AJ201" s="1532"/>
      <c r="AK201" s="1532"/>
      <c r="AL201" s="1532"/>
      <c r="AM201" s="1532"/>
      <c r="AN201" s="1532"/>
      <c r="AO201" s="1265" cm="1" t="str">
        <f t="array" ref="AO201:AO201">AO200</f>
        <v>ТЭ.42.26824396.0004</v>
      </c>
      <c r="AP201" s="1258"/>
      <c r="AQ201" s="1258"/>
      <c r="AR201" s="1258" t="s">
        <v>334</v>
      </c>
      <c r="AS201" s="1258" t="s">
        <v>128</v>
      </c>
      <c r="AT201" s="1258"/>
      <c r="AU201" s="1258"/>
      <c r="AV201" s="1258"/>
      <c r="AW201" s="1258"/>
      <c r="AX201" s="1258"/>
      <c r="AY201" s="1258"/>
      <c r="AZ201" s="1258"/>
      <c r="BA201" s="1258"/>
      <c r="BB201" s="1258"/>
      <c r="BC201" s="1258"/>
      <c r="BD201" s="1258"/>
      <c r="BE201" s="1258"/>
    </row>
    <row s="1619" customFormat="1" customHeight="1" ht="19.5">
      <c r="A202" s="1440"/>
      <c r="B202" s="924"/>
      <c r="C202" s="1440"/>
      <c r="D202" s="1440"/>
      <c r="E202" s="794">
        <v>20.4</v>
      </c>
      <c r="F202" s="962"/>
      <c r="G202" s="919" cm="1" t="str">
        <f t="array" ref="G202:G202">Z202</f>
        <v>2</v>
      </c>
      <c r="H202" s="1440"/>
      <c r="I202" s="1440"/>
      <c r="J202" s="1440"/>
      <c r="K202" s="1440"/>
      <c r="L202" s="1440"/>
      <c r="M202" s="1440"/>
      <c r="N202" s="1440"/>
      <c r="O202" s="1440"/>
      <c r="P202" s="1440"/>
      <c r="Q202" s="1440"/>
      <c r="R202" s="1440"/>
      <c r="S202" s="1256" t="s">
        <v>111</v>
      </c>
      <c r="T202" s="1257" t="s">
        <v>112</v>
      </c>
      <c r="U202" s="1440"/>
      <c r="V202" s="1440"/>
      <c r="W202" s="816">
        <f>Z202&gt;0</f>
        <v>1</v>
      </c>
      <c r="X202" s="371"/>
      <c r="Y202" s="1440"/>
      <c r="Z202" s="156" t="s">
        <v>343</v>
      </c>
      <c r="AA202" s="817"/>
      <c r="AB202" s="1620"/>
      <c r="AC202" s="1621"/>
      <c r="AD202" s="450" t="str">
        <f>"Тариф "&amp;Z202</f>
        <v>Тариф 2</v>
      </c>
      <c r="AE202" s="451" t="s">
        <v>310</v>
      </c>
      <c r="AF202" s="1441" t="s">
        <v>217</v>
      </c>
      <c r="AG202" s="152" t="str">
        <f>AD202&amp;" ("&amp;AE202&amp;") - "&amp;AE204&amp;IF(AE210="",""," ("&amp;AE210&amp;")")</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H202" s="152" cm="1" t="str">
        <f t="array" ref="AH202:AH202">AE208</f>
        <v>0</v>
      </c>
      <c r="AI202" s="234" cm="1" t="str">
        <f t="array" ref="AI202:AI202">AE205</f>
        <v>вода</v>
      </c>
      <c r="AJ202" s="152" cm="1" t="str">
        <f t="array" ref="AJ202:AJ202">AE210</f>
        <v>Тариф: Носитель - горячая вода (Т); Носитель - горячая вода (Т)</v>
      </c>
      <c r="AK202" s="152" cm="1" t="str">
        <f t="array" ref="AK202:AK202">AE206</f>
        <v>одноставочный</v>
      </c>
      <c r="AL202" s="233" cm="1" t="str">
        <f t="array" ref="AL202:AL202">AE207</f>
        <v>производство тепловой энергии (мощности) не в режиме комбинированной выработки электрической и тепловой энергии источниками тепловой энергии</v>
      </c>
      <c r="AM202" s="234" cm="1" t="str">
        <f t="array" ref="AM202:AM202">AE204</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N202" s="152">
        <f>_xlfn.IFERROR(FIND("производство тепловой энергии (мощности) в режиме комбинированной выработки",AL202)&gt;0,FALSE)</f>
        <v>0</v>
      </c>
      <c r="AO202" s="1265" cm="1" t="str">
        <f t="array" ref="AO202:AO202">AE203</f>
        <v>ТЭ.42.26824396.0005</v>
      </c>
      <c r="AP202" s="1258"/>
      <c r="AQ202" s="1258"/>
      <c r="AR202" s="1258"/>
      <c r="AS202" s="1258"/>
      <c r="AT202" s="1258"/>
      <c r="AU202" s="1258"/>
      <c r="AV202" s="1258"/>
      <c r="AW202" s="1258"/>
      <c r="AX202" s="1258"/>
      <c r="AY202" s="1258"/>
      <c r="AZ202" s="1258"/>
      <c r="BA202" s="1258"/>
      <c r="BB202" s="1258"/>
      <c r="BC202" s="1258"/>
      <c r="BD202" s="1258" t="s">
        <v>311</v>
      </c>
      <c r="BE202" s="1258"/>
    </row>
    <row s="1619" customFormat="1" customHeight="1" ht="19.5">
      <c r="A203" s="1440"/>
      <c r="B203" s="924"/>
      <c r="C203" s="1440"/>
      <c r="D203" s="1440"/>
      <c r="E203" s="794">
        <v>20.4</v>
      </c>
      <c r="F203" s="962"/>
      <c r="G203" s="919" cm="1" t="str">
        <f t="array" ref="G203:G203">G202</f>
        <v>2</v>
      </c>
      <c r="H203" s="1440"/>
      <c r="I203" s="1440"/>
      <c r="J203" s="1440"/>
      <c r="K203" s="1440"/>
      <c r="L203" s="1440"/>
      <c r="M203" s="1440"/>
      <c r="N203" s="947" cm="1" t="str">
        <f t="array" ref="N203:N203">AE203</f>
        <v>ТЭ.42.26824396.0005</v>
      </c>
      <c r="O203" s="1440"/>
      <c r="P203" s="1440"/>
      <c r="Q203" s="1440"/>
      <c r="R203" s="1440"/>
      <c r="S203" s="1256" t="s">
        <v>111</v>
      </c>
      <c r="T203" s="1257" t="s">
        <v>112</v>
      </c>
      <c r="U203" s="1440"/>
      <c r="V203" s="1440"/>
      <c r="W203" s="816" cm="1" t="str">
        <f t="array" ref="W203:W203">W202</f>
        <v>true</v>
      </c>
      <c r="X203" s="1440"/>
      <c r="Y203" s="1440"/>
      <c r="Z203" s="1440"/>
      <c r="AA203" s="817"/>
      <c r="AB203" s="1620"/>
      <c r="AC203" s="1621"/>
      <c r="AD203" s="446" t="s">
        <v>312</v>
      </c>
      <c r="AE203" s="440" t="s">
        <v>344</v>
      </c>
      <c r="AF203" s="1441"/>
      <c r="AG203" s="1532"/>
      <c r="AH203" s="1532"/>
      <c r="AI203" s="1532"/>
      <c r="AJ203" s="1532"/>
      <c r="AK203" s="1532"/>
      <c r="AL203" s="1532"/>
      <c r="AM203" s="1532"/>
      <c r="AN203" s="1532"/>
      <c r="AO203" s="1265" cm="1" t="str">
        <f t="array" ref="AO203:AO203">AO202</f>
        <v>ТЭ.42.26824396.0005</v>
      </c>
      <c r="AP203" s="1258"/>
      <c r="AQ203" s="1258"/>
      <c r="AR203" s="1258" t="s">
        <v>308</v>
      </c>
      <c r="AS203" s="1258"/>
      <c r="AT203" s="1258"/>
      <c r="AU203" s="1258"/>
      <c r="AV203" s="1258"/>
      <c r="AW203" s="1258"/>
      <c r="AX203" s="1258"/>
      <c r="AY203" s="1258"/>
      <c r="AZ203" s="1258"/>
      <c r="BA203" s="1258"/>
      <c r="BB203" s="1258"/>
      <c r="BC203" s="1258"/>
      <c r="BD203" s="1258"/>
      <c r="BE203" s="1258"/>
    </row>
    <row s="1619" customFormat="1" customHeight="1" ht="29.25">
      <c r="A204" s="1440"/>
      <c r="B204" s="924"/>
      <c r="C204" s="1440"/>
      <c r="D204" s="1440"/>
      <c r="E204" s="794">
        <v>30</v>
      </c>
      <c r="F204" s="962"/>
      <c r="G204" s="919" cm="1" t="str">
        <f t="array" ref="G204:G204">G203</f>
        <v>2</v>
      </c>
      <c r="H204" s="1440"/>
      <c r="I204" s="1440"/>
      <c r="J204" s="1440"/>
      <c r="K204" s="1440"/>
      <c r="L204" s="1440"/>
      <c r="M204" s="1440"/>
      <c r="N204" s="1440"/>
      <c r="O204" s="1440"/>
      <c r="P204" s="1440"/>
      <c r="Q204" s="1440"/>
      <c r="R204" s="1440"/>
      <c r="S204" s="1256" t="s">
        <v>111</v>
      </c>
      <c r="T204" s="1257" t="s">
        <v>112</v>
      </c>
      <c r="U204" s="1440"/>
      <c r="V204" s="1440"/>
      <c r="W204" s="816" cm="1" t="str">
        <f t="array" ref="W204:W204">W203</f>
        <v>true</v>
      </c>
      <c r="X204" s="1440"/>
      <c r="Y204" s="1440"/>
      <c r="Z204" s="1440"/>
      <c r="AA204" s="817"/>
      <c r="AB204" s="1620"/>
      <c r="AC204" s="1621"/>
      <c r="AD204" s="446" t="s">
        <v>313</v>
      </c>
      <c r="AE204" s="1622" t="s">
        <v>345</v>
      </c>
      <c r="AF204" s="1441"/>
      <c r="AG204" s="1532"/>
      <c r="AH204" s="1532"/>
      <c r="AI204" s="1532"/>
      <c r="AJ204" s="1532"/>
      <c r="AK204" s="1532"/>
      <c r="AL204" s="1532"/>
      <c r="AM204" s="1532"/>
      <c r="AN204" s="1532"/>
      <c r="AO204" s="1265" cm="1" t="str">
        <f t="array" ref="AO204:AO204">AO203</f>
        <v>ТЭ.42.26824396.0005</v>
      </c>
      <c r="AP204" s="1258"/>
      <c r="AQ204" s="1258"/>
      <c r="AR204" s="1258" t="s">
        <v>314</v>
      </c>
      <c r="AS204" s="1258"/>
      <c r="AT204" s="1258"/>
      <c r="AU204" s="1258"/>
      <c r="AV204" s="1258"/>
      <c r="AW204" s="1258"/>
      <c r="AX204" s="1258"/>
      <c r="AY204" s="1258"/>
      <c r="AZ204" s="1258"/>
      <c r="BA204" s="1258"/>
      <c r="BB204" s="1258"/>
      <c r="BC204" s="1258"/>
      <c r="BD204" s="1258"/>
      <c r="BE204" s="1258"/>
    </row>
    <row s="1619" customFormat="1" customHeight="1" ht="19.5">
      <c r="A205" s="1440"/>
      <c r="B205" s="924"/>
      <c r="C205" s="1440"/>
      <c r="D205" s="1440"/>
      <c r="E205" s="794">
        <v>20.4</v>
      </c>
      <c r="F205" s="962"/>
      <c r="G205" s="919" cm="1" t="str">
        <f t="array" ref="G205:G205">G204</f>
        <v>2</v>
      </c>
      <c r="H205" s="1440"/>
      <c r="I205" s="1440"/>
      <c r="J205" s="1440"/>
      <c r="K205" s="1440"/>
      <c r="L205" s="1440"/>
      <c r="M205" s="1440"/>
      <c r="N205" s="1440"/>
      <c r="O205" s="1440"/>
      <c r="P205" s="1440"/>
      <c r="Q205" s="1440"/>
      <c r="R205" s="1440"/>
      <c r="S205" s="1256" t="s">
        <v>111</v>
      </c>
      <c r="T205" s="1257" t="s">
        <v>112</v>
      </c>
      <c r="U205" s="1440"/>
      <c r="V205" s="1440"/>
      <c r="W205" s="816" cm="1" t="str">
        <f t="array" ref="W205:W205">W204</f>
        <v>true</v>
      </c>
      <c r="X205" s="1440"/>
      <c r="Y205" s="1440"/>
      <c r="Z205" s="1440"/>
      <c r="AA205" s="817"/>
      <c r="AB205" s="1620"/>
      <c r="AC205" s="1621"/>
      <c r="AD205" s="446" t="s">
        <v>315</v>
      </c>
      <c r="AE205" s="1623" t="s">
        <v>338</v>
      </c>
      <c r="AF205" s="1441"/>
      <c r="AG205" s="1532"/>
      <c r="AH205" s="1532"/>
      <c r="AI205" s="1532"/>
      <c r="AJ205" s="1532"/>
      <c r="AK205" s="1532"/>
      <c r="AL205" s="1532"/>
      <c r="AM205" s="1532"/>
      <c r="AN205" s="1532"/>
      <c r="AO205" s="1265" cm="1" t="str">
        <f t="array" ref="AO205:AO205">AO204</f>
        <v>ТЭ.42.26824396.0005</v>
      </c>
      <c r="AP205" s="1258"/>
      <c r="AQ205" s="1258"/>
      <c r="AR205" s="1258"/>
      <c r="AS205" s="1258"/>
      <c r="AT205" s="1258"/>
      <c r="AU205" s="1258"/>
      <c r="AV205" s="1258"/>
      <c r="AW205" s="1258"/>
      <c r="AX205" s="1258"/>
      <c r="AY205" s="1258"/>
      <c r="AZ205" s="1258"/>
      <c r="BA205" s="1258" t="s">
        <v>316</v>
      </c>
      <c r="BB205" s="1258"/>
      <c r="BC205" s="1258"/>
      <c r="BD205" s="1258"/>
      <c r="BE205" s="1258"/>
    </row>
    <row s="1619" customFormat="1" customHeight="1" ht="19.5">
      <c r="A206" s="1440"/>
      <c r="B206" s="924"/>
      <c r="C206" s="1440"/>
      <c r="D206" s="1440"/>
      <c r="E206" s="794">
        <v>20.4</v>
      </c>
      <c r="F206" s="962"/>
      <c r="G206" s="919" cm="1" t="str">
        <f t="array" ref="G206:G206">G205</f>
        <v>2</v>
      </c>
      <c r="H206" s="1440"/>
      <c r="I206" s="1440"/>
      <c r="J206" s="1440"/>
      <c r="K206" s="1440"/>
      <c r="L206" s="1440"/>
      <c r="M206" s="1440"/>
      <c r="N206" s="1440"/>
      <c r="O206" s="1440"/>
      <c r="P206" s="1440"/>
      <c r="Q206" s="1440"/>
      <c r="R206" s="1440"/>
      <c r="S206" s="1256" t="s">
        <v>111</v>
      </c>
      <c r="T206" s="1257" t="s">
        <v>112</v>
      </c>
      <c r="U206" s="1440"/>
      <c r="V206" s="1440"/>
      <c r="W206" s="816" cm="1" t="str">
        <f t="array" ref="W206:W206">W205</f>
        <v>true</v>
      </c>
      <c r="X206" s="1440"/>
      <c r="Y206" s="1440"/>
      <c r="Z206" s="1440"/>
      <c r="AA206" s="817"/>
      <c r="AB206" s="1620"/>
      <c r="AC206" s="1621"/>
      <c r="AD206" s="446" t="s">
        <v>317</v>
      </c>
      <c r="AE206" s="1624" t="s">
        <v>339</v>
      </c>
      <c r="AF206" s="1441"/>
      <c r="AG206" s="1532"/>
      <c r="AH206" s="1532"/>
      <c r="AI206" s="1532"/>
      <c r="AJ206" s="1532"/>
      <c r="AK206" s="1532"/>
      <c r="AL206" s="1532"/>
      <c r="AM206" s="1532"/>
      <c r="AN206" s="1532"/>
      <c r="AO206" s="1265" cm="1" t="str">
        <f t="array" ref="AO206:AO206">AO205</f>
        <v>ТЭ.42.26824396.0005</v>
      </c>
      <c r="AP206" s="1258"/>
      <c r="AQ206" s="1258"/>
      <c r="AR206" s="1258"/>
      <c r="AS206" s="1258"/>
      <c r="AT206" s="1258"/>
      <c r="AU206" s="1258"/>
      <c r="AV206" s="1258"/>
      <c r="AW206" s="1258"/>
      <c r="AX206" s="1258"/>
      <c r="AY206" s="1258"/>
      <c r="AZ206" s="1258"/>
      <c r="BA206" s="1258"/>
      <c r="BB206" s="1258" t="s">
        <v>318</v>
      </c>
      <c r="BC206" s="1258"/>
      <c r="BD206" s="1258"/>
      <c r="BE206" s="1258"/>
    </row>
    <row s="1619" customFormat="1" customHeight="1" ht="88.5">
      <c r="A207" s="1440"/>
      <c r="B207" s="924"/>
      <c r="C207" s="1440"/>
      <c r="D207" s="1440"/>
      <c r="E207" s="794">
        <v>91.5</v>
      </c>
      <c r="F207" s="962"/>
      <c r="G207" s="919" cm="1" t="str">
        <f t="array" ref="G207:G207">G206</f>
        <v>2</v>
      </c>
      <c r="H207" s="1440"/>
      <c r="I207" s="1440"/>
      <c r="J207" s="1440"/>
      <c r="K207" s="1440"/>
      <c r="L207" s="1440"/>
      <c r="M207" s="1440"/>
      <c r="N207" s="1440"/>
      <c r="O207" s="1440"/>
      <c r="P207" s="1440"/>
      <c r="Q207" s="1440"/>
      <c r="R207" s="1440"/>
      <c r="S207" s="1256" t="s">
        <v>111</v>
      </c>
      <c r="T207" s="1257" t="s">
        <v>112</v>
      </c>
      <c r="U207" s="1440"/>
      <c r="V207" s="1440"/>
      <c r="W207" s="816" cm="1" t="str">
        <f t="array" ref="W207:W207">W206</f>
        <v>true</v>
      </c>
      <c r="X207" s="1440"/>
      <c r="Y207" s="1440"/>
      <c r="Z207" s="1440"/>
      <c r="AA207" s="817"/>
      <c r="AB207" s="1620"/>
      <c r="AC207" s="1621"/>
      <c r="AD207" s="446" t="s">
        <v>319</v>
      </c>
      <c r="AE207" s="1114" t="s">
        <v>340</v>
      </c>
      <c r="AF207" s="1441"/>
      <c r="AG207" s="1532"/>
      <c r="AH207" s="1532"/>
      <c r="AI207" s="1532"/>
      <c r="AJ207" s="1532"/>
      <c r="AK207" s="1532"/>
      <c r="AL207" s="1532"/>
      <c r="AM207" s="1532"/>
      <c r="AN207" s="1532"/>
      <c r="AO207" s="1265" cm="1" t="str">
        <f t="array" ref="AO207:AO207">AO206</f>
        <v>ТЭ.42.26824396.0005</v>
      </c>
      <c r="AP207" s="1258"/>
      <c r="AQ207" s="1258"/>
      <c r="AR207" s="1258"/>
      <c r="AS207" s="1258"/>
      <c r="AT207" s="1258"/>
      <c r="AU207" s="1258"/>
      <c r="AV207" s="1258"/>
      <c r="AW207" s="1258"/>
      <c r="AX207" s="1258"/>
      <c r="AY207" s="1258"/>
      <c r="AZ207" s="1258"/>
      <c r="BA207" s="1258"/>
      <c r="BB207" s="1258"/>
      <c r="BC207" s="1258" t="s">
        <v>320</v>
      </c>
      <c r="BD207" s="1258"/>
      <c r="BE207" s="1258"/>
    </row>
    <row s="1619" customFormat="1" customHeight="1" ht="26.25" hidden="1">
      <c r="A208" s="1440"/>
      <c r="B208" s="924"/>
      <c r="C208" s="1440"/>
      <c r="D208" s="1440"/>
      <c r="E208" s="794">
        <v>0</v>
      </c>
      <c r="F208" s="962"/>
      <c r="G208" s="919" cm="1" t="str">
        <f t="array" ref="G208:G208">G207</f>
        <v>2</v>
      </c>
      <c r="H208" s="1440"/>
      <c r="I208" s="1440"/>
      <c r="J208" s="1440"/>
      <c r="K208" s="1440"/>
      <c r="L208" s="1440"/>
      <c r="M208" s="1440"/>
      <c r="N208" s="1440"/>
      <c r="O208" s="1440"/>
      <c r="P208" s="1440"/>
      <c r="Q208" s="1440"/>
      <c r="R208" s="1440"/>
      <c r="S208" s="1256" t="s">
        <v>111</v>
      </c>
      <c r="T208" s="1257" t="s">
        <v>112</v>
      </c>
      <c r="U208" s="1440"/>
      <c r="V208" s="1440"/>
      <c r="W208" s="816" t="b">
        <v>0</v>
      </c>
      <c r="X208" s="1440"/>
      <c r="Y208" s="1440"/>
      <c r="Z208" s="1440"/>
      <c r="AA208" s="817"/>
      <c r="AB208" s="47"/>
      <c r="AC208" s="48"/>
      <c r="AD208" s="181" t="s">
        <v>321</v>
      </c>
      <c r="AE208" s="472"/>
      <c r="AF208" s="1441"/>
      <c r="AG208" s="1532"/>
      <c r="AH208" s="1532"/>
      <c r="AI208" s="1532"/>
      <c r="AJ208" s="1532"/>
      <c r="AK208" s="1532"/>
      <c r="AL208" s="1532"/>
      <c r="AM208" s="1532"/>
      <c r="AN208" s="1532"/>
      <c r="AO208" s="1265" cm="1" t="str">
        <f t="array" ref="AO208:AO208">AO207</f>
        <v>ТЭ.42.26824396.0005</v>
      </c>
      <c r="AP208" s="1258"/>
      <c r="AQ208" s="1258"/>
      <c r="AR208" s="1258"/>
      <c r="AS208" s="1258"/>
      <c r="AT208" s="1258"/>
      <c r="AU208" s="1258"/>
      <c r="AV208" s="1258"/>
      <c r="AW208" s="1258"/>
      <c r="AX208" s="1258"/>
      <c r="AY208" s="1258"/>
      <c r="AZ208" s="1258"/>
      <c r="BA208" s="1258"/>
      <c r="BB208" s="1258"/>
      <c r="BC208" s="1258"/>
      <c r="BD208" s="1258"/>
      <c r="BE208" s="1258"/>
    </row>
    <row s="1619" customFormat="1" customHeight="1" ht="25.5">
      <c r="A209" s="1440"/>
      <c r="B209" s="924"/>
      <c r="C209" s="1440"/>
      <c r="D209" s="1440"/>
      <c r="E209" s="794">
        <v>26.3</v>
      </c>
      <c r="F209" s="962"/>
      <c r="G209" s="919" cm="1" t="str">
        <f t="array" ref="G209:G209">G208</f>
        <v>2</v>
      </c>
      <c r="H209" s="1440"/>
      <c r="I209" s="1440"/>
      <c r="J209" s="1440"/>
      <c r="K209" s="1440"/>
      <c r="L209" s="1440"/>
      <c r="M209" s="1440"/>
      <c r="N209" s="1440"/>
      <c r="O209" s="1440"/>
      <c r="P209" s="1440"/>
      <c r="Q209" s="1440"/>
      <c r="R209" s="1440"/>
      <c r="S209" s="1256" t="s">
        <v>214</v>
      </c>
      <c r="T209" s="1257" t="s">
        <v>215</v>
      </c>
      <c r="U209" s="1440"/>
      <c r="V209" s="1440"/>
      <c r="W209" s="816" cm="1" t="str">
        <f t="array" ref="W209:W209">W207</f>
        <v>true</v>
      </c>
      <c r="X209" s="1440"/>
      <c r="Y209" s="1440"/>
      <c r="Z209" s="1440"/>
      <c r="AA209" s="817"/>
      <c r="AB209" s="1620"/>
      <c r="AC209" s="1621"/>
      <c r="AD209" s="181" t="s">
        <v>322</v>
      </c>
      <c r="AE209" s="1613" t="s">
        <v>341</v>
      </c>
      <c r="AF209" s="1441"/>
      <c r="AG209" s="1532"/>
      <c r="AH209" s="1532"/>
      <c r="AI209" s="1532"/>
      <c r="AJ209" s="1532"/>
      <c r="AK209" s="1532"/>
      <c r="AL209" s="1532"/>
      <c r="AM209" s="1532"/>
      <c r="AN209" s="1532"/>
      <c r="AO209" s="1265" cm="1" t="str">
        <f t="array" ref="AO209:AO209">AO208</f>
        <v>ТЭ.42.26824396.0005</v>
      </c>
      <c r="AP209" s="1258"/>
      <c r="AQ209" s="1258"/>
      <c r="AR209" s="1258"/>
      <c r="AS209" s="1258"/>
      <c r="AT209" s="1258"/>
      <c r="AU209" s="1258"/>
      <c r="AV209" s="1258"/>
      <c r="AW209" s="1258"/>
      <c r="AX209" s="1258"/>
      <c r="AY209" s="1258"/>
      <c r="AZ209" s="1258"/>
      <c r="BA209" s="1258"/>
      <c r="BB209" s="1258"/>
      <c r="BC209" s="1258"/>
      <c r="BD209" s="1258"/>
      <c r="BE209" s="1258"/>
    </row>
    <row s="1619" customFormat="1" customHeight="1" ht="19.5">
      <c r="A210" s="1440"/>
      <c r="B210" s="924"/>
      <c r="C210" s="1440"/>
      <c r="D210" s="1440"/>
      <c r="E210" s="794">
        <v>20.4</v>
      </c>
      <c r="F210" s="962"/>
      <c r="G210" s="919" cm="1" t="str">
        <f t="array" ref="G210:G210">G209</f>
        <v>2</v>
      </c>
      <c r="H210" s="1440"/>
      <c r="I210" s="1440"/>
      <c r="J210" s="1440"/>
      <c r="K210" s="1440"/>
      <c r="L210" s="1440"/>
      <c r="M210" s="1440"/>
      <c r="N210" s="1440"/>
      <c r="O210" s="1440"/>
      <c r="P210" s="1440"/>
      <c r="Q210" s="1440"/>
      <c r="R210" s="1440"/>
      <c r="S210" s="1256" t="s">
        <v>111</v>
      </c>
      <c r="T210" s="1257" t="s">
        <v>112</v>
      </c>
      <c r="U210" s="1440"/>
      <c r="V210" s="1440"/>
      <c r="W210" s="816" cm="1" t="str">
        <f t="array" ref="W210:W210">W209</f>
        <v>true</v>
      </c>
      <c r="X210" s="1440"/>
      <c r="Y210" s="1440"/>
      <c r="Z210" s="1440"/>
      <c r="AA210" s="817"/>
      <c r="AB210" s="1620"/>
      <c r="AC210" s="1621"/>
      <c r="AD210" s="181" t="s">
        <v>323</v>
      </c>
      <c r="AE210" s="1114" t="s">
        <v>342</v>
      </c>
      <c r="AF210" s="1441"/>
      <c r="AG210" s="1532"/>
      <c r="AH210" s="1532"/>
      <c r="AI210" s="1532"/>
      <c r="AJ210" s="1532"/>
      <c r="AK210" s="1532"/>
      <c r="AL210" s="1532"/>
      <c r="AM210" s="1532"/>
      <c r="AN210" s="1532"/>
      <c r="AO210" s="1265" cm="1" t="str">
        <f t="array" ref="AO210:AO210">AO209</f>
        <v>ТЭ.42.26824396.0005</v>
      </c>
      <c r="AP210" s="1258"/>
      <c r="AQ210" s="1258"/>
      <c r="AR210" s="1258" t="s">
        <v>324</v>
      </c>
      <c r="AS210" s="1258"/>
      <c r="AT210" s="1258"/>
      <c r="AU210" s="1258"/>
      <c r="AV210" s="1258"/>
      <c r="AW210" s="1258"/>
      <c r="AX210" s="1258"/>
      <c r="AY210" s="1258"/>
      <c r="AZ210" s="1258"/>
      <c r="BA210" s="1258"/>
      <c r="BB210" s="1258"/>
      <c r="BC210" s="1258"/>
      <c r="BD210" s="1258"/>
      <c r="BE210" s="1258"/>
    </row>
    <row s="1619" customFormat="1" customHeight="1" ht="19.5">
      <c r="A211" s="1440"/>
      <c r="B211" s="954">
        <f>org_declaration="Заявление организации"</f>
        <v>1</v>
      </c>
      <c r="C211" s="1440"/>
      <c r="D211" s="1440"/>
      <c r="E211" s="794">
        <v>20.4</v>
      </c>
      <c r="F211" s="962"/>
      <c r="G211" s="919" cm="1" t="str">
        <f t="array" ref="G211:G211">G210</f>
        <v>2</v>
      </c>
      <c r="H211" s="1440"/>
      <c r="I211" s="1440"/>
      <c r="J211" s="1440"/>
      <c r="K211" s="1440"/>
      <c r="L211" s="1440"/>
      <c r="M211" s="1440"/>
      <c r="N211" s="1440"/>
      <c r="O211" s="1440"/>
      <c r="P211" s="1440"/>
      <c r="Q211" s="1440"/>
      <c r="R211" s="1440"/>
      <c r="S211" s="1256" t="s">
        <v>111</v>
      </c>
      <c r="T211" s="1257" t="s">
        <v>112</v>
      </c>
      <c r="U211" s="1440"/>
      <c r="V211" s="1440"/>
      <c r="W211" s="816" cm="1" t="str">
        <f t="array" ref="W211:W211">W210</f>
        <v>true</v>
      </c>
      <c r="X211" s="1440"/>
      <c r="Y211" s="1440"/>
      <c r="Z211" s="1440"/>
      <c r="AA211" s="817"/>
      <c r="AB211" s="1620"/>
      <c r="AC211" s="1621"/>
      <c r="AD211" s="446" t="s">
        <v>325</v>
      </c>
      <c r="AE211" s="1625"/>
      <c r="AF211" s="1441"/>
      <c r="AG211" s="1532"/>
      <c r="AH211" s="1532"/>
      <c r="AI211" s="1532"/>
      <c r="AJ211" s="1532"/>
      <c r="AK211" s="1532"/>
      <c r="AL211" s="1532"/>
      <c r="AM211" s="1532"/>
      <c r="AN211" s="1532"/>
      <c r="AO211" s="1265" cm="1" t="str">
        <f t="array" ref="AO211:AO211">AO210</f>
        <v>ТЭ.42.26824396.0005</v>
      </c>
      <c r="AP211" s="1258"/>
      <c r="AQ211" s="1258"/>
      <c r="AR211" s="1258" t="s">
        <v>326</v>
      </c>
      <c r="AS211" s="1258"/>
      <c r="AT211" s="1258"/>
      <c r="AU211" s="1258"/>
      <c r="AV211" s="1258"/>
      <c r="AW211" s="1258"/>
      <c r="AX211" s="1258"/>
      <c r="AY211" s="1258"/>
      <c r="AZ211" s="1258"/>
      <c r="BA211" s="1258"/>
      <c r="BB211" s="1258"/>
      <c r="BC211" s="1258"/>
      <c r="BD211" s="1258"/>
      <c r="BE211" s="1258"/>
    </row>
    <row s="1619" customFormat="1" customHeight="1" ht="19.5">
      <c r="A212" s="1440"/>
      <c r="B212" s="954">
        <f>org_declaration="Заявление организации"</f>
        <v>1</v>
      </c>
      <c r="C212" s="1440"/>
      <c r="D212" s="1440"/>
      <c r="E212" s="794">
        <v>20.4</v>
      </c>
      <c r="F212" s="962"/>
      <c r="G212" s="919" cm="1" t="str">
        <f t="array" ref="G212:G212">G211</f>
        <v>2</v>
      </c>
      <c r="H212" s="1440"/>
      <c r="I212" s="1440"/>
      <c r="J212" s="1440"/>
      <c r="K212" s="1440"/>
      <c r="L212" s="1440"/>
      <c r="M212" s="1440"/>
      <c r="N212" s="1440"/>
      <c r="O212" s="1440"/>
      <c r="P212" s="1440"/>
      <c r="Q212" s="1440"/>
      <c r="R212" s="1440"/>
      <c r="S212" s="1256" t="s">
        <v>111</v>
      </c>
      <c r="T212" s="1257" t="s">
        <v>112</v>
      </c>
      <c r="U212" s="1440"/>
      <c r="V212" s="1440"/>
      <c r="W212" s="816" cm="1" t="str">
        <f t="array" ref="W212:W212">W211</f>
        <v>true</v>
      </c>
      <c r="X212" s="1440"/>
      <c r="Y212" s="1440"/>
      <c r="Z212" s="1440"/>
      <c r="AA212" s="817"/>
      <c r="AB212" s="1620"/>
      <c r="AC212" s="1621"/>
      <c r="AD212" s="446" t="s">
        <v>327</v>
      </c>
      <c r="AE212" s="1626"/>
      <c r="AF212" s="1441"/>
      <c r="AG212" s="1532"/>
      <c r="AH212" s="1532"/>
      <c r="AI212" s="1532"/>
      <c r="AJ212" s="1532"/>
      <c r="AK212" s="1532"/>
      <c r="AL212" s="1532"/>
      <c r="AM212" s="1532"/>
      <c r="AN212" s="1532"/>
      <c r="AO212" s="1265" cm="1" t="str">
        <f t="array" ref="AO212:AO212">AO211</f>
        <v>ТЭ.42.26824396.0005</v>
      </c>
      <c r="AP212" s="1258"/>
      <c r="AQ212" s="1258"/>
      <c r="AR212" s="1258" t="s">
        <v>328</v>
      </c>
      <c r="AS212" s="1258"/>
      <c r="AT212" s="1258"/>
      <c r="AU212" s="1258"/>
      <c r="AV212" s="1258"/>
      <c r="AW212" s="1258"/>
      <c r="AX212" s="1258"/>
      <c r="AY212" s="1258"/>
      <c r="AZ212" s="1258"/>
      <c r="BA212" s="1258"/>
      <c r="BB212" s="1258"/>
      <c r="BC212" s="1258"/>
      <c r="BD212" s="1258"/>
      <c r="BE212" s="1258"/>
    </row>
    <row s="1619" customFormat="1" customHeight="1" ht="19.5">
      <c r="A213" s="1440"/>
      <c r="B213" s="954">
        <f>org_declaration="Заявление организации"</f>
        <v>1</v>
      </c>
      <c r="C213" s="1440"/>
      <c r="D213" s="1440"/>
      <c r="E213" s="794">
        <v>20.4</v>
      </c>
      <c r="F213" s="962"/>
      <c r="G213" s="919" cm="1" t="str">
        <f t="array" ref="G213:G213">G212</f>
        <v>2</v>
      </c>
      <c r="H213" s="1440"/>
      <c r="I213" s="1440"/>
      <c r="J213" s="1440"/>
      <c r="K213" s="1440"/>
      <c r="L213" s="1440"/>
      <c r="M213" s="1440"/>
      <c r="N213" s="1440"/>
      <c r="O213" s="1440"/>
      <c r="P213" s="1440"/>
      <c r="Q213" s="1440"/>
      <c r="R213" s="1440"/>
      <c r="S213" s="1256" t="s">
        <v>111</v>
      </c>
      <c r="T213" s="1257" t="s">
        <v>112</v>
      </c>
      <c r="U213" s="1440"/>
      <c r="V213" s="1440"/>
      <c r="W213" s="816" cm="1" t="str">
        <f t="array" ref="W213:W213">W212</f>
        <v>true</v>
      </c>
      <c r="X213" s="1440"/>
      <c r="Y213" s="1440"/>
      <c r="Z213" s="1440"/>
      <c r="AA213" s="817"/>
      <c r="AB213" s="1620"/>
      <c r="AC213" s="1621"/>
      <c r="AD213" s="446" t="s">
        <v>329</v>
      </c>
      <c r="AE213" s="1625"/>
      <c r="AF213" s="1441"/>
      <c r="AG213" s="1532"/>
      <c r="AH213" s="1532"/>
      <c r="AI213" s="1532"/>
      <c r="AJ213" s="1532"/>
      <c r="AK213" s="1532"/>
      <c r="AL213" s="1532"/>
      <c r="AM213" s="1532"/>
      <c r="AN213" s="1532"/>
      <c r="AO213" s="1265" cm="1" t="str">
        <f t="array" ref="AO213:AO213">AO212</f>
        <v>ТЭ.42.26824396.0005</v>
      </c>
      <c r="AP213" s="1258"/>
      <c r="AQ213" s="1258"/>
      <c r="AR213" s="1258" t="s">
        <v>330</v>
      </c>
      <c r="AS213" s="1258"/>
      <c r="AT213" s="1258"/>
      <c r="AU213" s="1258"/>
      <c r="AV213" s="1258"/>
      <c r="AW213" s="1258"/>
      <c r="AX213" s="1258"/>
      <c r="AY213" s="1258"/>
      <c r="AZ213" s="1258"/>
      <c r="BA213" s="1258"/>
      <c r="BB213" s="1258"/>
      <c r="BC213" s="1258"/>
      <c r="BD213" s="1258"/>
      <c r="BE213" s="1258"/>
    </row>
    <row s="1619" customFormat="1" customHeight="1" ht="19.5">
      <c r="A214" s="1440"/>
      <c r="B214" s="954">
        <f>org_declaration="Заявление организации"</f>
        <v>1</v>
      </c>
      <c r="C214" s="1440"/>
      <c r="D214" s="1440"/>
      <c r="E214" s="794">
        <v>20.4</v>
      </c>
      <c r="F214" s="962"/>
      <c r="G214" s="919" cm="1" t="str">
        <f t="array" ref="G214:G214">G213</f>
        <v>2</v>
      </c>
      <c r="H214" s="1440"/>
      <c r="I214" s="1440"/>
      <c r="J214" s="1440"/>
      <c r="K214" s="1440"/>
      <c r="L214" s="1440"/>
      <c r="M214" s="1440"/>
      <c r="N214" s="1440"/>
      <c r="O214" s="1440"/>
      <c r="P214" s="1440"/>
      <c r="Q214" s="1440"/>
      <c r="R214" s="1440"/>
      <c r="S214" s="1256" t="s">
        <v>111</v>
      </c>
      <c r="T214" s="1257" t="s">
        <v>112</v>
      </c>
      <c r="U214" s="1440"/>
      <c r="V214" s="1440"/>
      <c r="W214" s="816" cm="1" t="str">
        <f t="array" ref="W214:W214">W213</f>
        <v>true</v>
      </c>
      <c r="X214" s="1440"/>
      <c r="Y214" s="1440"/>
      <c r="Z214" s="1440"/>
      <c r="AA214" s="817"/>
      <c r="AB214" s="1620"/>
      <c r="AC214" s="1621"/>
      <c r="AD214" s="446" t="s">
        <v>331</v>
      </c>
      <c r="AE214" s="1612" t="str">
        <f>IF(AE$24="","",DATE(AE$24,1,1))</f>
        <v>46023</v>
      </c>
      <c r="AF214" s="1441"/>
      <c r="AG214" s="1532"/>
      <c r="AH214" s="1532"/>
      <c r="AI214" s="1532"/>
      <c r="AJ214" s="1532"/>
      <c r="AK214" s="1532"/>
      <c r="AL214" s="1532"/>
      <c r="AM214" s="1532"/>
      <c r="AN214" s="1532"/>
      <c r="AO214" s="1265" cm="1" t="str">
        <f t="array" ref="AO214:AO214">AO213</f>
        <v>ТЭ.42.26824396.0005</v>
      </c>
      <c r="AP214" s="1258"/>
      <c r="AQ214" s="1258"/>
      <c r="AR214" s="1258"/>
      <c r="AS214" s="1258"/>
      <c r="AT214" s="1258"/>
      <c r="AU214" s="1258"/>
      <c r="AV214" s="1258"/>
      <c r="AW214" s="1258"/>
      <c r="AX214" s="1258"/>
      <c r="AY214" s="1258"/>
      <c r="AZ214" s="1258" t="s">
        <v>332</v>
      </c>
      <c r="BA214" s="1258"/>
      <c r="BB214" s="1258"/>
      <c r="BC214" s="1258"/>
      <c r="BD214" s="1258"/>
      <c r="BE214" s="1258"/>
    </row>
    <row s="1619" customFormat="1" customHeight="1" ht="19.5">
      <c r="A215" s="1440"/>
      <c r="B215" s="954">
        <f>org_declaration="Заявление организации"</f>
        <v>1</v>
      </c>
      <c r="C215" s="1440"/>
      <c r="D215" s="1440"/>
      <c r="E215" s="794">
        <v>20.4</v>
      </c>
      <c r="F215" s="962"/>
      <c r="G215" s="919" cm="1" t="str">
        <f t="array" ref="G215:G215">G213</f>
        <v>2</v>
      </c>
      <c r="H215" s="1440"/>
      <c r="I215" s="1440"/>
      <c r="J215" s="1440"/>
      <c r="K215" s="1440"/>
      <c r="L215" s="1440"/>
      <c r="M215" s="1440"/>
      <c r="N215" s="1440"/>
      <c r="O215" s="1440"/>
      <c r="P215" s="1440"/>
      <c r="Q215" s="1440"/>
      <c r="R215" s="1440"/>
      <c r="S215" s="1256" t="s">
        <v>111</v>
      </c>
      <c r="T215" s="1257" t="s">
        <v>112</v>
      </c>
      <c r="U215" s="1440"/>
      <c r="V215" s="1440"/>
      <c r="W215" s="816" cm="1" t="str">
        <f t="array" ref="W215:W215">W213</f>
        <v>true</v>
      </c>
      <c r="X215" s="1440"/>
      <c r="Y215" s="1440"/>
      <c r="Z215" s="1440"/>
      <c r="AA215" s="817"/>
      <c r="AB215" s="1620"/>
      <c r="AC215" s="1621"/>
      <c r="AD215" s="446" t="s">
        <v>333</v>
      </c>
      <c r="AE215" s="1627" cm="1" t="str">
        <f t="array" ref="AE215:AE215">IF(method_reg="","",method_reg)</f>
        <v>Метод индексации</v>
      </c>
      <c r="AF215" s="1441"/>
      <c r="AG215" s="1532"/>
      <c r="AH215" s="1532"/>
      <c r="AI215" s="1532"/>
      <c r="AJ215" s="1532"/>
      <c r="AK215" s="1532"/>
      <c r="AL215" s="1532"/>
      <c r="AM215" s="1532"/>
      <c r="AN215" s="1532"/>
      <c r="AO215" s="1265" cm="1" t="str">
        <f t="array" ref="AO215:AO215">AO214</f>
        <v>ТЭ.42.26824396.0005</v>
      </c>
      <c r="AP215" s="1258"/>
      <c r="AQ215" s="1258"/>
      <c r="AR215" s="1258" t="s">
        <v>334</v>
      </c>
      <c r="AS215" s="1258"/>
      <c r="AT215" s="1258"/>
      <c r="AU215" s="1258"/>
      <c r="AV215" s="1258"/>
      <c r="AW215" s="1258"/>
      <c r="AX215" s="1258"/>
      <c r="AY215" s="1258"/>
      <c r="AZ215" s="1258"/>
      <c r="BA215" s="1258"/>
      <c r="BB215" s="1258"/>
      <c r="BC215" s="1258"/>
      <c r="BD215" s="1258"/>
      <c r="BE215" s="1258"/>
    </row>
    <row s="1619" customFormat="1" customHeight="1" ht="21.75">
      <c r="A216" s="1440"/>
      <c r="B216" s="954">
        <f>AND(org_declaration="Заявление организации",AE215&lt;&gt;"Метод экономически обоснованных расходов")</f>
        <v>1</v>
      </c>
      <c r="C216" s="1440"/>
      <c r="D216" s="1440"/>
      <c r="E216" s="794">
        <v>22.8</v>
      </c>
      <c r="F216" s="962"/>
      <c r="G216" s="919" cm="1" t="str">
        <f t="array" ref="G216:G216">G215</f>
        <v>2</v>
      </c>
      <c r="H216" s="1440"/>
      <c r="I216" s="1440"/>
      <c r="J216" s="1440"/>
      <c r="K216" s="1440"/>
      <c r="L216" s="1440"/>
      <c r="M216" s="1440"/>
      <c r="N216" s="1440"/>
      <c r="O216" s="1440"/>
      <c r="P216" s="1440"/>
      <c r="Q216" s="1440"/>
      <c r="R216" s="1440"/>
      <c r="S216" s="1256" t="s">
        <v>119</v>
      </c>
      <c r="T216" s="1257" t="s">
        <v>120</v>
      </c>
      <c r="U216" s="1440"/>
      <c r="V216" s="1440"/>
      <c r="W216" s="816" cm="1" t="str">
        <f t="array" ref="W216:W216">W215</f>
        <v>true</v>
      </c>
      <c r="X216" s="1440"/>
      <c r="Y216" s="1440"/>
      <c r="Z216" s="1440"/>
      <c r="AA216" s="817"/>
      <c r="AB216" s="1620"/>
      <c r="AC216" s="1621"/>
      <c r="AD216" s="181" t="str">
        <f>IF(OR(AE215="экономически обоснованных расходов (затрат)",AE215="сравнения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6" s="1628" cm="1" t="str">
        <f t="array" ref="AE216:AE216">IF(first_year="","",first_year)</f>
        <v>2026</v>
      </c>
      <c r="AF216" s="1441"/>
      <c r="AG216" s="1532"/>
      <c r="AH216" s="1532"/>
      <c r="AI216" s="1532"/>
      <c r="AJ216" s="1532"/>
      <c r="AK216" s="1532"/>
      <c r="AL216" s="1532"/>
      <c r="AM216" s="1532"/>
      <c r="AN216" s="1532"/>
      <c r="AO216" s="1265" cm="1" t="str">
        <f t="array" ref="AO216:AO216">AO215</f>
        <v>ТЭ.42.26824396.0005</v>
      </c>
      <c r="AP216" s="1258"/>
      <c r="AQ216" s="1258"/>
      <c r="AR216" s="1258" t="s">
        <v>334</v>
      </c>
      <c r="AS216" s="1258" t="s">
        <v>124</v>
      </c>
      <c r="AT216" s="1258"/>
      <c r="AU216" s="1258"/>
      <c r="AV216" s="1258"/>
      <c r="AW216" s="1258"/>
      <c r="AX216" s="1258"/>
      <c r="AY216" s="1258"/>
      <c r="AZ216" s="1258"/>
      <c r="BA216" s="1258"/>
      <c r="BB216" s="1258"/>
      <c r="BC216" s="1258"/>
      <c r="BD216" s="1258"/>
      <c r="BE216" s="1258"/>
    </row>
    <row s="1619" customFormat="1" customHeight="1" ht="19.5">
      <c r="A217" s="1440"/>
      <c r="B217" s="954">
        <f>AND(org_declaration="Заявление организации",AE215&lt;&gt;"Метод экономически обоснованных расходов")</f>
        <v>1</v>
      </c>
      <c r="C217" s="1440"/>
      <c r="D217" s="1440"/>
      <c r="E217" s="794">
        <v>20.4</v>
      </c>
      <c r="F217" s="962"/>
      <c r="G217" s="919" cm="1" t="str">
        <f t="array" ref="G217:G217">G216</f>
        <v>2</v>
      </c>
      <c r="H217" s="1440"/>
      <c r="I217" s="1440"/>
      <c r="J217" s="1440"/>
      <c r="K217" s="1440"/>
      <c r="L217" s="1440"/>
      <c r="M217" s="1440"/>
      <c r="N217" s="1440"/>
      <c r="O217" s="1440"/>
      <c r="P217" s="1440"/>
      <c r="Q217" s="1440"/>
      <c r="R217" s="1440"/>
      <c r="S217" s="1256" t="s">
        <v>125</v>
      </c>
      <c r="T217" s="1257" t="s">
        <v>126</v>
      </c>
      <c r="U217" s="1440"/>
      <c r="V217" s="1440"/>
      <c r="W217" s="816" cm="1" t="str">
        <f t="array" ref="W217:W217">W216</f>
        <v>true</v>
      </c>
      <c r="X217" s="1440"/>
      <c r="Y217" s="1440"/>
      <c r="Z217" s="1440"/>
      <c r="AA217" s="817"/>
      <c r="AB217" s="1620"/>
      <c r="AC217" s="1621"/>
      <c r="AD217" s="446" t="s">
        <v>127</v>
      </c>
      <c r="AE217" s="1628" cm="1" t="str">
        <f t="array" ref="AE217:AE217">IF(PERIOD_LENGTH="","",PERIOD_LENGTH)</f>
        <v>5</v>
      </c>
      <c r="AF217" s="1441"/>
      <c r="AG217" s="1532"/>
      <c r="AH217" s="1532"/>
      <c r="AI217" s="1532"/>
      <c r="AJ217" s="1532"/>
      <c r="AK217" s="1532"/>
      <c r="AL217" s="1532"/>
      <c r="AM217" s="1532"/>
      <c r="AN217" s="1532"/>
      <c r="AO217" s="1265" cm="1" t="str">
        <f t="array" ref="AO217:AO217">AO216</f>
        <v>ТЭ.42.26824396.0005</v>
      </c>
      <c r="AP217" s="1258"/>
      <c r="AQ217" s="1258"/>
      <c r="AR217" s="1258" t="s">
        <v>334</v>
      </c>
      <c r="AS217" s="1258" t="s">
        <v>128</v>
      </c>
      <c r="AT217" s="1258"/>
      <c r="AU217" s="1258"/>
      <c r="AV217" s="1258"/>
      <c r="AW217" s="1258"/>
      <c r="AX217" s="1258"/>
      <c r="AY217" s="1258"/>
      <c r="AZ217" s="1258"/>
      <c r="BA217" s="1258"/>
      <c r="BB217" s="1258"/>
      <c r="BC217" s="1258"/>
      <c r="BD217" s="1258"/>
      <c r="BE217" s="1258"/>
    </row>
    <row customHeight="1" ht="19.89">
      <c r="E218" s="794">
        <v>20.4</v>
      </c>
      <c r="X218" s="371" t="s">
        <v>346</v>
      </c>
      <c r="AB218" s="1415"/>
      <c r="AC218" s="1415"/>
      <c r="AD218" s="1121" t="s">
        <v>347</v>
      </c>
      <c r="AE218" s="337"/>
      <c r="AF218" s="424"/>
      <c r="AI218" s="234"/>
    </row>
    <row customHeight="1" ht="19.89">
      <c r="E219" s="794">
        <v>20.4</v>
      </c>
      <c r="S219" s="1256" t="s">
        <v>111</v>
      </c>
      <c r="T219" s="1257" t="s">
        <v>112</v>
      </c>
      <c r="AB219" s="1447" t="s">
        <v>348</v>
      </c>
      <c r="AC219" s="1448"/>
      <c r="AD219" s="446" t="s">
        <v>349</v>
      </c>
      <c r="AE219" s="420" t="s">
        <v>350</v>
      </c>
      <c r="AF219" s="429"/>
      <c r="AG219" s="152" t="s">
        <v>351</v>
      </c>
      <c r="AO219" s="1258"/>
      <c r="AP219" s="1258"/>
      <c r="AQ219" s="1258"/>
      <c r="AR219" s="1258"/>
      <c r="AS219" s="1258"/>
      <c r="AT219" s="1258"/>
      <c r="AU219" s="1258"/>
      <c r="AV219" s="1258"/>
      <c r="AW219" s="1258"/>
      <c r="AX219" s="1258"/>
      <c r="AY219" s="1258"/>
      <c r="AZ219" s="1258"/>
      <c r="BA219" s="1258"/>
      <c r="BB219" s="1258"/>
      <c r="BC219" s="1258"/>
      <c r="BD219" s="1258"/>
      <c r="BE219" s="1258" t="s">
        <v>352</v>
      </c>
    </row>
    <row customHeight="1" ht="19.89">
      <c r="E220" s="794">
        <v>20.4</v>
      </c>
      <c r="S220" s="1256" t="s">
        <v>111</v>
      </c>
      <c r="T220" s="1257" t="s">
        <v>112</v>
      </c>
      <c r="AB220" s="1447"/>
      <c r="AC220" s="1448"/>
      <c r="AD220" s="446" t="s">
        <v>353</v>
      </c>
      <c r="AE220" s="420" t="s">
        <v>354</v>
      </c>
      <c r="AF220" s="429"/>
      <c r="AG220" s="152" t="s">
        <v>355</v>
      </c>
      <c r="AO220" s="1258"/>
      <c r="AP220" s="1258"/>
      <c r="AQ220" s="1258"/>
      <c r="AR220" s="1258"/>
      <c r="AS220" s="1258"/>
      <c r="AT220" s="1258"/>
      <c r="AU220" s="1258"/>
      <c r="AV220" s="1258"/>
      <c r="AW220" s="1258"/>
      <c r="AX220" s="1258"/>
      <c r="AY220" s="1258"/>
      <c r="AZ220" s="1258"/>
      <c r="BA220" s="1258"/>
      <c r="BB220" s="1258"/>
      <c r="BC220" s="1258"/>
      <c r="BD220" s="1258"/>
      <c r="BE220" s="1258" t="s">
        <v>356</v>
      </c>
    </row>
    <row customHeight="1" ht="19.89">
      <c r="E221" s="794">
        <v>20.4</v>
      </c>
      <c r="S221" s="1256" t="s">
        <v>111</v>
      </c>
      <c r="T221" s="1257" t="s">
        <v>112</v>
      </c>
      <c r="AB221" s="1447"/>
      <c r="AC221" s="1448"/>
      <c r="AD221" s="446" t="s">
        <v>357</v>
      </c>
      <c r="AE221" s="420" t="s">
        <v>358</v>
      </c>
      <c r="AF221" s="429"/>
      <c r="AG221" s="152" t="s">
        <v>359</v>
      </c>
      <c r="AO221" s="1258"/>
      <c r="AP221" s="1258"/>
      <c r="AQ221" s="1258"/>
      <c r="AR221" s="1258"/>
      <c r="AS221" s="1258"/>
      <c r="AT221" s="1258"/>
      <c r="AU221" s="1258"/>
      <c r="AV221" s="1258"/>
      <c r="AW221" s="1258"/>
      <c r="AX221" s="1258"/>
      <c r="AY221" s="1258"/>
      <c r="AZ221" s="1258"/>
      <c r="BA221" s="1258"/>
      <c r="BB221" s="1258"/>
      <c r="BC221" s="1258"/>
      <c r="BD221" s="1258"/>
      <c r="BE221" s="1258" t="s">
        <v>360</v>
      </c>
    </row>
    <row customHeight="1" ht="19.89">
      <c r="E222" s="794">
        <v>20.4</v>
      </c>
      <c r="S222" s="1256" t="s">
        <v>111</v>
      </c>
      <c r="T222" s="1257" t="s">
        <v>112</v>
      </c>
      <c r="AB222" s="1447"/>
      <c r="AC222" s="1448"/>
      <c r="AD222" s="446" t="s">
        <v>361</v>
      </c>
      <c r="AE222" s="420" t="s">
        <v>362</v>
      </c>
      <c r="AF222" s="429"/>
      <c r="AG222" s="152" t="s">
        <v>363</v>
      </c>
      <c r="AO222" s="1258"/>
      <c r="AP222" s="1258"/>
      <c r="AQ222" s="1258"/>
      <c r="AR222" s="1258"/>
      <c r="AS222" s="1258"/>
      <c r="AT222" s="1258"/>
      <c r="AU222" s="1258"/>
      <c r="AV222" s="1258"/>
      <c r="AW222" s="1258"/>
      <c r="AX222" s="1258"/>
      <c r="AY222" s="1258"/>
      <c r="AZ222" s="1258"/>
      <c r="BA222" s="1258"/>
      <c r="BB222" s="1258"/>
      <c r="BC222" s="1258"/>
      <c r="BD222" s="1258"/>
      <c r="BE222" s="1258" t="s">
        <v>364</v>
      </c>
    </row>
    <row customHeight="1" ht="19.89">
      <c r="E223" s="794">
        <v>20.4</v>
      </c>
      <c r="S223" s="1256" t="s">
        <v>111</v>
      </c>
      <c r="T223" s="1257" t="s">
        <v>112</v>
      </c>
      <c r="AB223" s="1447"/>
      <c r="AC223" s="1448"/>
      <c r="AD223" s="446" t="s">
        <v>365</v>
      </c>
      <c r="AE223" s="420" t="s">
        <v>366</v>
      </c>
      <c r="AF223" s="429"/>
      <c r="AG223" s="152" t="s">
        <v>367</v>
      </c>
      <c r="AO223" s="1258"/>
      <c r="AP223" s="1258"/>
      <c r="AQ223" s="1258"/>
      <c r="AR223" s="1258"/>
      <c r="AS223" s="1258"/>
      <c r="AT223" s="1258"/>
      <c r="AU223" s="1258"/>
      <c r="AV223" s="1258"/>
      <c r="AW223" s="1258"/>
      <c r="AX223" s="1258"/>
      <c r="AY223" s="1258"/>
      <c r="AZ223" s="1258"/>
      <c r="BA223" s="1258"/>
      <c r="BB223" s="1258"/>
      <c r="BC223" s="1258"/>
      <c r="BD223" s="1258"/>
      <c r="BE223" s="1258" t="s">
        <v>368</v>
      </c>
    </row>
    <row customHeight="1" ht="19.89" hidden="1">
      <c r="A224" s="1440"/>
      <c r="B224" s="924"/>
      <c r="C224" s="1440"/>
      <c r="D224" s="1440"/>
      <c r="E224" s="794">
        <v>20.4</v>
      </c>
      <c r="F224" s="962"/>
      <c r="G224" s="1440"/>
      <c r="H224" s="1440"/>
      <c r="I224" s="1440"/>
      <c r="J224" s="1440"/>
      <c r="K224" s="1440"/>
      <c r="L224" s="1440"/>
      <c r="M224" s="1440"/>
      <c r="N224" s="1440"/>
      <c r="O224" s="1440"/>
      <c r="P224" s="1440"/>
      <c r="Q224" s="1440"/>
      <c r="R224" s="1440"/>
      <c r="S224" s="1256" t="s">
        <v>111</v>
      </c>
      <c r="T224" s="1257" t="s">
        <v>112</v>
      </c>
      <c r="U224" s="1440"/>
      <c r="V224" s="1440"/>
      <c r="W224" s="816">
        <f>ROW(X224)&gt;ROW(X$224)</f>
        <v>0</v>
      </c>
      <c r="X224" s="176" t="s">
        <v>309</v>
      </c>
      <c r="Y224" s="1440"/>
      <c r="Z224" s="1440"/>
      <c r="AA224" s="817"/>
      <c r="AB224" s="1447"/>
      <c r="AC224" s="1448"/>
      <c r="AD224" s="1631"/>
      <c r="AE224" s="1602"/>
      <c r="AF224" s="747" t="s">
        <v>217</v>
      </c>
      <c r="AG224" s="1532"/>
      <c r="AH224" s="1532"/>
      <c r="AI224" s="1532"/>
      <c r="AJ224" s="1532"/>
      <c r="AK224" s="1532"/>
      <c r="AL224" s="1532"/>
      <c r="AM224" s="1532"/>
      <c r="AN224" s="1532"/>
      <c r="AO224" s="1265" cm="1" t="str">
        <f t="array" ref="AO224:AO224">AD224</f>
        <v>0</v>
      </c>
      <c r="AP224" s="1258"/>
      <c r="AQ224" s="1258"/>
      <c r="AR224" s="1258"/>
      <c r="AS224" s="1258"/>
      <c r="AT224" s="1258"/>
      <c r="AU224" s="1258"/>
      <c r="AV224" s="1258"/>
      <c r="AW224" s="1258"/>
      <c r="AX224" s="1258"/>
      <c r="AY224" s="1258"/>
      <c r="AZ224" s="1258"/>
      <c r="BA224" s="1258"/>
      <c r="BB224" s="1258"/>
      <c r="BC224" s="1258"/>
      <c r="BD224" s="1258"/>
      <c r="BE224" s="1258" t="s">
        <v>369</v>
      </c>
    </row>
    <row customHeight="1" ht="14.625">
      <c r="E225" s="794">
        <v>15</v>
      </c>
      <c r="X225" s="371" t="s">
        <v>234</v>
      </c>
      <c r="AB225" s="1447"/>
      <c r="AC225" s="1448"/>
      <c r="AD225" s="447" t="s">
        <v>370</v>
      </c>
      <c r="AE225" s="414"/>
      <c r="AF225" s="429"/>
    </row>
    <row customHeight="1" ht="19.89">
      <c r="E226" s="794">
        <v>20.4</v>
      </c>
      <c r="AB226" s="1447"/>
      <c r="AC226" s="1448"/>
      <c r="AD226" s="446" t="s">
        <v>371</v>
      </c>
      <c r="AE226" s="448" cm="1" t="str">
        <f t="array" ref="AE226:AE226">IF(ISBLANK(method_reg),"",method_reg)</f>
        <v>Метод индексации</v>
      </c>
      <c r="AF226" s="429"/>
    </row>
    <row customHeight="1" ht="19.89">
      <c r="E227" s="794">
        <v>20.4</v>
      </c>
      <c r="AB227" s="1447"/>
      <c r="AC227" s="1448"/>
      <c r="AD227" s="446" t="s">
        <v>121</v>
      </c>
      <c r="AE227" s="449" cm="1" t="str">
        <f t="array" ref="AE227:AE227">IF(ISBLANK(god),"",god)</f>
        <v>2026</v>
      </c>
      <c r="AF227" s="429"/>
    </row>
    <row customHeight="1" ht="19.89">
      <c r="E228" s="794">
        <v>20.4</v>
      </c>
      <c r="AB228" s="1447"/>
      <c r="AC228" s="1448"/>
      <c r="AD228" s="446" t="s">
        <v>123</v>
      </c>
      <c r="AE228" s="449" cm="1" t="str">
        <f t="array" ref="AE228:AE228">IF(ISBLANK(first_year),"",first_year)</f>
        <v>2026</v>
      </c>
      <c r="AF228" s="429"/>
    </row>
    <row customHeight="1" ht="19.89">
      <c r="E229" s="794">
        <v>20.4</v>
      </c>
      <c r="AB229" s="1449"/>
      <c r="AC229" s="1450"/>
      <c r="AD229" s="446" t="s">
        <v>127</v>
      </c>
      <c r="AE229" s="449" cm="1" t="str">
        <f t="array" ref="AE229:AE229">IF(ISBLANK(PERIOD_LENGTH),"",PERIOD_LENGTH)</f>
        <v>5</v>
      </c>
      <c r="AF229" s="429"/>
    </row>
    <row customHeight="1" ht="23.985000000000003">
      <c r="E230" s="794">
        <v>24.6</v>
      </c>
      <c r="S230" s="1256" t="s">
        <v>185</v>
      </c>
      <c r="T230" s="1257" t="s">
        <v>186</v>
      </c>
      <c r="AB230" s="1442" t="s">
        <v>372</v>
      </c>
      <c r="AC230" s="1443"/>
      <c r="AD230" s="1444"/>
      <c r="AE230" s="439" t="s">
        <v>205</v>
      </c>
      <c r="AF230" s="434"/>
      <c r="AO230" s="1258"/>
      <c r="AP230" s="1258"/>
      <c r="AQ230" s="1258"/>
      <c r="AR230" s="1258" t="s">
        <v>373</v>
      </c>
      <c r="AS230" s="1258"/>
      <c r="AT230" s="1258"/>
      <c r="AU230" s="1258"/>
      <c r="AV230" s="1258"/>
      <c r="AW230" s="1258"/>
      <c r="AX230" s="1258"/>
      <c r="AY230" s="1258"/>
      <c r="AZ230" s="1258"/>
      <c r="BA230" s="1258"/>
      <c r="BB230" s="1258"/>
      <c r="BC230" s="1258"/>
      <c r="BD230" s="1258"/>
      <c r="BE230" s="1258"/>
    </row>
    <row customHeight="1" ht="11.700000000000001">
      <c r="E231" s="794">
        <v>12</v>
      </c>
    </row>
    <row customHeight="1" ht="19.89">
      <c r="E232" s="794">
        <v>20.4</v>
      </c>
      <c r="S232" s="1256" t="s">
        <v>111</v>
      </c>
      <c r="T232" s="1257" t="s">
        <v>112</v>
      </c>
      <c r="AB232" s="1442" t="s">
        <v>374</v>
      </c>
      <c r="AC232" s="1443"/>
      <c r="AD232" s="1444"/>
      <c r="AE232" s="454"/>
      <c r="AO232" s="1258"/>
      <c r="AP232" s="1258"/>
      <c r="AQ232" s="1258"/>
      <c r="AR232" s="1258" t="s">
        <v>375</v>
      </c>
      <c r="AS232" s="1258"/>
      <c r="AT232" s="1258"/>
      <c r="AU232" s="1258"/>
      <c r="AV232" s="1258"/>
      <c r="AW232" s="1258"/>
      <c r="AX232" s="1258"/>
      <c r="AY232" s="1258"/>
      <c r="AZ232" s="1258"/>
      <c r="BA232" s="1258"/>
      <c r="BB232" s="1258"/>
      <c r="BC232" s="1258"/>
      <c r="BD232" s="1258"/>
      <c r="BE232" s="1258"/>
    </row>
    <row customHeight="1" ht="11.25">
      <c r="AF233" s="211"/>
    </row>
  </sheetData>
  <sheetProtection formatColumns="0" formatRows="0" insertRows="0" deleteColumns="0" deleteRows="0" sort="0" autoFilter="0" insertColumns="1"/>
  <mergeCells count="155">
    <mergeCell ref="AA78:AA82"/>
    <mergeCell ref="AB62:AD62"/>
    <mergeCell ref="AB78:AB82"/>
    <mergeCell ref="AC78:AD78"/>
    <mergeCell ref="AC79:AD79"/>
    <mergeCell ref="AC80:AD80"/>
    <mergeCell ref="AC81:AD81"/>
    <mergeCell ref="AC82:AD82"/>
    <mergeCell ref="AB219:AC229"/>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32:AD232"/>
    <mergeCell ref="AB230:AD230"/>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18"/>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 ref="Z202:Z217"/>
    <mergeCell ref="AF202:AF217"/>
  </mergeCells>
  <dataValidations count="15">
    <dataValidation type="list" allowBlank="1" showInputMessage="1" showErrorMessage="1" errorTitle="Внимание" error="Пожалуйста, выберите значение из списка!" sqref="AE53 AE96 AE72 AE84 AE110 AE124 AE139 AE64:AE65 AE230 AE165 AE56 AE58:AE60 AE232">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AE217">
      <formula1>period_list</formula1>
    </dataValidation>
    <dataValidation type="list" allowBlank="1" showInputMessage="1" showErrorMessage="1" sqref="AB218:AC218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AE216">
      <formula1>YEAR_LIST</formula1>
    </dataValidation>
    <dataValidation type="list" allowBlank="1" showInputMessage="1" showErrorMessage="1" errorTitle="Ошибка" error="Выберите значение из списка" prompt="Выберите значение из списка" sqref="AE174 AE190 AE206">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AE215">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AE205">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AE212 AE214">
      <formula1>21916</formula1>
      <formula2>54789</formula2>
    </dataValidation>
    <dataValidation type="list" allowBlank="1" showInputMessage="1" showErrorMessage="1" sqref="AE172 AE188 AE204">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23616B1A-0D06-3E0C-555E-9DCB9E7E7274}"/>
    <hyperlink ref="AE193" r:id="rId2" tooltip="https://prokopmo.ru/upload/iblock/18d/dpwms3pdf3eeslcf72zfqbwvp0x13rnr/%D0%BD%D0%BE%D0%B2%D0%BE%D0%B5%20%D0%9F%D0%BE%D1%81%D1%82%D0%B0%D0%BD%D0%BE%D0%B2%D0%BB%D0%B5%D0%BD%D0%B8%D0%B5%20%D0%BE%D1%82%2023.06.2025.docx" xr:uid="{3104DE68-A5B3-960D-29AF-7E30D7CFB08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132E8-B3FD-1CD8-57B8-7270BCEE95C4}"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4695</v>
      </c>
    </row>
    <row customHeight="1" ht="11.25">
      <c r="A2" s="0" t="s">
        <v>4696</v>
      </c>
      <c r="B2" s="0" t="s">
        <v>4697</v>
      </c>
    </row>
    <row customHeight="1" ht="11.25">
      <c r="A3" s="0" t="s">
        <v>4698</v>
      </c>
    </row>
    <row customHeight="1" ht="11.25">
      <c r="A4" s="0" t="s">
        <v>156</v>
      </c>
    </row>
    <row customHeight="1" ht="11.25">
      <c r="A5" s="0" t="s">
        <v>3351</v>
      </c>
    </row>
    <row customHeight="1" ht="11.25">
      <c r="A6" s="0" t="s">
        <v>3649</v>
      </c>
    </row>
    <row customHeight="1" ht="11.25">
      <c r="A7" s="0" t="s">
        <v>4699</v>
      </c>
    </row>
    <row customHeight="1" ht="11.25">
      <c r="A8" s="0" t="s">
        <v>4700</v>
      </c>
    </row>
    <row customHeight="1" ht="11.25">
      <c r="A9" s="0" t="s">
        <v>4701</v>
      </c>
    </row>
    <row customHeight="1" ht="11.25">
      <c r="A10" s="0" t="s">
        <v>4702</v>
      </c>
    </row>
    <row customHeight="1" ht="11.25">
      <c r="A11" s="0" t="s">
        <v>4703</v>
      </c>
    </row>
    <row customHeight="1" ht="11.25">
      <c r="A12" s="0" t="s">
        <v>4704</v>
      </c>
    </row>
    <row customHeight="1" ht="11.25">
      <c r="A13" s="0" t="s">
        <v>4705</v>
      </c>
    </row>
    <row customHeight="1" ht="11.25">
      <c r="A14" s="0" t="s">
        <v>4706</v>
      </c>
    </row>
    <row customHeight="1" ht="11.25">
      <c r="A15" s="0" t="s">
        <v>4707</v>
      </c>
    </row>
    <row customHeight="1" ht="11.25">
      <c r="A16" s="0" t="s">
        <v>4708</v>
      </c>
    </row>
    <row customHeight="1" ht="11.25">
      <c r="A17" s="0" t="s">
        <v>4709</v>
      </c>
    </row>
    <row customHeight="1" ht="11.25">
      <c r="A18" s="0" t="s">
        <v>4710</v>
      </c>
    </row>
    <row customHeight="1" ht="11.25">
      <c r="A19" s="0" t="s">
        <v>4711</v>
      </c>
    </row>
    <row customHeight="1" ht="11.25">
      <c r="A20" s="0" t="s">
        <v>4712</v>
      </c>
    </row>
    <row customHeight="1" ht="11.25">
      <c r="A21" s="0" t="s">
        <v>4713</v>
      </c>
    </row>
    <row customHeight="1" ht="11.25">
      <c r="A22" s="0" t="s">
        <v>4714</v>
      </c>
    </row>
    <row customHeight="1" ht="11.25">
      <c r="A23" s="0" t="s">
        <v>4715</v>
      </c>
    </row>
    <row customHeight="1" ht="11.25">
      <c r="A24" s="0" t="s">
        <v>4716</v>
      </c>
    </row>
    <row customHeight="1" ht="11.25">
      <c r="A25" s="0" t="s">
        <v>4717</v>
      </c>
    </row>
    <row customHeight="1" ht="11.25">
      <c r="A26" s="0" t="s">
        <v>4718</v>
      </c>
    </row>
    <row customHeight="1" ht="11.25">
      <c r="A27" s="0" t="s">
        <v>4719</v>
      </c>
    </row>
    <row customHeight="1" ht="11.25">
      <c r="A28" s="0" t="s">
        <v>4720</v>
      </c>
    </row>
    <row customHeight="1" ht="11.25">
      <c r="A29" s="0" t="s">
        <v>4721</v>
      </c>
    </row>
    <row customHeight="1" ht="11.25">
      <c r="A30" s="0" t="s">
        <v>4722</v>
      </c>
    </row>
    <row customHeight="1" ht="11.25">
      <c r="A31" s="0" t="s">
        <v>4723</v>
      </c>
    </row>
    <row customHeight="1" ht="11.25">
      <c r="A32" s="0" t="s">
        <v>4724</v>
      </c>
    </row>
    <row customHeight="1" ht="11.25">
      <c r="A33" s="0" t="s">
        <v>4725</v>
      </c>
    </row>
    <row customHeight="1" ht="11.25">
      <c r="A34" s="0" t="s">
        <v>4726</v>
      </c>
    </row>
    <row customHeight="1" ht="11.25">
      <c r="A35" s="0" t="s">
        <v>4727</v>
      </c>
    </row>
    <row customHeight="1" ht="11.25">
      <c r="A36" s="0" t="s">
        <v>4728</v>
      </c>
    </row>
    <row customHeight="1" ht="11.25">
      <c r="A37" s="0" t="s">
        <v>4729</v>
      </c>
    </row>
    <row customHeight="1" ht="11.25">
      <c r="A38" s="0" t="s">
        <v>4730</v>
      </c>
    </row>
    <row customHeight="1" ht="11.25">
      <c r="A39" s="0" t="s">
        <v>4731</v>
      </c>
    </row>
    <row customHeight="1" ht="11.25">
      <c r="A40" s="0" t="s">
        <v>4732</v>
      </c>
    </row>
    <row customHeight="1" ht="11.25">
      <c r="A41" s="0" t="s">
        <v>4733</v>
      </c>
    </row>
    <row customHeight="1" ht="11.25">
      <c r="A42" s="0" t="s">
        <v>4734</v>
      </c>
    </row>
    <row customHeight="1" ht="11.25">
      <c r="A43" s="0" t="s">
        <v>4735</v>
      </c>
    </row>
    <row customHeight="1" ht="11.25">
      <c r="A44" s="0" t="s">
        <v>4736</v>
      </c>
    </row>
    <row customHeight="1" ht="11.25">
      <c r="A45" s="0" t="s">
        <v>4737</v>
      </c>
    </row>
    <row customHeight="1" ht="11.25">
      <c r="A46" s="0" t="s">
        <v>4738</v>
      </c>
    </row>
    <row customHeight="1" ht="11.25">
      <c r="A47" s="0" t="s">
        <v>4739</v>
      </c>
    </row>
    <row customHeight="1" ht="11.25">
      <c r="A48" s="0" t="s">
        <v>4740</v>
      </c>
    </row>
    <row customHeight="1" ht="11.25">
      <c r="A49" s="0" t="s">
        <v>4741</v>
      </c>
    </row>
    <row customHeight="1" ht="11.25">
      <c r="A50" s="0" t="s">
        <v>4742</v>
      </c>
    </row>
    <row customHeight="1" ht="11.25">
      <c r="A51" s="0" t="s">
        <v>4743</v>
      </c>
    </row>
    <row customHeight="1" ht="11.25">
      <c r="A52" s="0" t="s">
        <v>4744</v>
      </c>
    </row>
    <row customHeight="1" ht="11.25">
      <c r="A53" s="0" t="s">
        <v>4745</v>
      </c>
    </row>
    <row customHeight="1" ht="11.25">
      <c r="A54" s="0" t="s">
        <v>4746</v>
      </c>
    </row>
    <row customHeight="1" ht="11.25">
      <c r="A55" s="0" t="s">
        <v>4747</v>
      </c>
    </row>
    <row customHeight="1" ht="11.25">
      <c r="A56" s="0" t="s">
        <v>4748</v>
      </c>
    </row>
    <row customHeight="1" ht="11.25">
      <c r="A57" s="0" t="s">
        <v>3857</v>
      </c>
    </row>
    <row customHeight="1" ht="11.25">
      <c r="A58" s="0" t="s">
        <v>4749</v>
      </c>
    </row>
    <row customHeight="1" ht="11.25">
      <c r="A59" s="0" t="s">
        <v>4750</v>
      </c>
    </row>
    <row customHeight="1" ht="11.25">
      <c r="A60" s="0" t="s">
        <v>4751</v>
      </c>
    </row>
    <row customHeight="1" ht="11.25">
      <c r="A61" s="0" t="s">
        <v>4752</v>
      </c>
    </row>
    <row customHeight="1" ht="11.25">
      <c r="A62" s="0" t="s">
        <v>4753</v>
      </c>
    </row>
    <row customHeight="1" ht="11.25">
      <c r="A63" s="0" t="s">
        <v>4754</v>
      </c>
    </row>
    <row customHeight="1" ht="11.25">
      <c r="A64" s="0" t="s">
        <v>4755</v>
      </c>
    </row>
    <row customHeight="1" ht="11.25">
      <c r="A65" s="0" t="s">
        <v>4756</v>
      </c>
    </row>
    <row customHeight="1" ht="11.25">
      <c r="A66" s="0" t="s">
        <v>4111</v>
      </c>
    </row>
    <row customHeight="1" ht="11.25">
      <c r="A67" s="0" t="s">
        <v>4757</v>
      </c>
    </row>
    <row customHeight="1" ht="11.25">
      <c r="A68" s="0" t="s">
        <v>4758</v>
      </c>
    </row>
    <row customHeight="1" ht="11.25">
      <c r="A69" s="0" t="s">
        <v>4759</v>
      </c>
    </row>
    <row customHeight="1" ht="11.25">
      <c r="A70" s="0" t="s">
        <v>4760</v>
      </c>
    </row>
    <row customHeight="1" ht="11.25">
      <c r="A71" s="0" t="s">
        <v>3482</v>
      </c>
    </row>
    <row customHeight="1" ht="11.25">
      <c r="A72" s="0" t="s">
        <v>4761</v>
      </c>
    </row>
    <row customHeight="1" ht="11.25">
      <c r="A73" s="0" t="s">
        <v>4762</v>
      </c>
    </row>
    <row customHeight="1" ht="11.25">
      <c r="A74" s="0" t="s">
        <v>3494</v>
      </c>
    </row>
    <row customHeight="1" ht="11.25">
      <c r="A75" s="0" t="s">
        <v>4763</v>
      </c>
    </row>
    <row customHeight="1" ht="11.25">
      <c r="A76" s="0" t="s">
        <v>4764</v>
      </c>
    </row>
    <row customHeight="1" ht="11.25">
      <c r="A77" s="0" t="s">
        <v>4765</v>
      </c>
    </row>
    <row customHeight="1" ht="11.25">
      <c r="A78" s="0" t="s">
        <v>4766</v>
      </c>
    </row>
    <row customHeight="1" ht="11.25">
      <c r="A79" s="0" t="s">
        <v>4767</v>
      </c>
    </row>
    <row customHeight="1" ht="11.25">
      <c r="A80" s="0" t="s">
        <v>4768</v>
      </c>
    </row>
    <row customHeight="1" ht="11.25">
      <c r="A81" s="0" t="s">
        <v>4769</v>
      </c>
    </row>
    <row customHeight="1" ht="11.25">
      <c r="A82" s="0" t="s">
        <v>4770</v>
      </c>
    </row>
    <row customHeight="1" ht="11.25">
      <c r="A83" s="0" t="s">
        <v>4771</v>
      </c>
    </row>
    <row customHeight="1" ht="11.25">
      <c r="A84" s="0" t="s">
        <v>4772</v>
      </c>
    </row>
    <row customHeight="1" ht="11.25">
      <c r="A85" s="0" t="s">
        <v>4688</v>
      </c>
    </row>
    <row customHeight="1" ht="11.25">
      <c r="A86" s="0" t="s">
        <v>3882</v>
      </c>
    </row>
    <row customHeight="1" ht="11.25">
      <c r="A87" s="0" t="s">
        <v>4773</v>
      </c>
    </row>
    <row customHeight="1" ht="11.25">
      <c r="A88" s="0" t="s">
        <v>4068</v>
      </c>
    </row>
    <row customHeight="1" ht="11.25">
      <c r="A89" s="0" t="s">
        <v>4774</v>
      </c>
    </row>
    <row customHeight="1" ht="11.25">
      <c r="A90" s="0" t="s">
        <v>4080</v>
      </c>
    </row>
    <row customHeight="1" ht="11.25">
      <c r="A91" s="0" t="s">
        <v>4775</v>
      </c>
    </row>
    <row customHeight="1" ht="11.25">
      <c r="A92" s="0" t="s">
        <v>4776</v>
      </c>
    </row>
    <row customHeight="1" ht="11.25">
      <c r="A93" s="0" t="s">
        <v>3927</v>
      </c>
    </row>
    <row customHeight="1" ht="11.25">
      <c r="A94" s="0" t="s">
        <v>4777</v>
      </c>
    </row>
    <row customHeight="1" ht="11.25">
      <c r="A95" s="0" t="s">
        <v>4778</v>
      </c>
    </row>
    <row customHeight="1" ht="11.25">
      <c r="A96" s="0" t="s">
        <v>4779</v>
      </c>
    </row>
    <row customHeight="1" ht="11.25">
      <c r="A97" s="0" t="s">
        <v>4780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D8F1A8-6C58-D308-9676-922ECD06B5CD}"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4781</v>
      </c>
    </row>
    <row customHeight="1" ht="15">
      <c r="A2" s="0" t="s">
        <v>4782</v>
      </c>
    </row>
    <row customHeight="1" ht="15">
      <c r="A3" s="0" t="s">
        <v>4783</v>
      </c>
    </row>
    <row customHeight="1" ht="15">
      <c r="A4" s="0" t="s">
        <v>4784</v>
      </c>
    </row>
    <row customHeight="1" ht="15">
      <c r="A5" s="0" t="s">
        <v>4785</v>
      </c>
    </row>
    <row customHeight="1" ht="15">
      <c r="A6" s="0" t="s">
        <v>4786</v>
      </c>
    </row>
    <row customHeight="1" ht="15">
      <c r="A7" s="0" t="s">
        <v>4787</v>
      </c>
    </row>
    <row customHeight="1" ht="15">
      <c r="A8" s="0" t="s">
        <v>4788</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6A7F24-D4F8-6678-B898-CE94B4C8022E}" mc:Ignorable="x14ac xr xr2 xr3">
  <sheetPr>
    <tabColor rgb="FFFFCC99"/>
  </sheetPr>
  <dimension ref="A1:A11"/>
  <sheetViews>
    <sheetView topLeftCell="A1" workbookViewId="0">
      <selection activeCell="A1" sqref="A1"/>
    </sheetView>
  </sheetViews>
  <sheetFormatPr defaultColWidth="8.8515625" customHeight="1" defaultRowHeight="15"/>
  <sheetData>
    <row customHeight="1" ht="15">
      <c r="A1" s="0" t="s">
        <v>4789</v>
      </c>
    </row>
    <row customHeight="1" ht="15">
      <c r="A2" s="0" t="s">
        <v>406</v>
      </c>
    </row>
    <row customHeight="1" ht="15">
      <c r="A3" s="0" t="s">
        <v>4790</v>
      </c>
    </row>
    <row customHeight="1" ht="15">
      <c r="A4" s="0" t="s">
        <v>4791</v>
      </c>
    </row>
    <row customHeight="1" ht="15">
      <c r="A5" s="0" t="s">
        <v>4792</v>
      </c>
    </row>
    <row customHeight="1" ht="15">
      <c r="A6" s="0" t="s">
        <v>4793</v>
      </c>
    </row>
    <row customHeight="1" ht="15">
      <c r="A7" s="0" t="s">
        <v>342</v>
      </c>
    </row>
    <row customHeight="1" ht="15">
      <c r="A8" s="0" t="s">
        <v>4794</v>
      </c>
    </row>
    <row customHeight="1" ht="15">
      <c r="A9" s="0" t="s">
        <v>4795</v>
      </c>
    </row>
    <row customHeight="1" ht="15">
      <c r="A10" s="0" t="s">
        <v>4796</v>
      </c>
    </row>
    <row customHeight="1" ht="15">
      <c r="A11" s="0" t="s">
        <v>4797</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1DDF8-2EC8-80A8-8BD3-F91BA9B33372}" mc:Ignorable="x14ac xr xr2 xr3">
  <sheetPr>
    <tabColor theme="3" tint="0.6"/>
    <outlinePr summaryRight="0" summaryBelow="0"/>
    <pageSetUpPr fitToPage="1"/>
  </sheetPr>
  <dimension ref="A1:AP38"/>
  <sheetViews>
    <sheetView showGridLines="0" workbookViewId="0">
      <pane xSplit="28" ySplit="25" topLeftCell="AC29" activePane="bottomRight" state="frozen"/>
      <selection pane="bottomLeft" activeCell="A26" sqref="A26"/>
      <selection pane="topRight" activeCell="AC1" sqref="AC1"/>
      <selection pane="bottomRight" activeCell="AC35" sqref="AC35"/>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376</v>
      </c>
      <c r="AC1" s="816" t="s">
        <v>92</v>
      </c>
      <c r="AJ1" s="1194" t="s">
        <v>377</v>
      </c>
      <c r="AK1" s="400" t="s">
        <v>378</v>
      </c>
      <c r="AL1" s="400" t="s">
        <v>379</v>
      </c>
      <c r="AM1" s="400" t="s">
        <v>380</v>
      </c>
      <c r="AN1" s="400" t="s">
        <v>381</v>
      </c>
      <c r="AO1" s="1198" t="s">
        <v>382</v>
      </c>
      <c r="AP1" s="1198" t="s">
        <v>383</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384</v>
      </c>
      <c r="AD6" s="371" t="s">
        <v>385</v>
      </c>
      <c r="AE6" s="371" t="s">
        <v>386</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387</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388</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379</v>
      </c>
      <c r="AD10" s="1147" t="s">
        <v>380</v>
      </c>
      <c r="AE10" s="1147" t="s">
        <v>381</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389</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390</v>
      </c>
      <c r="AC24" s="195" t="s">
        <v>391</v>
      </c>
      <c r="AD24" s="195" t="s">
        <v>392</v>
      </c>
      <c r="AE24" s="195" t="s">
        <v>393</v>
      </c>
      <c r="AF24" s="418" t="s">
        <v>394</v>
      </c>
      <c r="AG24" s="196" t="s">
        <v>329</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309</v>
      </c>
      <c r="Y26" s="168">
        <v>0</v>
      </c>
      <c r="AB26" s="257" cm="1" t="str">
        <f t="array" ref="AB26:AB26">INDEX('Общие сведения'!$AG$169:$AG$218,MATCH(Y26,'Общие сведения'!$Z$169:$Z$218,0))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233</v>
      </c>
      <c r="AA27" s="914" t="s">
        <v>217</v>
      </c>
      <c r="AB27" s="807">
        <v>0</v>
      </c>
      <c r="AC27" s="256"/>
      <c r="AD27" s="256"/>
      <c r="AE27" s="256"/>
      <c r="AF27" s="56"/>
      <c r="AG27" s="56"/>
      <c r="AJ27" s="1195" t="s">
        <v>395</v>
      </c>
      <c r="AK27" s="370" t="s">
        <v>396</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397</v>
      </c>
      <c r="AB28" s="252"/>
      <c r="AC28" s="334" t="s">
        <v>398</v>
      </c>
      <c r="AD28" s="253"/>
      <c r="AE28" s="253"/>
      <c r="AF28" s="253"/>
      <c r="AG28" s="254"/>
      <c r="AO28" s="340" t="s">
        <v>396</v>
      </c>
    </row>
    <row s="1619"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X29" s="1459"/>
      <c r="Y29" s="168" t="s">
        <v>335</v>
      </c>
      <c r="Z29" s="1459"/>
      <c r="AA29" s="915"/>
      <c r="AB29" s="257" cm="1" t="str">
        <f t="array" ref="AB29:AB29">IF(ISBLANK('Общие сведения'!$AG$186),"",'Общие сведения'!$AG$186)</f>
        <v>Тариф 1 (Теплоснабжение) - Тариф на тепловую энергию (мощность), поставляемую потребителям (Тариф: Носитель - горячая вода (Т); Носитель - горячая вода (Т))</v>
      </c>
      <c r="AC29" s="251"/>
      <c r="AD29" s="251"/>
      <c r="AE29" s="251"/>
      <c r="AF29" s="251"/>
      <c r="AG29" s="251"/>
      <c r="AH29" s="191"/>
      <c r="AI29" s="191"/>
      <c r="AJ29" s="1194"/>
      <c r="AK29" s="370"/>
      <c r="AL29" s="370"/>
      <c r="AM29" s="370"/>
      <c r="AN29" s="370"/>
      <c r="AO29" s="879"/>
      <c r="AP29" s="879"/>
    </row>
    <row s="1619" customFormat="1" customHeight="1" ht="23.25" hidden="1">
      <c r="E30" s="341">
        <v>24</v>
      </c>
      <c r="F30" s="172" cm="1" t="str">
        <f t="array" ref="F30:F30">OFFSET(G30,-1,-1)</f>
        <v>1</v>
      </c>
      <c r="U30" s="920">
        <f>AND(OFFSET(V30,1,-1),AB30&gt;1)</f>
        <v>0</v>
      </c>
      <c r="X30" s="168" t="s">
        <v>233</v>
      </c>
      <c r="AA30" s="914" t="s">
        <v>217</v>
      </c>
      <c r="AB30" s="807">
        <v>0</v>
      </c>
      <c r="AC30" s="256"/>
      <c r="AD30" s="256"/>
      <c r="AE30" s="256"/>
      <c r="AF30" s="56"/>
      <c r="AG30" s="56"/>
      <c r="AJ30" s="1195" t="s">
        <v>395</v>
      </c>
      <c r="AK30" s="370" t="s">
        <v>396</v>
      </c>
      <c r="AL30" s="193" cm="1" t="str">
        <f t="array" ref="AL30:AL30">AC30</f>
        <v>0</v>
      </c>
      <c r="AM30" s="193" cm="1" t="str">
        <f t="array" ref="AM30:AM30">AD30</f>
        <v>0</v>
      </c>
      <c r="AN30" s="193" cm="1" t="str">
        <f t="array" ref="AN30:AN30">AE30</f>
        <v>0</v>
      </c>
      <c r="AO30" s="340"/>
      <c r="AP30" s="340" t="b">
        <v>1</v>
      </c>
    </row>
    <row s="1619" customFormat="1" customHeight="1" ht="23.25">
      <c r="A31" s="1619"/>
      <c r="B31" s="1619"/>
      <c r="C31" s="1619"/>
      <c r="D31" s="1619"/>
      <c r="E31" s="341">
        <v>24</v>
      </c>
      <c r="F31" s="172" cm="1" t="str">
        <f t="array" ref="F31:F31">OFFSET(G31,-1,-1)</f>
        <v>1</v>
      </c>
      <c r="G31" s="1619"/>
      <c r="H31" s="1619"/>
      <c r="I31" s="1619"/>
      <c r="J31" s="1619"/>
      <c r="K31" s="1619"/>
      <c r="L31" s="1619"/>
      <c r="M31" s="1619"/>
      <c r="N31" s="1619"/>
      <c r="O31" s="1619"/>
      <c r="P31" s="1619"/>
      <c r="Q31" s="1619"/>
      <c r="R31" s="1619"/>
      <c r="S31" s="1619"/>
      <c r="T31" s="1619"/>
      <c r="U31" s="920">
        <f>AND(OFFSET(V31,1,-1),AB31&gt;1)</f>
        <v>1</v>
      </c>
      <c r="V31" s="1619"/>
      <c r="W31" s="1619"/>
      <c r="X31" s="168"/>
      <c r="Y31" s="1619"/>
      <c r="Z31" s="1619"/>
      <c r="AA31" s="914" t="s">
        <v>217</v>
      </c>
      <c r="AB31" s="807" t="s">
        <v>335</v>
      </c>
      <c r="AC31" s="256" t="s">
        <v>399</v>
      </c>
      <c r="AD31" s="256" t="s">
        <v>399</v>
      </c>
      <c r="AE31" s="256" t="s">
        <v>400</v>
      </c>
      <c r="AF31" s="1633"/>
      <c r="AG31" s="1633"/>
      <c r="AH31" s="1619"/>
      <c r="AI31" s="1619"/>
      <c r="AJ31" s="1195" t="s">
        <v>395</v>
      </c>
      <c r="AK31" s="370" t="s">
        <v>396</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19"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397</v>
      </c>
      <c r="Y32" s="1459"/>
      <c r="Z32" s="1459"/>
      <c r="AA32" s="915"/>
      <c r="AB32" s="252"/>
      <c r="AC32" s="334" t="s">
        <v>398</v>
      </c>
      <c r="AD32" s="253"/>
      <c r="AE32" s="253"/>
      <c r="AF32" s="253"/>
      <c r="AG32" s="254"/>
      <c r="AH32" s="191"/>
      <c r="AI32" s="191"/>
      <c r="AJ32" s="1194"/>
      <c r="AK32" s="370"/>
      <c r="AL32" s="370"/>
      <c r="AM32" s="370"/>
      <c r="AN32" s="370"/>
      <c r="AO32" s="340" t="s">
        <v>396</v>
      </c>
      <c r="AP32" s="879"/>
    </row>
    <row s="1619" customFormat="1" customHeight="1" ht="10.5">
      <c r="A33" s="1459"/>
      <c r="B33" s="1459"/>
      <c r="C33" s="1459"/>
      <c r="D33" s="1459"/>
      <c r="E33" s="341">
        <v>11.4</v>
      </c>
      <c r="F33" s="172" cm="1" t="str">
        <f t="array" ref="F33:F33">Y33</f>
        <v>2</v>
      </c>
      <c r="G33" s="1459"/>
      <c r="H33" s="1459"/>
      <c r="I33" s="1459"/>
      <c r="J33" s="1459"/>
      <c r="K33" s="1459"/>
      <c r="L33" s="1459"/>
      <c r="M33" s="1459"/>
      <c r="N33" s="1459"/>
      <c r="O33" s="1459"/>
      <c r="P33" s="1459"/>
      <c r="Q33" s="1459"/>
      <c r="R33" s="1459"/>
      <c r="S33" s="1459"/>
      <c r="T33" s="1461"/>
      <c r="U33" s="920">
        <f>Y33&gt;0</f>
        <v>1</v>
      </c>
      <c r="V33" s="1459"/>
      <c r="W33" s="168" cm="1" t="str">
        <f t="array" ref="W33:W33">'Общие сведения'!$AG$202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X33" s="1459"/>
      <c r="Y33" s="168" t="s">
        <v>343</v>
      </c>
      <c r="Z33" s="1459"/>
      <c r="AA33" s="915"/>
      <c r="AB33" s="257" cm="1" t="str">
        <f t="array" ref="AB33:AB33">IF(ISBLANK('Общие сведения'!$AG$202),"",'Общие сведения'!$AG$202)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33" s="251"/>
      <c r="AD33" s="251"/>
      <c r="AE33" s="251"/>
      <c r="AF33" s="251"/>
      <c r="AG33" s="251"/>
      <c r="AH33" s="191"/>
      <c r="AI33" s="191"/>
      <c r="AJ33" s="1194"/>
      <c r="AK33" s="370"/>
      <c r="AL33" s="370"/>
      <c r="AM33" s="370"/>
      <c r="AN33" s="370"/>
      <c r="AO33" s="879"/>
      <c r="AP33" s="879"/>
    </row>
    <row s="1619" customFormat="1" customHeight="1" ht="23.25" hidden="1">
      <c r="E34" s="341">
        <v>24</v>
      </c>
      <c r="F34" s="172" cm="1" t="str">
        <f t="array" ref="F34:F34">OFFSET(G34,-1,-1)</f>
        <v>2</v>
      </c>
      <c r="U34" s="920">
        <f>AND(OFFSET(V34,1,-1),AB34&gt;1)</f>
        <v>0</v>
      </c>
      <c r="X34" s="168" t="s">
        <v>233</v>
      </c>
      <c r="AA34" s="914" t="s">
        <v>217</v>
      </c>
      <c r="AB34" s="807">
        <v>0</v>
      </c>
      <c r="AC34" s="256"/>
      <c r="AD34" s="256"/>
      <c r="AE34" s="256"/>
      <c r="AF34" s="56"/>
      <c r="AG34" s="56"/>
      <c r="AJ34" s="1195" t="s">
        <v>395</v>
      </c>
      <c r="AK34" s="370" t="s">
        <v>396</v>
      </c>
      <c r="AL34" s="193" cm="1" t="str">
        <f t="array" ref="AL34:AL34">AC34</f>
        <v>0</v>
      </c>
      <c r="AM34" s="193" cm="1" t="str">
        <f t="array" ref="AM34:AM34">AD34</f>
        <v>0</v>
      </c>
      <c r="AN34" s="193" cm="1" t="str">
        <f t="array" ref="AN34:AN34">AE34</f>
        <v>0</v>
      </c>
      <c r="AO34" s="340"/>
      <c r="AP34" s="340" t="b">
        <v>1</v>
      </c>
    </row>
    <row s="1619" customFormat="1" customHeight="1" ht="23.25">
      <c r="A35" s="1619"/>
      <c r="B35" s="1619"/>
      <c r="C35" s="1619"/>
      <c r="D35" s="1619"/>
      <c r="E35" s="341">
        <v>24</v>
      </c>
      <c r="F35" s="172" cm="1" t="str">
        <f t="array" ref="F35:F35">OFFSET(G35,-1,-1)</f>
        <v>2</v>
      </c>
      <c r="G35" s="1619"/>
      <c r="H35" s="1619"/>
      <c r="I35" s="1619"/>
      <c r="J35" s="1619"/>
      <c r="K35" s="1619"/>
      <c r="L35" s="1619"/>
      <c r="M35" s="1619"/>
      <c r="N35" s="1619"/>
      <c r="O35" s="1619"/>
      <c r="P35" s="1619"/>
      <c r="Q35" s="1619"/>
      <c r="R35" s="1619"/>
      <c r="S35" s="1619"/>
      <c r="T35" s="1619"/>
      <c r="U35" s="920">
        <f>AND(OFFSET(V35,1,-1),AB35&gt;1)</f>
        <v>1</v>
      </c>
      <c r="V35" s="1619"/>
      <c r="W35" s="1619"/>
      <c r="X35" s="168"/>
      <c r="Y35" s="1619"/>
      <c r="Z35" s="1619"/>
      <c r="AA35" s="914" t="s">
        <v>217</v>
      </c>
      <c r="AB35" s="807" t="s">
        <v>335</v>
      </c>
      <c r="AC35" s="256" t="s">
        <v>399</v>
      </c>
      <c r="AD35" s="256" t="s">
        <v>399</v>
      </c>
      <c r="AE35" s="256" t="s">
        <v>400</v>
      </c>
      <c r="AF35" s="1633"/>
      <c r="AG35" s="1633"/>
      <c r="AH35" s="1619"/>
      <c r="AI35" s="1619"/>
      <c r="AJ35" s="1195" t="s">
        <v>395</v>
      </c>
      <c r="AK35" s="370" t="s">
        <v>396</v>
      </c>
      <c r="AL35" s="193" cm="1" t="str">
        <f t="array" ref="AL35:AL35">AC35</f>
        <v>город Новокузнецк</v>
      </c>
      <c r="AM35" s="193" cm="1" t="str">
        <f t="array" ref="AM35:AM35">AD35</f>
        <v>город Новокузнецк</v>
      </c>
      <c r="AN35" s="193" cm="1" t="str">
        <f t="array" ref="AN35:AN35">AE35</f>
        <v>32731000</v>
      </c>
      <c r="AO35" s="340"/>
      <c r="AP35" s="340" t="b">
        <v>1</v>
      </c>
    </row>
    <row s="1619" customFormat="1" customHeight="1" ht="10.5">
      <c r="A36" s="1459"/>
      <c r="B36" s="1459"/>
      <c r="C36" s="1459"/>
      <c r="D36" s="1459"/>
      <c r="E36" s="341">
        <v>11.4</v>
      </c>
      <c r="F36" s="172" cm="1" t="str">
        <f t="array" ref="F36:F36">OFFSET(G36,-1,-1)</f>
        <v>2</v>
      </c>
      <c r="G36" s="1459"/>
      <c r="H36" s="1459"/>
      <c r="I36" s="1459"/>
      <c r="J36" s="1459"/>
      <c r="K36" s="1459"/>
      <c r="L36" s="1459"/>
      <c r="M36" s="1459"/>
      <c r="N36" s="1459"/>
      <c r="O36" s="1459"/>
      <c r="P36" s="1459"/>
      <c r="Q36" s="1459"/>
      <c r="R36" s="1459"/>
      <c r="S36" s="1459"/>
      <c r="T36" s="1461"/>
      <c r="U36" s="920" cm="1" t="str">
        <f t="array" ref="U36:U36">U33</f>
        <v>true</v>
      </c>
      <c r="V36" s="1459"/>
      <c r="W36" s="1459"/>
      <c r="X36" s="168" t="s">
        <v>397</v>
      </c>
      <c r="Y36" s="1459"/>
      <c r="Z36" s="1459"/>
      <c r="AA36" s="915"/>
      <c r="AB36" s="252"/>
      <c r="AC36" s="334" t="s">
        <v>398</v>
      </c>
      <c r="AD36" s="253"/>
      <c r="AE36" s="253"/>
      <c r="AF36" s="253"/>
      <c r="AG36" s="254"/>
      <c r="AH36" s="191"/>
      <c r="AI36" s="191"/>
      <c r="AJ36" s="1194"/>
      <c r="AK36" s="370"/>
      <c r="AL36" s="370"/>
      <c r="AM36" s="370"/>
      <c r="AN36" s="370"/>
      <c r="AO36" s="340" t="s">
        <v>396</v>
      </c>
      <c r="AP36" s="879"/>
    </row>
    <row customHeight="1" ht="11.115">
      <c r="E37" s="341">
        <v>11.4</v>
      </c>
      <c r="V37" s="172" t="s">
        <v>235</v>
      </c>
      <c r="W37" s="168" t="s">
        <v>401</v>
      </c>
      <c r="AH37" s="969"/>
    </row>
    <row customHeight="1" ht="11.25" hidden="1">
      <c r="V38" s="172"/>
    </row>
  </sheetData>
  <sheetProtection formatColumns="0" formatRows="0" insertRows="0" deleteColumns="0" deleteRows="0" sort="0" autoFilter="0" insertColumns="1"/>
  <mergeCells count="7">
    <mergeCell ref="AB22:AG22"/>
    <mergeCell ref="Z26:Z28"/>
    <mergeCell ref="Y26:Y28"/>
    <mergeCell ref="Z29:Z32"/>
    <mergeCell ref="Y29:Y32"/>
    <mergeCell ref="Z33:Z36"/>
    <mergeCell ref="Y33:Y36"/>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4A018-CE08-0D58-4D7B-B4A82ABC32B8}"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8" sqref="AC38"/>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376</v>
      </c>
      <c r="AC1" s="816" t="s">
        <v>92</v>
      </c>
      <c r="AK1" s="1155" t="s">
        <v>377</v>
      </c>
      <c r="AL1" s="1201" t="s">
        <v>378</v>
      </c>
      <c r="AM1" s="1201" t="s">
        <v>379</v>
      </c>
      <c r="AN1" s="1201" t="s">
        <v>402</v>
      </c>
      <c r="AO1" s="1201" t="s">
        <v>403</v>
      </c>
      <c r="AP1" s="1201" t="s">
        <v>404</v>
      </c>
      <c r="AQ1" s="1201" t="s">
        <v>405</v>
      </c>
      <c r="AR1" s="340" t="s">
        <v>382</v>
      </c>
      <c r="AS1" s="340" t="s">
        <v>383</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406</v>
      </c>
      <c r="AF7" s="962" t="s">
        <v>407</v>
      </c>
      <c r="AG7" s="733" t="s">
        <v>408</v>
      </c>
      <c r="AH7" s="733" t="s">
        <v>407</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409</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388</v>
      </c>
      <c r="B10" s="1151"/>
      <c r="E10" s="1151"/>
      <c r="AC10" s="1149" t="s">
        <v>379</v>
      </c>
      <c r="AD10" s="1149" t="s">
        <v>402</v>
      </c>
      <c r="AE10" s="1149" t="s">
        <v>403</v>
      </c>
      <c r="AF10" s="1149" t="s">
        <v>404</v>
      </c>
      <c r="AG10" s="1149" t="s">
        <v>405</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K21" s="1155"/>
      <c r="AL21" s="1201"/>
      <c r="AM21" s="1201"/>
      <c r="AN21" s="1201"/>
      <c r="AO21" s="1201"/>
      <c r="AP21" s="1201"/>
      <c r="AQ21" s="1201"/>
      <c r="AR21" s="340"/>
      <c r="AS21" s="340"/>
    </row>
    <row customHeight="1" ht="20.475">
      <c r="E22" s="800">
        <v>21</v>
      </c>
      <c r="R22" s="211"/>
      <c r="AA22" s="817"/>
      <c r="AB22" s="1456" t="s">
        <v>410</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390</v>
      </c>
      <c r="AC24" s="808" t="s">
        <v>411</v>
      </c>
      <c r="AD24" s="261" t="s">
        <v>412</v>
      </c>
      <c r="AE24" s="261" t="s">
        <v>413</v>
      </c>
      <c r="AF24" s="261" t="s">
        <v>414</v>
      </c>
      <c r="AG24" s="261" t="s">
        <v>415</v>
      </c>
      <c r="AH24" s="261" t="s">
        <v>416</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309</v>
      </c>
      <c r="Y26" s="168">
        <v>0</v>
      </c>
      <c r="AB26" s="260" cm="1" t="str">
        <f t="array" ref="AB26:AB26">INDEX('Общие сведения'!$AG$169:$AG$218,MATCH(Y26,'Общие сведения'!$Z$169:$Z$218,0))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417</v>
      </c>
      <c r="K28" s="211" t="s">
        <v>418</v>
      </c>
      <c r="U28" s="920">
        <f>AND(F28&gt;0,AB28&gt;0)</f>
        <v>0</v>
      </c>
      <c r="X28" s="168" t="s">
        <v>233</v>
      </c>
      <c r="AA28" s="914" t="s">
        <v>217</v>
      </c>
      <c r="AB28" s="151">
        <v>0</v>
      </c>
      <c r="AC28" s="464" t="str">
        <f>I28&amp;" :: "&amp;K28</f>
        <v>Наименование объекта :: адрес</v>
      </c>
      <c r="AD28" s="460"/>
      <c r="AE28" s="460"/>
      <c r="AF28" s="476"/>
      <c r="AG28" s="476"/>
      <c r="AH28" s="57"/>
      <c r="AK28" s="1203" t="s">
        <v>419</v>
      </c>
      <c r="AL28" s="1205" t="s">
        <v>420</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421</v>
      </c>
      <c r="AB29" s="252"/>
      <c r="AC29" s="255" t="s">
        <v>422</v>
      </c>
      <c r="AD29" s="253"/>
      <c r="AE29" s="253"/>
      <c r="AF29" s="253"/>
      <c r="AG29" s="253"/>
      <c r="AH29" s="262"/>
      <c r="AK29" s="1203"/>
      <c r="AL29" s="1203"/>
      <c r="AM29" s="1203"/>
      <c r="AN29" s="1203"/>
      <c r="AO29" s="1203"/>
      <c r="AP29" s="1203"/>
      <c r="AQ29" s="1203"/>
      <c r="AR29" s="1204" t="s">
        <v>420</v>
      </c>
      <c r="AS29" s="1204"/>
    </row>
    <row s="1634"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X30" s="217"/>
      <c r="Y30" s="168" t="s">
        <v>335</v>
      </c>
      <c r="Z30" s="217"/>
      <c r="AA30" s="217"/>
      <c r="AB30" s="260" cm="1" t="str">
        <f t="array" ref="AB30:AB30">IF(ISBLANK('Список территорий'!$AB$29),"",'Список территорий'!$AB$29)</f>
        <v>Тариф 1 (Теплоснабжение) - Тариф на тепловую энергию (мощность), поставляемую потребителям (Тариф: Носитель - горячая вода (Т); Носитель - горячая вода (Т))</v>
      </c>
      <c r="AC30" s="257"/>
      <c r="AD30" s="251"/>
      <c r="AE30" s="251"/>
      <c r="AF30" s="251"/>
      <c r="AG30" s="251"/>
      <c r="AH30" s="251"/>
      <c r="AI30" s="217"/>
      <c r="AJ30" s="217"/>
      <c r="AK30" s="1203"/>
      <c r="AL30" s="1203"/>
      <c r="AM30" s="1203"/>
      <c r="AN30" s="1203"/>
      <c r="AO30" s="1203"/>
      <c r="AP30" s="1203"/>
      <c r="AQ30" s="1203"/>
      <c r="AR30" s="1204"/>
      <c r="AS30" s="1204"/>
    </row>
    <row s="1635"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417</v>
      </c>
      <c r="K32" s="211" t="s">
        <v>418</v>
      </c>
      <c r="U32" s="920">
        <f>AND(F32&gt;0,AB32&gt;0)</f>
        <v>0</v>
      </c>
      <c r="X32" s="168" t="s">
        <v>233</v>
      </c>
      <c r="AA32" s="914" t="s">
        <v>217</v>
      </c>
      <c r="AB32" s="151">
        <v>0</v>
      </c>
      <c r="AC32" s="464" t="str">
        <f>I32&amp;" :: "&amp;K32</f>
        <v>Наименование объекта :: адрес</v>
      </c>
      <c r="AD32" s="460"/>
      <c r="AE32" s="460"/>
      <c r="AF32" s="476"/>
      <c r="AG32" s="476"/>
      <c r="AH32" s="57"/>
      <c r="AK32" s="1203" t="s">
        <v>419</v>
      </c>
      <c r="AL32" s="1205" t="s">
        <v>420</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423</v>
      </c>
      <c r="J33" s="934"/>
      <c r="K33" s="211" t="s">
        <v>424</v>
      </c>
      <c r="L33" s="934"/>
      <c r="M33" s="934"/>
      <c r="N33" s="934"/>
      <c r="O33" s="934"/>
      <c r="P33" s="934"/>
      <c r="Q33" s="934"/>
      <c r="R33" s="934"/>
      <c r="S33" s="934"/>
      <c r="T33" s="934"/>
      <c r="U33" s="920">
        <f>AND(F33&gt;0,AB33&gt;0)</f>
        <v>1</v>
      </c>
      <c r="V33" s="934"/>
      <c r="W33" s="934"/>
      <c r="X33" s="168"/>
      <c r="Y33" s="934"/>
      <c r="Z33" s="934"/>
      <c r="AA33" s="914" t="s">
        <v>217</v>
      </c>
      <c r="AB33" s="151" t="s">
        <v>335</v>
      </c>
      <c r="AC33" s="464" t="str">
        <f>I33&amp;" :: "&amp;K33</f>
        <v>Котельная на ст. Абагур-Лесной ПМС-2 
г Новокузнецк :: г Новокузнецк, ул. Кондолепская, 1а</v>
      </c>
      <c r="AD33" s="460" t="s">
        <v>425</v>
      </c>
      <c r="AE33" s="460" t="s">
        <v>426</v>
      </c>
      <c r="AF33" s="476" t="s">
        <v>427</v>
      </c>
      <c r="AG33" s="476" t="s">
        <v>428</v>
      </c>
      <c r="AH33" s="1636"/>
      <c r="AI33" s="934"/>
      <c r="AJ33" s="934"/>
      <c r="AK33" s="1203" t="s">
        <v>419</v>
      </c>
      <c r="AL33" s="1205" t="s">
        <v>420</v>
      </c>
      <c r="AM33" s="1205" cm="1" t="str">
        <f t="array" ref="AM33:AM33">AC33</f>
        <v>Котельная на ст. Абагур-Лесной ПМС-2 
г Новокузнецк :: г Новокузнецк, ул. Кондолепская, 1а</v>
      </c>
      <c r="AN33" s="1205" cm="1" t="str">
        <f t="array" ref="AN33:AN33">AD33</f>
        <v>собственность</v>
      </c>
      <c r="AO33" s="1205" cm="1" t="str">
        <f t="array" ref="AO33:AO33">AE33</f>
        <v>свидетельство</v>
      </c>
      <c r="AP33" s="1205" cm="1" t="str">
        <f t="array" ref="AP33:AP33">AF33</f>
        <v>42 АА № 756682</v>
      </c>
      <c r="AQ33" s="1205" cm="1" t="str">
        <f t="array" ref="AQ33:AQ33">AG33</f>
        <v>17.03.2004</v>
      </c>
      <c r="AR33" s="1206"/>
      <c r="AS33" s="1206" t="b">
        <v>1</v>
      </c>
    </row>
    <row s="1637"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0">
        <f>F34&gt;0</f>
        <v>1</v>
      </c>
      <c r="V34" s="217"/>
      <c r="W34" s="217"/>
      <c r="X34" s="168" t="s">
        <v>421</v>
      </c>
      <c r="Y34" s="217"/>
      <c r="Z34" s="217"/>
      <c r="AA34" s="217"/>
      <c r="AB34" s="252"/>
      <c r="AC34" s="255" t="s">
        <v>422</v>
      </c>
      <c r="AD34" s="253"/>
      <c r="AE34" s="253"/>
      <c r="AF34" s="253"/>
      <c r="AG34" s="253"/>
      <c r="AH34" s="262"/>
      <c r="AI34" s="217"/>
      <c r="AJ34" s="217"/>
      <c r="AK34" s="1203"/>
      <c r="AL34" s="1203"/>
      <c r="AM34" s="1203"/>
      <c r="AN34" s="1203"/>
      <c r="AO34" s="1203"/>
      <c r="AP34" s="1203"/>
      <c r="AQ34" s="1203"/>
      <c r="AR34" s="1204" t="s">
        <v>420</v>
      </c>
      <c r="AS34" s="1204"/>
    </row>
    <row s="1638" customFormat="1" customHeight="1" ht="16.5">
      <c r="A35" s="217"/>
      <c r="B35" s="217"/>
      <c r="C35" s="217"/>
      <c r="D35" s="217"/>
      <c r="E35" s="794">
        <v>17.1</v>
      </c>
      <c r="F35" s="172" cm="1" t="str">
        <f t="array" ref="F35:F35">Y35</f>
        <v>2</v>
      </c>
      <c r="G35" s="217"/>
      <c r="H35" s="217"/>
      <c r="I35" s="217"/>
      <c r="J35" s="217"/>
      <c r="K35" s="217"/>
      <c r="L35" s="217"/>
      <c r="M35" s="217"/>
      <c r="N35" s="217"/>
      <c r="O35" s="217"/>
      <c r="P35" s="217"/>
      <c r="Q35" s="217"/>
      <c r="R35" s="217"/>
      <c r="S35" s="217"/>
      <c r="T35" s="217"/>
      <c r="U35" s="920">
        <f>Y35&gt;0</f>
        <v>1</v>
      </c>
      <c r="V35" s="217"/>
      <c r="W35" s="168" cm="1" t="str">
        <f t="array" ref="W35:W35">'Список территорий'!$AB$33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X35" s="217"/>
      <c r="Y35" s="168" t="s">
        <v>343</v>
      </c>
      <c r="Z35" s="217"/>
      <c r="AA35" s="217"/>
      <c r="AB35" s="260" cm="1" t="str">
        <f t="array" ref="AB35:AB35">IF(ISBLANK('Список территорий'!$AB$33),"",'Список территорий'!$AB$33)</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35" s="257"/>
      <c r="AD35" s="251"/>
      <c r="AE35" s="251"/>
      <c r="AF35" s="251"/>
      <c r="AG35" s="251"/>
      <c r="AH35" s="251"/>
      <c r="AI35" s="217"/>
      <c r="AJ35" s="217"/>
      <c r="AK35" s="1203"/>
      <c r="AL35" s="1203"/>
      <c r="AM35" s="1203"/>
      <c r="AN35" s="1203"/>
      <c r="AO35" s="1203"/>
      <c r="AP35" s="1203"/>
      <c r="AQ35" s="1203"/>
      <c r="AR35" s="1204"/>
      <c r="AS35" s="1204"/>
    </row>
    <row s="1639" customFormat="1" customHeight="1" ht="10.5" hidden="1">
      <c r="A36" s="217"/>
      <c r="B36" s="217"/>
      <c r="C36" s="217"/>
      <c r="D36" s="217"/>
      <c r="E36" s="794">
        <v>0</v>
      </c>
      <c r="F36" s="172" cm="1" t="str">
        <f t="array" ref="F36:F36">OFFSET(G36,-1,-1)</f>
        <v>2</v>
      </c>
      <c r="G36" s="217"/>
      <c r="H36" s="217"/>
      <c r="I36" s="217"/>
      <c r="J36" s="217"/>
      <c r="K36" s="217"/>
      <c r="L36" s="217"/>
      <c r="M36" s="217"/>
      <c r="N36" s="217"/>
      <c r="O36" s="217"/>
      <c r="P36" s="217"/>
      <c r="Q36" s="217"/>
      <c r="R36" s="217"/>
      <c r="S36" s="217"/>
      <c r="T36" s="217"/>
      <c r="U36" s="217"/>
      <c r="V36" s="217"/>
      <c r="W36" s="217"/>
      <c r="X36" s="217"/>
      <c r="Y36" s="217"/>
      <c r="Z36" s="217"/>
      <c r="AA36" s="217"/>
      <c r="AB36" s="260"/>
      <c r="AC36" s="257"/>
      <c r="AD36" s="251"/>
      <c r="AE36" s="251"/>
      <c r="AF36" s="251"/>
      <c r="AG36" s="251"/>
      <c r="AH36" s="251"/>
      <c r="AI36" s="217"/>
      <c r="AJ36" s="217"/>
      <c r="AK36" s="1203"/>
      <c r="AL36" s="1203"/>
      <c r="AM36" s="1203"/>
      <c r="AN36" s="1203"/>
      <c r="AO36" s="1203"/>
      <c r="AP36" s="1203"/>
      <c r="AQ36" s="1203"/>
      <c r="AR36" s="1204"/>
      <c r="AS36" s="1204"/>
    </row>
    <row s="934" customFormat="1" customHeight="1" ht="16.5" hidden="1">
      <c r="E37" s="794">
        <v>17.1</v>
      </c>
      <c r="F37" s="172" cm="1" t="str">
        <f t="array" ref="F37:F37">OFFSET(G37,-1,-1)</f>
        <v>2</v>
      </c>
      <c r="I37" s="211" t="s">
        <v>417</v>
      </c>
      <c r="K37" s="211" t="s">
        <v>418</v>
      </c>
      <c r="U37" s="920">
        <f>AND(F37&gt;0,AB37&gt;0)</f>
        <v>0</v>
      </c>
      <c r="X37" s="168" t="s">
        <v>233</v>
      </c>
      <c r="AA37" s="914" t="s">
        <v>217</v>
      </c>
      <c r="AB37" s="151">
        <v>0</v>
      </c>
      <c r="AC37" s="464" t="str">
        <f>I37&amp;" :: "&amp;K37</f>
        <v>Наименование объекта :: адрес</v>
      </c>
      <c r="AD37" s="460"/>
      <c r="AE37" s="460"/>
      <c r="AF37" s="476"/>
      <c r="AG37" s="476"/>
      <c r="AH37" s="57"/>
      <c r="AK37" s="1203" t="s">
        <v>419</v>
      </c>
      <c r="AL37" s="1205" t="s">
        <v>420</v>
      </c>
      <c r="AM37" s="1205" cm="1" t="str">
        <f t="array" ref="AM37:AM37">AC37</f>
        <v>Наименование объекта :: адрес</v>
      </c>
      <c r="AN37" s="1205" cm="1" t="str">
        <f t="array" ref="AN37:AN37">AD37</f>
        <v>0</v>
      </c>
      <c r="AO37" s="1205" cm="1" t="str">
        <f t="array" ref="AO37:AO37">AE37</f>
        <v>0</v>
      </c>
      <c r="AP37" s="1205" cm="1" t="str">
        <f t="array" ref="AP37:AP37">AF37</f>
        <v>0</v>
      </c>
      <c r="AQ37" s="1205" cm="1" t="str">
        <f t="array" ref="AQ37:AQ37">AG37</f>
        <v>0</v>
      </c>
      <c r="AR37" s="1206"/>
      <c r="AS37" s="1206" t="b">
        <v>1</v>
      </c>
    </row>
    <row s="934" customFormat="1" customHeight="1" ht="16.5">
      <c r="A38" s="934"/>
      <c r="B38" s="934"/>
      <c r="C38" s="934"/>
      <c r="D38" s="934"/>
      <c r="E38" s="794">
        <v>17.1</v>
      </c>
      <c r="F38" s="172" cm="1" t="str">
        <f t="array" ref="F38:F38">OFFSET(G38,-1,-1)</f>
        <v>2</v>
      </c>
      <c r="G38" s="934"/>
      <c r="H38" s="934"/>
      <c r="I38" s="211" t="s">
        <v>423</v>
      </c>
      <c r="J38" s="934"/>
      <c r="K38" s="211" t="s">
        <v>424</v>
      </c>
      <c r="L38" s="934"/>
      <c r="M38" s="934"/>
      <c r="N38" s="934"/>
      <c r="O38" s="934"/>
      <c r="P38" s="934"/>
      <c r="Q38" s="934"/>
      <c r="R38" s="934"/>
      <c r="S38" s="934"/>
      <c r="T38" s="934"/>
      <c r="U38" s="920">
        <f>AND(F38&gt;0,AB38&gt;0)</f>
        <v>1</v>
      </c>
      <c r="V38" s="934"/>
      <c r="W38" s="934"/>
      <c r="X38" s="168"/>
      <c r="Y38" s="934"/>
      <c r="Z38" s="934"/>
      <c r="AA38" s="914" t="s">
        <v>217</v>
      </c>
      <c r="AB38" s="151" t="s">
        <v>335</v>
      </c>
      <c r="AC38" s="464" t="str">
        <f>I38&amp;" :: "&amp;K38</f>
        <v>Котельная на ст. Абагур-Лесной ПМС-2 
г Новокузнецк :: г Новокузнецк, ул. Кондолепская, 1а</v>
      </c>
      <c r="AD38" s="460" t="s">
        <v>425</v>
      </c>
      <c r="AE38" s="460" t="s">
        <v>426</v>
      </c>
      <c r="AF38" s="476" t="s">
        <v>427</v>
      </c>
      <c r="AG38" s="476" t="s">
        <v>428</v>
      </c>
      <c r="AH38" s="1636"/>
      <c r="AI38" s="934"/>
      <c r="AJ38" s="934"/>
      <c r="AK38" s="1203" t="s">
        <v>419</v>
      </c>
      <c r="AL38" s="1205" t="s">
        <v>420</v>
      </c>
      <c r="AM38" s="1205" cm="1" t="str">
        <f t="array" ref="AM38:AM38">AC38</f>
        <v>Котельная на ст. Абагур-Лесной ПМС-2 
г Новокузнецк :: г Новокузнецк, ул. Кондолепская, 1а</v>
      </c>
      <c r="AN38" s="1205" cm="1" t="str">
        <f t="array" ref="AN38:AN38">AD38</f>
        <v>собственность</v>
      </c>
      <c r="AO38" s="1205" cm="1" t="str">
        <f t="array" ref="AO38:AO38">AE38</f>
        <v>свидетельство</v>
      </c>
      <c r="AP38" s="1205" cm="1" t="str">
        <f t="array" ref="AP38:AP38">AF38</f>
        <v>42 АА № 756682</v>
      </c>
      <c r="AQ38" s="1205" cm="1" t="str">
        <f t="array" ref="AQ38:AQ38">AG38</f>
        <v>17.03.2004</v>
      </c>
      <c r="AR38" s="1206"/>
      <c r="AS38" s="1206" t="b">
        <v>1</v>
      </c>
    </row>
    <row s="1640" customFormat="1" customHeight="1" ht="16.5">
      <c r="A39" s="217"/>
      <c r="B39" s="217"/>
      <c r="C39" s="217"/>
      <c r="D39" s="217"/>
      <c r="E39" s="794">
        <v>17.1</v>
      </c>
      <c r="F39" s="172" cm="1" t="str">
        <f t="array" ref="F39:F39">OFFSET(G39,-1,-1)</f>
        <v>2</v>
      </c>
      <c r="G39" s="217"/>
      <c r="H39" s="217"/>
      <c r="I39" s="217"/>
      <c r="J39" s="217"/>
      <c r="K39" s="217"/>
      <c r="L39" s="217"/>
      <c r="M39" s="217"/>
      <c r="N39" s="217"/>
      <c r="O39" s="217"/>
      <c r="P39" s="217"/>
      <c r="Q39" s="217"/>
      <c r="R39" s="217"/>
      <c r="S39" s="217"/>
      <c r="T39" s="217"/>
      <c r="U39" s="920">
        <f>F39&gt;0</f>
        <v>1</v>
      </c>
      <c r="V39" s="217"/>
      <c r="W39" s="217"/>
      <c r="X39" s="168" t="s">
        <v>421</v>
      </c>
      <c r="Y39" s="217"/>
      <c r="Z39" s="217"/>
      <c r="AA39" s="217"/>
      <c r="AB39" s="252"/>
      <c r="AC39" s="255" t="s">
        <v>422</v>
      </c>
      <c r="AD39" s="253"/>
      <c r="AE39" s="253"/>
      <c r="AF39" s="253"/>
      <c r="AG39" s="253"/>
      <c r="AH39" s="262"/>
      <c r="AI39" s="217"/>
      <c r="AJ39" s="217"/>
      <c r="AK39" s="1203"/>
      <c r="AL39" s="1203"/>
      <c r="AM39" s="1203"/>
      <c r="AN39" s="1203"/>
      <c r="AO39" s="1203"/>
      <c r="AP39" s="1203"/>
      <c r="AQ39" s="1203"/>
      <c r="AR39" s="1204" t="s">
        <v>420</v>
      </c>
      <c r="AS39" s="1204"/>
    </row>
    <row customHeight="1" ht="11.25">
      <c r="U40" s="168"/>
      <c r="V40" s="172" t="s">
        <v>235</v>
      </c>
      <c r="W40" s="168" t="s">
        <v>429</v>
      </c>
      <c r="X40" s="168"/>
      <c r="Y40" s="168"/>
      <c r="AI40" s="969"/>
    </row>
  </sheetData>
  <sheetProtection formatColumns="0" formatRows="0" insertRows="0" deleteColumns="0" deleteRows="0" sort="0" autoFilter="0" insertColumns="1"/>
  <mergeCells count="8">
    <mergeCell ref="AB22:AH22"/>
    <mergeCell ref="AF23:AG23"/>
    <mergeCell ref="Y26:Y29"/>
    <mergeCell ref="Z26:Z29"/>
    <mergeCell ref="Y30:Y34"/>
    <mergeCell ref="Z30:Z34"/>
    <mergeCell ref="Y35:Y39"/>
    <mergeCell ref="Z35:Z39"/>
  </mergeCells>
  <dataValidations count="1">
    <dataValidation type="list" showDropDown="1" errorTitle="Ошибка" error="Выберите значение из списка" prompt="Выберите значение из списка" sqref="AD29 AD34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277956-D8D9-4F18-9BF3-747411DD706B}" mc:Ignorable="x14ac xr xr2 xr3">
  <sheetPr>
    <tabColor theme="3" tint="0.6"/>
    <outlinePr summaryRight="0" summaryBelow="0"/>
    <pageSetUpPr fitToPage="1"/>
  </sheetPr>
  <dimension ref="A1:BC87"/>
  <sheetViews>
    <sheetView showGridLines="0" zoomScale="64" workbookViewId="0">
      <pane xSplit="30" ySplit="26" topLeftCell="AF56" activePane="bottomRight" state="frozen"/>
      <selection pane="bottomLeft" activeCell="A27" sqref="A27"/>
      <selection pane="topRight" activeCell="AE1" sqref="AE1"/>
      <selection pane="bottomRight" activeCell="AF86" sqref="AF86:AT86"/>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6" style="191" width="20.1328125" customWidth="1"/>
    <col min="37" max="41" style="191" width="20.1328125" hidden="1" customWidth="1"/>
    <col min="42" max="46" style="191" width="20.1328125" customWidth="1"/>
    <col min="47"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377</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430</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431</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432</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390</v>
      </c>
      <c r="AC24" s="1464" t="s">
        <v>433</v>
      </c>
      <c r="AD24" s="1464" t="s">
        <v>434</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435</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407</v>
      </c>
      <c r="AF25" s="1353" t="s">
        <v>408</v>
      </c>
      <c r="AG25" s="1354" t="s">
        <v>408</v>
      </c>
      <c r="AH25" s="1354" t="s">
        <v>408</v>
      </c>
      <c r="AI25" s="1354" t="s">
        <v>408</v>
      </c>
      <c r="AJ25" s="1354" t="s">
        <v>408</v>
      </c>
      <c r="AK25" s="1354" t="s">
        <v>408</v>
      </c>
      <c r="AL25" s="1354" t="s">
        <v>408</v>
      </c>
      <c r="AM25" s="1354" t="s">
        <v>408</v>
      </c>
      <c r="AN25" s="1354" t="s">
        <v>408</v>
      </c>
      <c r="AO25" s="1354" t="s">
        <v>408</v>
      </c>
      <c r="AP25" s="167" t="s">
        <v>407</v>
      </c>
      <c r="AQ25" s="167" t="s">
        <v>407</v>
      </c>
      <c r="AR25" s="167" t="s">
        <v>407</v>
      </c>
      <c r="AS25" s="167" t="s">
        <v>407</v>
      </c>
      <c r="AT25" s="167" t="s">
        <v>407</v>
      </c>
      <c r="AU25" s="167" t="s">
        <v>407</v>
      </c>
      <c r="AV25" s="167" t="s">
        <v>407</v>
      </c>
      <c r="AW25" s="167" t="s">
        <v>407</v>
      </c>
      <c r="AX25" s="167" t="s">
        <v>407</v>
      </c>
      <c r="AY25" s="167" t="s">
        <v>407</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309</v>
      </c>
      <c r="Y27" s="172">
        <v>0</v>
      </c>
      <c r="AB27" s="328" cm="1" t="str">
        <f t="array" ref="AB27:AB27">INDEX('Общие сведения'!$AG$169:$AG$218,MATCH($F27,'Общие сведения'!$Z$169:$Z$218,0))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436</v>
      </c>
      <c r="H28" s="210" t="s">
        <v>437</v>
      </c>
      <c r="I28" s="210" t="str">
        <f>AC28&amp;"::"&amp;AD28</f>
        <v>Количество условных единиц для производства::УЕ</v>
      </c>
      <c r="U28" s="805" cm="1" t="str">
        <f t="array" ref="U28:U28">U27</f>
        <v>false</v>
      </c>
      <c r="AB28" s="502">
        <v>1</v>
      </c>
      <c r="AC28" s="598" t="s">
        <v>438</v>
      </c>
      <c r="AD28" s="477" t="s">
        <v>439</v>
      </c>
      <c r="AE28" s="58" cm="1" t="str">
        <f t="array" ref="AE28:AE28">AE29</f>
        <v>0</v>
      </c>
      <c r="AF28" s="209" cm="1" t="str">
        <f t="array" ref="AF28:AF28">AF29</f>
        <v>0</v>
      </c>
      <c r="AG28" s="209" cm="1" t="str">
        <f t="array" ref="AG28:AG28">AG29</f>
        <v>0</v>
      </c>
      <c r="AH28" s="209" cm="1" t="str">
        <f t="array" ref="AH28:AH28">AH29</f>
        <v>0</v>
      </c>
      <c r="AI28" s="209" cm="1" t="str">
        <f t="array" ref="AI28:AI28">AI29</f>
        <v>0</v>
      </c>
      <c r="AJ28" s="209"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209" cm="1" t="str">
        <f t="array" ref="AQ28:AQ28">AQ29</f>
        <v>0</v>
      </c>
      <c r="AR28" s="209" cm="1" t="str">
        <f t="array" ref="AR28:AR28">AR29</f>
        <v>0</v>
      </c>
      <c r="AS28" s="209" cm="1" t="str">
        <f t="array" ref="AS28:AS28">AS29</f>
        <v>0</v>
      </c>
      <c r="AT28" s="209"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440</v>
      </c>
    </row>
    <row s="217" customFormat="1" customHeight="1" ht="16.672500000000003" hidden="1">
      <c r="E29" s="794">
        <v>17.1</v>
      </c>
      <c r="F29" s="919" cm="1" t="str">
        <f t="array" ref="F29:F29">OFFSET(G29,-1,-1)</f>
        <v>0</v>
      </c>
      <c r="G29" s="736" t="s">
        <v>441</v>
      </c>
      <c r="H29" s="210" t="s">
        <v>437</v>
      </c>
      <c r="I29" s="210" t="str">
        <f>AC29&amp;"::"&amp;AD29</f>
        <v>Установленная тепловая мощность::Гкал/час</v>
      </c>
      <c r="U29" s="805" cm="1" t="str">
        <f t="array" ref="U29:U29">U28</f>
        <v>false</v>
      </c>
      <c r="AB29" s="477" t="s">
        <v>442</v>
      </c>
      <c r="AC29" s="501" t="s">
        <v>443</v>
      </c>
      <c r="AD29" s="477" t="s">
        <v>444</v>
      </c>
      <c r="AE29" s="58"/>
      <c r="AF29" s="209"/>
      <c r="AG29" s="209"/>
      <c r="AH29" s="209"/>
      <c r="AI29" s="209"/>
      <c r="AJ29" s="209"/>
      <c r="AK29" s="58"/>
      <c r="AL29" s="58"/>
      <c r="AM29" s="58"/>
      <c r="AN29" s="58"/>
      <c r="AO29" s="58"/>
      <c r="AP29" s="209"/>
      <c r="AQ29" s="209"/>
      <c r="AR29" s="209"/>
      <c r="AS29" s="209"/>
      <c r="AT29" s="209"/>
      <c r="AU29" s="58"/>
      <c r="AV29" s="58"/>
      <c r="AW29" s="58"/>
      <c r="AX29" s="58"/>
      <c r="AY29" s="58"/>
      <c r="AZ29" s="59"/>
      <c r="BC29" s="1158" t="s">
        <v>445</v>
      </c>
    </row>
    <row s="217" customFormat="1" customHeight="1" ht="16.672500000000003" hidden="1">
      <c r="E30" s="794">
        <v>17.1</v>
      </c>
      <c r="F30" s="919" cm="1" t="str">
        <f t="array" ref="F30:F30">OFFSET(G30,-1,-1)</f>
        <v>0</v>
      </c>
      <c r="G30" s="736" t="s">
        <v>436</v>
      </c>
      <c r="U30" s="805" cm="1" t="str">
        <f t="array" ref="U30:U30">U29</f>
        <v>false</v>
      </c>
      <c r="AB30" s="565" t="s">
        <v>343</v>
      </c>
      <c r="AC30" s="599" t="s">
        <v>446</v>
      </c>
      <c r="AD30" s="477" t="s">
        <v>439</v>
      </c>
      <c r="AE30" s="58">
        <f>AE31+5*AE44+25*AE45+0.5*AE46</f>
        <v>0</v>
      </c>
      <c r="AF30" s="209">
        <f>AF31+5*AF44+25*AF45+0.5*AF46</f>
        <v>0</v>
      </c>
      <c r="AG30" s="209">
        <f>AG31+5*AG44+25*AG45+0.5*AG46</f>
        <v>0</v>
      </c>
      <c r="AH30" s="209">
        <f>AH31+5*AH44+25*AH45+0.5*AH46</f>
        <v>0</v>
      </c>
      <c r="AI30" s="209">
        <f>AI31+5*AI44+25*AI45+0.5*AI46</f>
        <v>0</v>
      </c>
      <c r="AJ30" s="209">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209">
        <f>AQ31+5*AQ44+25*AQ45+0.5*AQ46</f>
        <v>0</v>
      </c>
      <c r="AR30" s="209">
        <f>AR31+5*AR44+25*AR45+0.5*AR46</f>
        <v>0</v>
      </c>
      <c r="AS30" s="209">
        <f>AS31+5*AS44+25*AS45+0.5*AS46</f>
        <v>0</v>
      </c>
      <c r="AT30" s="209">
        <f>AT31+5*AT44+25*AT45+0.5*AT46</f>
        <v>0</v>
      </c>
      <c r="AU30" s="58">
        <f>AU31+5*AU44+25*AU45+0.5*AU46</f>
        <v>0</v>
      </c>
      <c r="AV30" s="58">
        <f>AV31+5*AV44+25*AV45+0.5*AV46</f>
        <v>0</v>
      </c>
      <c r="AW30" s="58">
        <f>AW31+5*AW44+25*AW45+0.5*AW46</f>
        <v>0</v>
      </c>
      <c r="AX30" s="58">
        <f>AX31+5*AX44+25*AX45+0.5*AX46</f>
        <v>0</v>
      </c>
      <c r="AY30" s="58">
        <f>AY31+5*AY44+25*AY45+0.5*AY46</f>
        <v>0</v>
      </c>
      <c r="AZ30" s="59"/>
      <c r="BC30" s="1158" t="s">
        <v>447</v>
      </c>
    </row>
    <row s="217" customFormat="1" customHeight="1" ht="16.672500000000003" hidden="1">
      <c r="E31" s="794">
        <v>17.1</v>
      </c>
      <c r="F31" s="919" cm="1" t="str">
        <f t="array" ref="F31:F31">OFFSET(G31,-1,-1)</f>
        <v>0</v>
      </c>
      <c r="U31" s="805" cm="1" t="str">
        <f t="array" ref="U31:U31">U30</f>
        <v>false</v>
      </c>
      <c r="AB31" s="496" t="s">
        <v>448</v>
      </c>
      <c r="AC31" s="570" t="s">
        <v>449</v>
      </c>
      <c r="AD31" s="477" t="s">
        <v>439</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450</v>
      </c>
    </row>
    <row s="217" customFormat="1" customHeight="1" ht="16.672500000000003" hidden="1">
      <c r="E32" s="794">
        <v>17.1</v>
      </c>
      <c r="F32" s="919" cm="1" t="str">
        <f t="array" ref="F32:F32">OFFSET(G32,-1,-1)</f>
        <v>0</v>
      </c>
      <c r="U32" s="805" cm="1" t="str">
        <f t="array" ref="U32:U32">U31</f>
        <v>false</v>
      </c>
      <c r="AB32" s="569" t="s">
        <v>451</v>
      </c>
      <c r="AC32" s="579" t="s">
        <v>452</v>
      </c>
      <c r="AD32" s="477" t="s">
        <v>439</v>
      </c>
      <c r="AE32" s="58">
        <f>0.75*(11*AE34+MAX(0.06*AE34*(AE33-100),0))</f>
        <v>0</v>
      </c>
      <c r="AF32" s="209">
        <f>0.75*(11*AF34+MAX(0.06*AF34*(AF33-100),0))</f>
        <v>0</v>
      </c>
      <c r="AG32" s="209">
        <f>0.75*(11*AG34+MAX(0.06*AG34*(AG33-100),0))</f>
        <v>0</v>
      </c>
      <c r="AH32" s="209">
        <f>0.75*(11*AH34+MAX(0.06*AH34*(AH33-100),0))</f>
        <v>0</v>
      </c>
      <c r="AI32" s="209">
        <f>0.75*(11*AI34+MAX(0.06*AI34*(AI33-100),0))</f>
        <v>0</v>
      </c>
      <c r="AJ32" s="209">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209">
        <f>0.75*(11*AQ34+MAX(0.06*AQ34*(AQ33-100),0))</f>
        <v>0</v>
      </c>
      <c r="AR32" s="209">
        <f>0.75*(11*AR34+MAX(0.06*AR34*(AR33-100),0))</f>
        <v>0</v>
      </c>
      <c r="AS32" s="209">
        <f>0.75*(11*AS34+MAX(0.06*AS34*(AS33-100),0))</f>
        <v>0</v>
      </c>
      <c r="AT32" s="209">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453</v>
      </c>
    </row>
    <row s="217" customFormat="1" customHeight="1" ht="16.672500000000003" hidden="1">
      <c r="E33" s="794">
        <v>17.1</v>
      </c>
      <c r="F33" s="919" cm="1" t="str">
        <f t="array" ref="F33:F33">OFFSET(G33,-1,-1)</f>
        <v>0</v>
      </c>
      <c r="U33" s="805" cm="1" t="str">
        <f t="array" ref="U33:U33">U32</f>
        <v>false</v>
      </c>
      <c r="AB33" s="576" t="str">
        <f>AB32&amp;".1"</f>
        <v>2.1.1.1</v>
      </c>
      <c r="AC33" s="578" t="s">
        <v>454</v>
      </c>
      <c r="AD33" s="170" t="s">
        <v>455</v>
      </c>
      <c r="AE33" s="60"/>
      <c r="AF33" s="581"/>
      <c r="AG33" s="581"/>
      <c r="AH33" s="581"/>
      <c r="AI33" s="581"/>
      <c r="AJ33" s="581"/>
      <c r="AK33" s="60"/>
      <c r="AL33" s="60"/>
      <c r="AM33" s="60"/>
      <c r="AN33" s="60"/>
      <c r="AO33" s="60"/>
      <c r="AP33" s="581"/>
      <c r="AQ33" s="581"/>
      <c r="AR33" s="581"/>
      <c r="AS33" s="581"/>
      <c r="AT33" s="581"/>
      <c r="AU33" s="60"/>
      <c r="AV33" s="60"/>
      <c r="AW33" s="60"/>
      <c r="AX33" s="60"/>
      <c r="AY33" s="60"/>
      <c r="AZ33" s="59"/>
      <c r="BC33" s="1158" t="s">
        <v>456</v>
      </c>
    </row>
    <row s="217" customFormat="1" customHeight="1" ht="16.672500000000003" hidden="1">
      <c r="E34" s="794">
        <v>17.1</v>
      </c>
      <c r="F34" s="919" cm="1" t="str">
        <f t="array" ref="F34:F34">OFFSET(G34,-1,-1)</f>
        <v>0</v>
      </c>
      <c r="U34" s="805" cm="1" t="str">
        <f t="array" ref="U34:U34">U33</f>
        <v>false</v>
      </c>
      <c r="AB34" s="576" t="str">
        <f>AB32&amp;".2"</f>
        <v>2.1.1.2</v>
      </c>
      <c r="AC34" s="578" t="s">
        <v>457</v>
      </c>
      <c r="AD34" s="577" t="s">
        <v>458</v>
      </c>
      <c r="AE34" s="61"/>
      <c r="AF34" s="280"/>
      <c r="AG34" s="280"/>
      <c r="AH34" s="280"/>
      <c r="AI34" s="280"/>
      <c r="AJ34" s="280"/>
      <c r="AK34" s="61"/>
      <c r="AL34" s="61"/>
      <c r="AM34" s="61"/>
      <c r="AN34" s="61"/>
      <c r="AO34" s="61"/>
      <c r="AP34" s="280"/>
      <c r="AQ34" s="280"/>
      <c r="AR34" s="280"/>
      <c r="AS34" s="280"/>
      <c r="AT34" s="280"/>
      <c r="AU34" s="61"/>
      <c r="AV34" s="61"/>
      <c r="AW34" s="61"/>
      <c r="AX34" s="61"/>
      <c r="AY34" s="61"/>
      <c r="AZ34" s="59"/>
      <c r="BC34" s="1158" t="s">
        <v>459</v>
      </c>
    </row>
    <row s="217" customFormat="1" customHeight="1" ht="16.672500000000003" hidden="1">
      <c r="E35" s="794">
        <v>17.1</v>
      </c>
      <c r="F35" s="919" cm="1" t="str">
        <f t="array" ref="F35:F35">OFFSET(G35,-1,-1)</f>
        <v>0</v>
      </c>
      <c r="U35" s="805" cm="1" t="str">
        <f t="array" ref="U35:U35">U34</f>
        <v>false</v>
      </c>
      <c r="AB35" s="575" t="s">
        <v>460</v>
      </c>
      <c r="AC35" s="559" t="s">
        <v>461</v>
      </c>
      <c r="AD35" s="477" t="s">
        <v>439</v>
      </c>
      <c r="AE35" s="58">
        <f>(11*AE37+MAX(0.06*AE37*(AE36-100),0))</f>
        <v>0</v>
      </c>
      <c r="AF35" s="209">
        <f>(11*AF37+MAX(0.06*AF37*(AF36-100),0))</f>
        <v>0</v>
      </c>
      <c r="AG35" s="209">
        <f>(11*AG37+MAX(0.06*AG37*(AG36-100),0))</f>
        <v>0</v>
      </c>
      <c r="AH35" s="209">
        <f>(11*AH37+MAX(0.06*AH37*(AH36-100),0))</f>
        <v>0</v>
      </c>
      <c r="AI35" s="209">
        <f>(11*AI37+MAX(0.06*AI37*(AI36-100),0))</f>
        <v>0</v>
      </c>
      <c r="AJ35" s="209">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209">
        <f>(11*AQ37+MAX(0.06*AQ37*(AQ36-100),0))</f>
        <v>0</v>
      </c>
      <c r="AR35" s="209">
        <f>(11*AR37+MAX(0.06*AR37*(AR36-100),0))</f>
        <v>0</v>
      </c>
      <c r="AS35" s="209">
        <f>(11*AS37+MAX(0.06*AS37*(AS36-100),0))</f>
        <v>0</v>
      </c>
      <c r="AT35" s="209">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462</v>
      </c>
    </row>
    <row s="217" customFormat="1" customHeight="1" ht="16.672500000000003" hidden="1">
      <c r="E36" s="794">
        <v>17.1</v>
      </c>
      <c r="F36" s="919" cm="1" t="str">
        <f t="array" ref="F36:F36">OFFSET(G36,-1,-1)</f>
        <v>0</v>
      </c>
      <c r="U36" s="805" cm="1" t="str">
        <f t="array" ref="U36:U36">U35</f>
        <v>false</v>
      </c>
      <c r="AB36" s="576" t="str">
        <f>AB35&amp;".1"</f>
        <v>2.1.2.1</v>
      </c>
      <c r="AC36" s="578" t="s">
        <v>454</v>
      </c>
      <c r="AD36" s="670" t="s">
        <v>455</v>
      </c>
      <c r="AE36" s="62"/>
      <c r="AF36" s="280"/>
      <c r="AG36" s="280"/>
      <c r="AH36" s="280"/>
      <c r="AI36" s="280"/>
      <c r="AJ36" s="280"/>
      <c r="AK36" s="61"/>
      <c r="AL36" s="61"/>
      <c r="AM36" s="61"/>
      <c r="AN36" s="61"/>
      <c r="AO36" s="61"/>
      <c r="AP36" s="280"/>
      <c r="AQ36" s="280"/>
      <c r="AR36" s="280"/>
      <c r="AS36" s="280"/>
      <c r="AT36" s="280"/>
      <c r="AU36" s="61"/>
      <c r="AV36" s="61"/>
      <c r="AW36" s="61"/>
      <c r="AX36" s="61"/>
      <c r="AY36" s="61"/>
      <c r="AZ36" s="59"/>
      <c r="BC36" s="1158" t="s">
        <v>463</v>
      </c>
    </row>
    <row s="217" customFormat="1" customHeight="1" ht="16.672500000000003" hidden="1">
      <c r="E37" s="794">
        <v>17.1</v>
      </c>
      <c r="F37" s="919" cm="1" t="str">
        <f t="array" ref="F37:F37">OFFSET(G37,-1,-1)</f>
        <v>0</v>
      </c>
      <c r="U37" s="805" cm="1" t="str">
        <f t="array" ref="U37:U37">U36</f>
        <v>false</v>
      </c>
      <c r="AB37" s="576" t="str">
        <f>AB35&amp;".2"</f>
        <v>2.1.2.2</v>
      </c>
      <c r="AC37" s="718" t="s">
        <v>457</v>
      </c>
      <c r="AD37" s="170" t="s">
        <v>458</v>
      </c>
      <c r="AE37" s="61"/>
      <c r="AF37" s="583"/>
      <c r="AG37" s="280"/>
      <c r="AH37" s="280"/>
      <c r="AI37" s="280"/>
      <c r="AJ37" s="280"/>
      <c r="AK37" s="61"/>
      <c r="AL37" s="61"/>
      <c r="AM37" s="61"/>
      <c r="AN37" s="61"/>
      <c r="AO37" s="61"/>
      <c r="AP37" s="280"/>
      <c r="AQ37" s="280"/>
      <c r="AR37" s="280"/>
      <c r="AS37" s="280"/>
      <c r="AT37" s="280"/>
      <c r="AU37" s="61"/>
      <c r="AV37" s="61"/>
      <c r="AW37" s="61"/>
      <c r="AX37" s="61"/>
      <c r="AY37" s="61"/>
      <c r="AZ37" s="59"/>
      <c r="BC37" s="1158" t="s">
        <v>464</v>
      </c>
    </row>
    <row s="217" customFormat="1" customHeight="1" ht="16.672500000000003" hidden="1">
      <c r="E38" s="794">
        <v>17.1</v>
      </c>
      <c r="F38" s="919" cm="1" t="str">
        <f t="array" ref="F38:F38">OFFSET(G38,-1,-1)</f>
        <v>0</v>
      </c>
      <c r="U38" s="805" cm="1" t="str">
        <f t="array" ref="U38:U38">U37</f>
        <v>false</v>
      </c>
      <c r="AB38" s="285" t="s">
        <v>465</v>
      </c>
      <c r="AC38" s="719" t="s">
        <v>466</v>
      </c>
      <c r="AD38" s="285" t="s">
        <v>439</v>
      </c>
      <c r="AE38" s="61">
        <f>1.25*(11*AE40+MAX(0.06*AE40*(AE39-100),0))</f>
        <v>0</v>
      </c>
      <c r="AF38" s="723">
        <f>1.25*(11*AF40+MAX(0.06*AF40*(AF39-100),0))</f>
        <v>0</v>
      </c>
      <c r="AG38" s="209">
        <f>1.25*(11*AG40+MAX(0.06*AG40*(AG39-100),0))</f>
        <v>0</v>
      </c>
      <c r="AH38" s="209">
        <f>1.25*(11*AH40+MAX(0.06*AH40*(AH39-100),0))</f>
        <v>0</v>
      </c>
      <c r="AI38" s="209">
        <f>1.25*(11*AI40+MAX(0.06*AI40*(AI39-100),0))</f>
        <v>0</v>
      </c>
      <c r="AJ38" s="209">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209">
        <f>1.25*(11*AQ40+MAX(0.06*AQ40*(AQ39-100),0))</f>
        <v>0</v>
      </c>
      <c r="AR38" s="209">
        <f>1.25*(11*AR40+MAX(0.06*AR40*(AR39-100),0))</f>
        <v>0</v>
      </c>
      <c r="AS38" s="209">
        <f>1.25*(11*AS40+MAX(0.06*AS40*(AS39-100),0))</f>
        <v>0</v>
      </c>
      <c r="AT38" s="209">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467</v>
      </c>
    </row>
    <row s="217" customFormat="1" customHeight="1" ht="16.672500000000003" hidden="1">
      <c r="E39" s="794">
        <v>17.1</v>
      </c>
      <c r="F39" s="919" cm="1" t="str">
        <f t="array" ref="F39:F39">OFFSET(G39,-1,-1)</f>
        <v>0</v>
      </c>
      <c r="U39" s="805" cm="1" t="str">
        <f t="array" ref="U39:U39">U38</f>
        <v>false</v>
      </c>
      <c r="AB39" s="576" t="str">
        <f>AB38&amp;".1"</f>
        <v>2.1.3.1</v>
      </c>
      <c r="AC39" s="718" t="s">
        <v>454</v>
      </c>
      <c r="AD39" s="170" t="s">
        <v>455</v>
      </c>
      <c r="AE39" s="61"/>
      <c r="AF39" s="582"/>
      <c r="AG39" s="582"/>
      <c r="AH39" s="582"/>
      <c r="AI39" s="582"/>
      <c r="AJ39" s="582"/>
      <c r="AK39" s="63"/>
      <c r="AL39" s="63"/>
      <c r="AM39" s="63"/>
      <c r="AN39" s="63"/>
      <c r="AO39" s="63"/>
      <c r="AP39" s="582"/>
      <c r="AQ39" s="582"/>
      <c r="AR39" s="582"/>
      <c r="AS39" s="582"/>
      <c r="AT39" s="582"/>
      <c r="AU39" s="63"/>
      <c r="AV39" s="63"/>
      <c r="AW39" s="63"/>
      <c r="AX39" s="63"/>
      <c r="AY39" s="63"/>
      <c r="AZ39" s="59"/>
      <c r="BC39" s="1158" t="s">
        <v>468</v>
      </c>
    </row>
    <row s="217" customFormat="1" customHeight="1" ht="16.672500000000003" hidden="1">
      <c r="E40" s="794">
        <v>17.1</v>
      </c>
      <c r="F40" s="919" cm="1" t="str">
        <f t="array" ref="F40:F40">OFFSET(G40,-1,-1)</f>
        <v>0</v>
      </c>
      <c r="U40" s="805" cm="1" t="str">
        <f t="array" ref="U40:U40">U39</f>
        <v>false</v>
      </c>
      <c r="AB40" s="576" t="str">
        <f>AB38&amp;".2"</f>
        <v>2.1.3.2</v>
      </c>
      <c r="AC40" s="718" t="s">
        <v>457</v>
      </c>
      <c r="AD40" s="170" t="s">
        <v>458</v>
      </c>
      <c r="AE40" s="61"/>
      <c r="AF40" s="583"/>
      <c r="AG40" s="583"/>
      <c r="AH40" s="583"/>
      <c r="AI40" s="583"/>
      <c r="AJ40" s="583"/>
      <c r="AK40" s="64"/>
      <c r="AL40" s="64"/>
      <c r="AM40" s="64"/>
      <c r="AN40" s="64"/>
      <c r="AO40" s="64"/>
      <c r="AP40" s="583"/>
      <c r="AQ40" s="583"/>
      <c r="AR40" s="583"/>
      <c r="AS40" s="583"/>
      <c r="AT40" s="583"/>
      <c r="AU40" s="64"/>
      <c r="AV40" s="64"/>
      <c r="AW40" s="64"/>
      <c r="AX40" s="64"/>
      <c r="AY40" s="64"/>
      <c r="AZ40" s="59"/>
      <c r="BC40" s="1158" t="s">
        <v>469</v>
      </c>
    </row>
    <row s="217" customFormat="1" customHeight="1" ht="16.672500000000003" hidden="1">
      <c r="E41" s="794">
        <v>17.1</v>
      </c>
      <c r="F41" s="919" cm="1" t="str">
        <f t="array" ref="F41:F41">OFFSET(G41,-1,-1)</f>
        <v>0</v>
      </c>
      <c r="H41" s="210" t="s">
        <v>437</v>
      </c>
      <c r="I41" s="210" t="str">
        <f>AC41&amp;"::"&amp;AD41</f>
        <v>Четырехтрубные::УЕ</v>
      </c>
      <c r="U41" s="805" cm="1" t="str">
        <f t="array" ref="U41:U41">U40</f>
        <v>false</v>
      </c>
      <c r="AB41" s="285" t="s">
        <v>470</v>
      </c>
      <c r="AC41" s="719" t="s">
        <v>471</v>
      </c>
      <c r="AD41" s="285" t="s">
        <v>439</v>
      </c>
      <c r="AE41" s="61">
        <f>1.5*(11*AE43+MAX(0.06*AE43*(AE42-100),0))</f>
        <v>0</v>
      </c>
      <c r="AF41" s="723">
        <f>1.5*(11*AF43+MAX(0.06*AF43*(AF42-100),0))</f>
        <v>0</v>
      </c>
      <c r="AG41" s="209">
        <f>1.5*(11*AG43+MAX(0.06*AG43*(AG42-100),0))</f>
        <v>0</v>
      </c>
      <c r="AH41" s="209">
        <f>1.5*(11*AH43+MAX(0.06*AH43*(AH42-100),0))</f>
        <v>0</v>
      </c>
      <c r="AI41" s="209">
        <f>1.5*(11*AI43+MAX(0.06*AI43*(AI42-100),0))</f>
        <v>0</v>
      </c>
      <c r="AJ41" s="209">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209">
        <f>1.5*(11*AQ43+MAX(0.06*AQ43*(AQ42-100),0))</f>
        <v>0</v>
      </c>
      <c r="AR41" s="209">
        <f>1.5*(11*AR43+MAX(0.06*AR43*(AR42-100),0))</f>
        <v>0</v>
      </c>
      <c r="AS41" s="209">
        <f>1.5*(11*AS43+MAX(0.06*AS43*(AS42-100),0))</f>
        <v>0</v>
      </c>
      <c r="AT41" s="209">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472</v>
      </c>
    </row>
    <row s="217" customFormat="1" customHeight="1" ht="16.672500000000003" hidden="1">
      <c r="E42" s="794">
        <v>17.1</v>
      </c>
      <c r="F42" s="919" cm="1" t="str">
        <f t="array" ref="F42:F42">OFFSET(G42,-1,-1)</f>
        <v>0</v>
      </c>
      <c r="U42" s="805" cm="1" t="str">
        <f t="array" ref="U42:U42">U41</f>
        <v>false</v>
      </c>
      <c r="AB42" s="576" t="str">
        <f>AB41&amp;".1"</f>
        <v>2.1.4.1</v>
      </c>
      <c r="AC42" s="718" t="s">
        <v>454</v>
      </c>
      <c r="AD42" s="170" t="s">
        <v>455</v>
      </c>
      <c r="AE42" s="61"/>
      <c r="AF42" s="583"/>
      <c r="AG42" s="583"/>
      <c r="AH42" s="583"/>
      <c r="AI42" s="583"/>
      <c r="AJ42" s="583"/>
      <c r="AK42" s="64"/>
      <c r="AL42" s="64"/>
      <c r="AM42" s="64"/>
      <c r="AN42" s="64"/>
      <c r="AO42" s="64"/>
      <c r="AP42" s="583"/>
      <c r="AQ42" s="583"/>
      <c r="AR42" s="583"/>
      <c r="AS42" s="583"/>
      <c r="AT42" s="583"/>
      <c r="AU42" s="64"/>
      <c r="AV42" s="64"/>
      <c r="AW42" s="64"/>
      <c r="AX42" s="64"/>
      <c r="AY42" s="64"/>
      <c r="AZ42" s="59"/>
      <c r="BC42" s="1158" t="s">
        <v>473</v>
      </c>
    </row>
    <row s="217" customFormat="1" customHeight="1" ht="16.672500000000003" hidden="1">
      <c r="E43" s="794">
        <v>17.1</v>
      </c>
      <c r="F43" s="919" cm="1" t="str">
        <f t="array" ref="F43:F43">OFFSET(G43,-1,-1)</f>
        <v>0</v>
      </c>
      <c r="U43" s="805" cm="1" t="str">
        <f t="array" ref="U43:U43">U42</f>
        <v>false</v>
      </c>
      <c r="AB43" s="576" t="str">
        <f>AB41&amp;".2"</f>
        <v>2.1.4.2</v>
      </c>
      <c r="AC43" s="718" t="s">
        <v>457</v>
      </c>
      <c r="AD43" s="170" t="s">
        <v>458</v>
      </c>
      <c r="AE43" s="61"/>
      <c r="AF43" s="583"/>
      <c r="AG43" s="583"/>
      <c r="AH43" s="583"/>
      <c r="AI43" s="583"/>
      <c r="AJ43" s="583"/>
      <c r="AK43" s="64"/>
      <c r="AL43" s="64"/>
      <c r="AM43" s="64"/>
      <c r="AN43" s="64"/>
      <c r="AO43" s="64"/>
      <c r="AP43" s="583"/>
      <c r="AQ43" s="583"/>
      <c r="AR43" s="583"/>
      <c r="AS43" s="583"/>
      <c r="AT43" s="583"/>
      <c r="AU43" s="64"/>
      <c r="AV43" s="64"/>
      <c r="AW43" s="64"/>
      <c r="AX43" s="64"/>
      <c r="AY43" s="64"/>
      <c r="AZ43" s="59"/>
      <c r="BC43" s="1158" t="s">
        <v>474</v>
      </c>
    </row>
    <row s="217" customFormat="1" customHeight="1" ht="30.03" hidden="1">
      <c r="E44" s="794">
        <v>30.8</v>
      </c>
      <c r="F44" s="919" cm="1" t="str">
        <f t="array" ref="F44:F44">OFFSET(G44,-1,-1)</f>
        <v>0</v>
      </c>
      <c r="U44" s="805" cm="1" t="str">
        <f t="array" ref="U44:U44">U43</f>
        <v>false</v>
      </c>
      <c r="AB44" s="571" t="s">
        <v>475</v>
      </c>
      <c r="AC44" s="720" t="s">
        <v>476</v>
      </c>
      <c r="AD44" s="170" t="s">
        <v>477</v>
      </c>
      <c r="AE44" s="61"/>
      <c r="AF44" s="583"/>
      <c r="AG44" s="280"/>
      <c r="AH44" s="280"/>
      <c r="AI44" s="280"/>
      <c r="AJ44" s="280"/>
      <c r="AK44" s="61"/>
      <c r="AL44" s="61"/>
      <c r="AM44" s="61"/>
      <c r="AN44" s="61"/>
      <c r="AO44" s="61"/>
      <c r="AP44" s="280"/>
      <c r="AQ44" s="280"/>
      <c r="AR44" s="280"/>
      <c r="AS44" s="280"/>
      <c r="AT44" s="280"/>
      <c r="AU44" s="61"/>
      <c r="AV44" s="61"/>
      <c r="AW44" s="61"/>
      <c r="AX44" s="61"/>
      <c r="AY44" s="61"/>
      <c r="AZ44" s="59"/>
      <c r="BC44" s="1158" t="s">
        <v>478</v>
      </c>
    </row>
    <row s="217" customFormat="1" customHeight="1" ht="38.805" hidden="1">
      <c r="E45" s="794">
        <v>39.8</v>
      </c>
      <c r="F45" s="919" cm="1" t="str">
        <f t="array" ref="F45:F45">OFFSET(G45,-1,-1)</f>
        <v>0</v>
      </c>
      <c r="U45" s="805" cm="1" t="str">
        <f t="array" ref="U45:U45">U44</f>
        <v>false</v>
      </c>
      <c r="AB45" s="572" t="s">
        <v>479</v>
      </c>
      <c r="AC45" s="721" t="s">
        <v>480</v>
      </c>
      <c r="AD45" s="170" t="s">
        <v>481</v>
      </c>
      <c r="AE45" s="61"/>
      <c r="AF45" s="583"/>
      <c r="AG45" s="280"/>
      <c r="AH45" s="280"/>
      <c r="AI45" s="280"/>
      <c r="AJ45" s="280"/>
      <c r="AK45" s="61"/>
      <c r="AL45" s="61"/>
      <c r="AM45" s="61"/>
      <c r="AN45" s="61"/>
      <c r="AO45" s="61"/>
      <c r="AP45" s="280"/>
      <c r="AQ45" s="280"/>
      <c r="AR45" s="280"/>
      <c r="AS45" s="280"/>
      <c r="AT45" s="280"/>
      <c r="AU45" s="61"/>
      <c r="AV45" s="61"/>
      <c r="AW45" s="61"/>
      <c r="AX45" s="61"/>
      <c r="AY45" s="61"/>
      <c r="AZ45" s="59"/>
      <c r="BC45" s="1158" t="s">
        <v>482</v>
      </c>
    </row>
    <row s="217" customFormat="1" customHeight="1" ht="48.26250000000001" hidden="1">
      <c r="E46" s="794">
        <v>49.5</v>
      </c>
      <c r="F46" s="919" cm="1" t="str">
        <f t="array" ref="F46:F46">OFFSET(G46,-1,-1)</f>
        <v>0</v>
      </c>
      <c r="H46" s="210" t="s">
        <v>437</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483</v>
      </c>
      <c r="AC46" s="161" t="s">
        <v>484</v>
      </c>
      <c r="AD46" s="555" t="s">
        <v>444</v>
      </c>
      <c r="AE46" s="65"/>
      <c r="AF46" s="280"/>
      <c r="AG46" s="280"/>
      <c r="AH46" s="280"/>
      <c r="AI46" s="280"/>
      <c r="AJ46" s="280"/>
      <c r="AK46" s="61"/>
      <c r="AL46" s="61"/>
      <c r="AM46" s="61"/>
      <c r="AN46" s="61"/>
      <c r="AO46" s="61"/>
      <c r="AP46" s="280"/>
      <c r="AQ46" s="280"/>
      <c r="AR46" s="280"/>
      <c r="AS46" s="280"/>
      <c r="AT46" s="280"/>
      <c r="AU46" s="61"/>
      <c r="AV46" s="61"/>
      <c r="AW46" s="61"/>
      <c r="AX46" s="61"/>
      <c r="AY46" s="61"/>
      <c r="AZ46" s="59"/>
      <c r="BC46" s="1158" t="s">
        <v>485</v>
      </c>
    </row>
    <row s="1653"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X47" s="217"/>
      <c r="Y47" s="172" t="s">
        <v>335</v>
      </c>
      <c r="Z47" s="217"/>
      <c r="AA47" s="217"/>
      <c r="AB47" s="328" cm="1" t="str">
        <f t="array" ref="AB47:AB47">IF(ISBLANK('Список объектов'!$AB$30),"",'Список объектов'!$AB$30)</f>
        <v>Тариф 1 (Теплоснабжение) - Тариф на тепловую энергию (мощность), поставляемую потребителям (Тариф: Носитель - горячая вода (Т); Носитель - горячая вода (Т))</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54" customFormat="1" customHeight="1" ht="16.5">
      <c r="A48" s="217"/>
      <c r="B48" s="217"/>
      <c r="C48" s="217"/>
      <c r="D48" s="217"/>
      <c r="E48" s="794">
        <v>17.1</v>
      </c>
      <c r="F48" s="919" cm="1" t="str">
        <f t="array" ref="F48:F48">OFFSET(G48,-1,-1)</f>
        <v>1</v>
      </c>
      <c r="G48" s="736" t="s">
        <v>436</v>
      </c>
      <c r="H48" s="210" t="s">
        <v>437</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438</v>
      </c>
      <c r="AD48" s="477" t="s">
        <v>439</v>
      </c>
      <c r="AE48" s="1655" cm="1" t="str">
        <f t="array" ref="AE48:AE48">AE49</f>
        <v>1.38</v>
      </c>
      <c r="AF48" s="209" cm="1" t="str">
        <f t="array" ref="AF48:AF48">AF49</f>
        <v>1.38</v>
      </c>
      <c r="AG48" s="209" cm="1" t="str">
        <f t="array" ref="AG48:AG48">AG49</f>
        <v>1.38</v>
      </c>
      <c r="AH48" s="209" cm="1" t="str">
        <f t="array" ref="AH48:AH48">AH49</f>
        <v>1.38</v>
      </c>
      <c r="AI48" s="209" cm="1" t="str">
        <f t="array" ref="AI48:AI48">AI49</f>
        <v>1.38</v>
      </c>
      <c r="AJ48" s="209" cm="1" t="str">
        <f t="array" ref="AJ48:AJ48">AJ49</f>
        <v>1.38</v>
      </c>
      <c r="AK48" s="1655" cm="1" t="str">
        <f t="array" ref="AK48:AK48">AK49</f>
        <v>1.38</v>
      </c>
      <c r="AL48" s="1655" cm="1" t="str">
        <f t="array" ref="AL48:AL48">AL49</f>
        <v>1.38</v>
      </c>
      <c r="AM48" s="1655" cm="1" t="str">
        <f t="array" ref="AM48:AM48">AM49</f>
        <v>1.38</v>
      </c>
      <c r="AN48" s="1655" cm="1" t="str">
        <f t="array" ref="AN48:AN48">AN49</f>
        <v>1.38</v>
      </c>
      <c r="AO48" s="1655" cm="1" t="str">
        <f t="array" ref="AO48:AO48">AO49</f>
        <v>1.38</v>
      </c>
      <c r="AP48" s="209" cm="1" t="str">
        <f t="array" ref="AP48:AP48">AP49</f>
        <v>1.38</v>
      </c>
      <c r="AQ48" s="209" cm="1" t="str">
        <f t="array" ref="AQ48:AQ48">AQ49</f>
        <v>1.38</v>
      </c>
      <c r="AR48" s="209" cm="1" t="str">
        <f t="array" ref="AR48:AR48">AR49</f>
        <v>1.38</v>
      </c>
      <c r="AS48" s="209" cm="1" t="str">
        <f t="array" ref="AS48:AS48">AS49</f>
        <v>1.38</v>
      </c>
      <c r="AT48" s="209" cm="1" t="str">
        <f t="array" ref="AT48:AT48">AT49</f>
        <v>1.38</v>
      </c>
      <c r="AU48" s="1655" cm="1" t="str">
        <f t="array" ref="AU48:AU48">AU49</f>
        <v>0</v>
      </c>
      <c r="AV48" s="1655" cm="1" t="str">
        <f t="array" ref="AV48:AV48">AV49</f>
        <v>0</v>
      </c>
      <c r="AW48" s="1655" cm="1" t="str">
        <f t="array" ref="AW48:AW48">AW49</f>
        <v>0</v>
      </c>
      <c r="AX48" s="1655" cm="1" t="str">
        <f t="array" ref="AX48:AX48">AX49</f>
        <v>0</v>
      </c>
      <c r="AY48" s="1655" cm="1" t="str">
        <f t="array" ref="AY48:AY48">AY49</f>
        <v>0</v>
      </c>
      <c r="AZ48" s="1657"/>
      <c r="BA48" s="217"/>
      <c r="BB48" s="217"/>
      <c r="BC48" s="1158" t="s">
        <v>440</v>
      </c>
    </row>
    <row s="1658" customFormat="1" customHeight="1" ht="16.5">
      <c r="A49" s="217"/>
      <c r="B49" s="217"/>
      <c r="C49" s="217"/>
      <c r="D49" s="217"/>
      <c r="E49" s="794">
        <v>17.1</v>
      </c>
      <c r="F49" s="919" cm="1" t="str">
        <f t="array" ref="F49:F49">OFFSET(G49,-1,-1)</f>
        <v>1</v>
      </c>
      <c r="G49" s="736" t="s">
        <v>441</v>
      </c>
      <c r="H49" s="210" t="s">
        <v>437</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442</v>
      </c>
      <c r="AC49" s="501" t="s">
        <v>443</v>
      </c>
      <c r="AD49" s="477" t="s">
        <v>444</v>
      </c>
      <c r="AE49" s="1655">
        <v>1.38</v>
      </c>
      <c r="AF49" s="209">
        <v>1.38</v>
      </c>
      <c r="AG49" s="209">
        <v>1.38</v>
      </c>
      <c r="AH49" s="209">
        <v>1.38</v>
      </c>
      <c r="AI49" s="209">
        <v>1.38</v>
      </c>
      <c r="AJ49" s="209">
        <v>1.38</v>
      </c>
      <c r="AK49" s="1655">
        <v>1.38</v>
      </c>
      <c r="AL49" s="1655">
        <v>1.38</v>
      </c>
      <c r="AM49" s="1655">
        <v>1.38</v>
      </c>
      <c r="AN49" s="1655">
        <v>1.38</v>
      </c>
      <c r="AO49" s="1655">
        <v>1.38</v>
      </c>
      <c r="AP49" s="209">
        <v>1.38</v>
      </c>
      <c r="AQ49" s="209">
        <v>1.38</v>
      </c>
      <c r="AR49" s="209">
        <v>1.38</v>
      </c>
      <c r="AS49" s="209">
        <v>1.38</v>
      </c>
      <c r="AT49" s="209">
        <v>1.38</v>
      </c>
      <c r="AU49" s="1655"/>
      <c r="AV49" s="1655"/>
      <c r="AW49" s="1655"/>
      <c r="AX49" s="1655"/>
      <c r="AY49" s="1655"/>
      <c r="AZ49" s="1657"/>
      <c r="BA49" s="217"/>
      <c r="BB49" s="217"/>
      <c r="BC49" s="1158" t="s">
        <v>445</v>
      </c>
    </row>
    <row s="1659" customFormat="1" customHeight="1" ht="16.5">
      <c r="A50" s="217"/>
      <c r="B50" s="217"/>
      <c r="C50" s="217"/>
      <c r="D50" s="217"/>
      <c r="E50" s="794">
        <v>17.1</v>
      </c>
      <c r="F50" s="919" cm="1" t="str">
        <f t="array" ref="F50:F50">OFFSET(G50,-1,-1)</f>
        <v>1</v>
      </c>
      <c r="G50" s="736" t="s">
        <v>436</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343</v>
      </c>
      <c r="AC50" s="599" t="s">
        <v>446</v>
      </c>
      <c r="AD50" s="477" t="s">
        <v>439</v>
      </c>
      <c r="AE50" s="1655">
        <f>AE51+5*AE64+25*AE65+0.5*AE66</f>
        <v>5.75</v>
      </c>
      <c r="AF50" s="209">
        <f>AF51+5*AF64+25*AF65+0.5*AF66</f>
        <v>5.75</v>
      </c>
      <c r="AG50" s="209">
        <f>AG51+5*AG64+25*AG65+0.5*AG66</f>
        <v>5.75</v>
      </c>
      <c r="AH50" s="209">
        <f>AH51+5*AH64+25*AH65+0.5*AH66</f>
        <v>5.75</v>
      </c>
      <c r="AI50" s="209">
        <f>AI51+5*AI64+25*AI65+0.5*AI66</f>
        <v>5.75</v>
      </c>
      <c r="AJ50" s="209">
        <f>AJ51+5*AJ64+25*AJ65+0.5*AJ66</f>
        <v>5.75</v>
      </c>
      <c r="AK50" s="1655">
        <f>AK51+5*AK64+25*AK65+0.5*AK66</f>
        <v>0.69</v>
      </c>
      <c r="AL50" s="1655">
        <f>AL51+5*AL64+25*AL65+0.5*AL66</f>
        <v>0.69</v>
      </c>
      <c r="AM50" s="1655">
        <f>AM51+5*AM64+25*AM65+0.5*AM66</f>
        <v>0.69</v>
      </c>
      <c r="AN50" s="1655">
        <f>AN51+5*AN64+25*AN65+0.5*AN66</f>
        <v>0.69</v>
      </c>
      <c r="AO50" s="1655">
        <f>AO51+5*AO64+25*AO65+0.5*AO66</f>
        <v>0.69</v>
      </c>
      <c r="AP50" s="209">
        <f>AP51+5*AP64+25*AP65+0.5*AP66</f>
        <v>5.75</v>
      </c>
      <c r="AQ50" s="209">
        <f>AQ51+5*AQ64+25*AQ65+0.5*AQ66</f>
        <v>5.75</v>
      </c>
      <c r="AR50" s="209">
        <f>AR51+5*AR64+25*AR65+0.5*AR66</f>
        <v>5.75</v>
      </c>
      <c r="AS50" s="209">
        <f>AS51+5*AS64+25*AS65+0.5*AS66</f>
        <v>5.75</v>
      </c>
      <c r="AT50" s="209">
        <f>AT51+5*AT64+25*AT65+0.5*AT66</f>
        <v>5.75</v>
      </c>
      <c r="AU50" s="1655">
        <f>AU51+5*AU64+25*AU65+0.5*AU66</f>
        <v>0</v>
      </c>
      <c r="AV50" s="1655">
        <f>AV51+5*AV64+25*AV65+0.5*AV66</f>
        <v>0</v>
      </c>
      <c r="AW50" s="1655">
        <f>AW51+5*AW64+25*AW65+0.5*AW66</f>
        <v>0</v>
      </c>
      <c r="AX50" s="1655">
        <f>AX51+5*AX64+25*AX65+0.5*AX66</f>
        <v>0</v>
      </c>
      <c r="AY50" s="1655">
        <f>AY51+5*AY64+25*AY65+0.5*AY66</f>
        <v>0</v>
      </c>
      <c r="AZ50" s="1657"/>
      <c r="BA50" s="217"/>
      <c r="BB50" s="217"/>
      <c r="BC50" s="1158" t="s">
        <v>447</v>
      </c>
    </row>
    <row s="1660"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448</v>
      </c>
      <c r="AC51" s="570" t="s">
        <v>449</v>
      </c>
      <c r="AD51" s="477" t="s">
        <v>439</v>
      </c>
      <c r="AE51" s="264">
        <f>AE52+AE55+AE58+AE61</f>
        <v>5.06</v>
      </c>
      <c r="AF51" s="264">
        <f>AF52+AF55+AF58+AF61</f>
        <v>5.06</v>
      </c>
      <c r="AG51" s="264">
        <f>AG52+AG55+AG58+AG61</f>
        <v>5.06</v>
      </c>
      <c r="AH51" s="264">
        <f>AH52+AH55+AH58+AH61</f>
        <v>5.06</v>
      </c>
      <c r="AI51" s="264">
        <f>AI52+AI55+AI58+AI61</f>
        <v>5.06</v>
      </c>
      <c r="AJ51" s="264">
        <f>AJ52+AJ55+AJ58+AJ61</f>
        <v>5.06</v>
      </c>
      <c r="AK51" s="264">
        <f>AK52+AK55+AK58+AK61</f>
        <v>0</v>
      </c>
      <c r="AL51" s="264">
        <f>AL52+AL55+AL58+AL61</f>
        <v>0</v>
      </c>
      <c r="AM51" s="264">
        <f>AM52+AM55+AM58+AM61</f>
        <v>0</v>
      </c>
      <c r="AN51" s="264">
        <f>AN52+AN55+AN58+AN61</f>
        <v>0</v>
      </c>
      <c r="AO51" s="264">
        <f>AO52+AO55+AO58+AO61</f>
        <v>0</v>
      </c>
      <c r="AP51" s="264">
        <f>AP52+AP55+AP58+AP61</f>
        <v>5.06</v>
      </c>
      <c r="AQ51" s="264">
        <f>AQ52+AQ55+AQ58+AQ61</f>
        <v>5.06</v>
      </c>
      <c r="AR51" s="264">
        <f>AR52+AR55+AR58+AR61</f>
        <v>5.06</v>
      </c>
      <c r="AS51" s="264">
        <f>AS52+AS55+AS58+AS61</f>
        <v>5.06</v>
      </c>
      <c r="AT51" s="264">
        <f>AT52+AT55+AT58+AT61</f>
        <v>5.06</v>
      </c>
      <c r="AU51" s="264">
        <f>AU52+AU55+AU58+AU61</f>
        <v>0</v>
      </c>
      <c r="AV51" s="264">
        <f>AV52+AV55+AV58+AV61</f>
        <v>0</v>
      </c>
      <c r="AW51" s="264">
        <f>AW52+AW55+AW58+AW61</f>
        <v>0</v>
      </c>
      <c r="AX51" s="264">
        <f>AX52+AX55+AX58+AX61</f>
        <v>0</v>
      </c>
      <c r="AY51" s="264">
        <f>AY52+AY55+AY58+AY61</f>
        <v>0</v>
      </c>
      <c r="AZ51" s="1657"/>
      <c r="BA51" s="217"/>
      <c r="BB51" s="217"/>
      <c r="BC51" s="1158" t="s">
        <v>450</v>
      </c>
    </row>
    <row s="1661"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451</v>
      </c>
      <c r="AC52" s="579" t="s">
        <v>452</v>
      </c>
      <c r="AD52" s="477" t="s">
        <v>439</v>
      </c>
      <c r="AE52" s="1655">
        <f>0.75*(11*AE54+MAX(0.06*AE54*(AE53-100),0))</f>
        <v>0</v>
      </c>
      <c r="AF52" s="209">
        <f>0.75*(11*AF54+MAX(0.06*AF54*(AF53-100),0))</f>
        <v>0</v>
      </c>
      <c r="AG52" s="209">
        <f>0.75*(11*AG54+MAX(0.06*AG54*(AG53-100),0))</f>
        <v>0</v>
      </c>
      <c r="AH52" s="209">
        <f>0.75*(11*AH54+MAX(0.06*AH54*(AH53-100),0))</f>
        <v>0</v>
      </c>
      <c r="AI52" s="209">
        <f>0.75*(11*AI54+MAX(0.06*AI54*(AI53-100),0))</f>
        <v>0</v>
      </c>
      <c r="AJ52" s="209">
        <f>0.75*(11*AJ54+MAX(0.06*AJ54*(AJ53-100),0))</f>
        <v>0</v>
      </c>
      <c r="AK52" s="1655">
        <f>0.75*(11*AK54+MAX(0.06*AK54*(AK53-100),0))</f>
        <v>0</v>
      </c>
      <c r="AL52" s="1655">
        <f>0.75*(11*AL54+MAX(0.06*AL54*(AL53-100),0))</f>
        <v>0</v>
      </c>
      <c r="AM52" s="1655">
        <f>0.75*(11*AM54+MAX(0.06*AM54*(AM53-100),0))</f>
        <v>0</v>
      </c>
      <c r="AN52" s="1655">
        <f>0.75*(11*AN54+MAX(0.06*AN54*(AN53-100),0))</f>
        <v>0</v>
      </c>
      <c r="AO52" s="1655">
        <f>0.75*(11*AO54+MAX(0.06*AO54*(AO53-100),0))</f>
        <v>0</v>
      </c>
      <c r="AP52" s="209">
        <f>0.75*(11*AP54+MAX(0.06*AP54*(AP53-100),0))</f>
        <v>0</v>
      </c>
      <c r="AQ52" s="209">
        <f>0.75*(11*AQ54+MAX(0.06*AQ54*(AQ53-100),0))</f>
        <v>0</v>
      </c>
      <c r="AR52" s="209">
        <f>0.75*(11*AR54+MAX(0.06*AR54*(AR53-100),0))</f>
        <v>0</v>
      </c>
      <c r="AS52" s="209">
        <f>0.75*(11*AS54+MAX(0.06*AS54*(AS53-100),0))</f>
        <v>0</v>
      </c>
      <c r="AT52" s="209">
        <f>0.75*(11*AT54+MAX(0.06*AT54*(AT53-100),0))</f>
        <v>0</v>
      </c>
      <c r="AU52" s="1655">
        <f>0.75*(11*AU54+MAX(0.06*AU54*(AU53-100),0))</f>
        <v>0</v>
      </c>
      <c r="AV52" s="1655">
        <f>0.75*(11*AV54+MAX(0.06*AV54*(AV53-100),0))</f>
        <v>0</v>
      </c>
      <c r="AW52" s="1655">
        <f>0.75*(11*AW54+MAX(0.06*AW54*(AW53-100),0))</f>
        <v>0</v>
      </c>
      <c r="AX52" s="1655">
        <f>0.75*(11*AX54+MAX(0.06*AX54*(AX53-100),0))</f>
        <v>0</v>
      </c>
      <c r="AY52" s="1655">
        <f>0.75*(11*AY54+MAX(0.06*AY54*(AY53-100),0))</f>
        <v>0</v>
      </c>
      <c r="AZ52" s="1657"/>
      <c r="BA52" s="217"/>
      <c r="BB52" s="217"/>
      <c r="BC52" s="1158" t="s">
        <v>453</v>
      </c>
    </row>
    <row s="1662"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454</v>
      </c>
      <c r="AD53" s="170" t="s">
        <v>455</v>
      </c>
      <c r="AE53" s="1663"/>
      <c r="AF53" s="581"/>
      <c r="AG53" s="581"/>
      <c r="AH53" s="581"/>
      <c r="AI53" s="581"/>
      <c r="AJ53" s="581"/>
      <c r="AK53" s="1663"/>
      <c r="AL53" s="1663"/>
      <c r="AM53" s="1663"/>
      <c r="AN53" s="1663"/>
      <c r="AO53" s="1663"/>
      <c r="AP53" s="581"/>
      <c r="AQ53" s="581"/>
      <c r="AR53" s="581"/>
      <c r="AS53" s="581"/>
      <c r="AT53" s="581"/>
      <c r="AU53" s="1663"/>
      <c r="AV53" s="1663"/>
      <c r="AW53" s="1663"/>
      <c r="AX53" s="1663"/>
      <c r="AY53" s="1663"/>
      <c r="AZ53" s="1657"/>
      <c r="BA53" s="217"/>
      <c r="BB53" s="217"/>
      <c r="BC53" s="1158" t="s">
        <v>456</v>
      </c>
    </row>
    <row s="1665"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457</v>
      </c>
      <c r="AD54" s="577" t="s">
        <v>458</v>
      </c>
      <c r="AE54" s="1666"/>
      <c r="AF54" s="280"/>
      <c r="AG54" s="280"/>
      <c r="AH54" s="280"/>
      <c r="AI54" s="280"/>
      <c r="AJ54" s="280"/>
      <c r="AK54" s="1666"/>
      <c r="AL54" s="1666"/>
      <c r="AM54" s="1666"/>
      <c r="AN54" s="1666"/>
      <c r="AO54" s="1666"/>
      <c r="AP54" s="280"/>
      <c r="AQ54" s="280"/>
      <c r="AR54" s="280"/>
      <c r="AS54" s="280"/>
      <c r="AT54" s="280"/>
      <c r="AU54" s="1666"/>
      <c r="AV54" s="1666"/>
      <c r="AW54" s="1666"/>
      <c r="AX54" s="1666"/>
      <c r="AY54" s="1666"/>
      <c r="AZ54" s="1657"/>
      <c r="BA54" s="217"/>
      <c r="BB54" s="217"/>
      <c r="BC54" s="1158" t="s">
        <v>459</v>
      </c>
    </row>
    <row s="1668"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460</v>
      </c>
      <c r="AC55" s="559" t="s">
        <v>461</v>
      </c>
      <c r="AD55" s="477" t="s">
        <v>439</v>
      </c>
      <c r="AE55" s="1655">
        <f>(11*AE57+MAX(0.06*AE57*(AE56-100),0))</f>
        <v>5.06</v>
      </c>
      <c r="AF55" s="209">
        <f>(11*AF57+MAX(0.06*AF57*(AF56-100),0))</f>
        <v>5.06</v>
      </c>
      <c r="AG55" s="209">
        <f>(11*AG57+MAX(0.06*AG57*(AG56-100),0))</f>
        <v>5.06</v>
      </c>
      <c r="AH55" s="209">
        <f>(11*AH57+MAX(0.06*AH57*(AH56-100),0))</f>
        <v>5.06</v>
      </c>
      <c r="AI55" s="209">
        <f>(11*AI57+MAX(0.06*AI57*(AI56-100),0))</f>
        <v>5.06</v>
      </c>
      <c r="AJ55" s="209">
        <f>(11*AJ57+MAX(0.06*AJ57*(AJ56-100),0))</f>
        <v>5.06</v>
      </c>
      <c r="AK55" s="1655">
        <f>(11*AK57+MAX(0.06*AK57*(AK56-100),0))</f>
        <v>0</v>
      </c>
      <c r="AL55" s="1655">
        <f>(11*AL57+MAX(0.06*AL57*(AL56-100),0))</f>
        <v>0</v>
      </c>
      <c r="AM55" s="1655">
        <f>(11*AM57+MAX(0.06*AM57*(AM56-100),0))</f>
        <v>0</v>
      </c>
      <c r="AN55" s="1655">
        <f>(11*AN57+MAX(0.06*AN57*(AN56-100),0))</f>
        <v>0</v>
      </c>
      <c r="AO55" s="1655">
        <f>(11*AO57+MAX(0.06*AO57*(AO56-100),0))</f>
        <v>0</v>
      </c>
      <c r="AP55" s="209">
        <f>(11*AP57+MAX(0.06*AP57*(AP56-100),0))</f>
        <v>5.06</v>
      </c>
      <c r="AQ55" s="209">
        <f>(11*AQ57+MAX(0.06*AQ57*(AQ56-100),0))</f>
        <v>5.06</v>
      </c>
      <c r="AR55" s="209">
        <f>(11*AR57+MAX(0.06*AR57*(AR56-100),0))</f>
        <v>5.06</v>
      </c>
      <c r="AS55" s="209">
        <f>(11*AS57+MAX(0.06*AS57*(AS56-100),0))</f>
        <v>5.06</v>
      </c>
      <c r="AT55" s="209">
        <f>(11*AT57+MAX(0.06*AT57*(AT56-100),0))</f>
        <v>5.06</v>
      </c>
      <c r="AU55" s="1655">
        <f>(11*AU57+MAX(0.06*AU57*(AU56-100),0))</f>
        <v>0</v>
      </c>
      <c r="AV55" s="1655">
        <f>(11*AV57+MAX(0.06*AV57*(AV56-100),0))</f>
        <v>0</v>
      </c>
      <c r="AW55" s="1655">
        <f>(11*AW57+MAX(0.06*AW57*(AW56-100),0))</f>
        <v>0</v>
      </c>
      <c r="AX55" s="1655">
        <f>(11*AX57+MAX(0.06*AX57*(AX56-100),0))</f>
        <v>0</v>
      </c>
      <c r="AY55" s="1655">
        <f>(11*AY57+MAX(0.06*AY57*(AY56-100),0))</f>
        <v>0</v>
      </c>
      <c r="AZ55" s="1657"/>
      <c r="BA55" s="217"/>
      <c r="BB55" s="217"/>
      <c r="BC55" s="1158" t="s">
        <v>462</v>
      </c>
    </row>
    <row s="1669"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454</v>
      </c>
      <c r="AD56" s="670" t="s">
        <v>455</v>
      </c>
      <c r="AE56" s="1670">
        <v>94.91</v>
      </c>
      <c r="AF56" s="280">
        <v>94.91</v>
      </c>
      <c r="AG56" s="280">
        <v>94.91</v>
      </c>
      <c r="AH56" s="280">
        <v>94.91</v>
      </c>
      <c r="AI56" s="280">
        <v>94.91</v>
      </c>
      <c r="AJ56" s="280">
        <v>94.91</v>
      </c>
      <c r="AK56" s="1666"/>
      <c r="AL56" s="1666"/>
      <c r="AM56" s="1666"/>
      <c r="AN56" s="1666"/>
      <c r="AO56" s="1666"/>
      <c r="AP56" s="280">
        <v>94.91</v>
      </c>
      <c r="AQ56" s="280">
        <v>94.91</v>
      </c>
      <c r="AR56" s="280">
        <v>94.91</v>
      </c>
      <c r="AS56" s="280">
        <v>94.91</v>
      </c>
      <c r="AT56" s="280">
        <v>94.91</v>
      </c>
      <c r="AU56" s="1666"/>
      <c r="AV56" s="1666"/>
      <c r="AW56" s="1666"/>
      <c r="AX56" s="1666"/>
      <c r="AY56" s="1666"/>
      <c r="AZ56" s="1657"/>
      <c r="BA56" s="217"/>
      <c r="BB56" s="217"/>
      <c r="BC56" s="1158" t="s">
        <v>463</v>
      </c>
    </row>
    <row s="1671"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457</v>
      </c>
      <c r="AD57" s="170" t="s">
        <v>458</v>
      </c>
      <c r="AE57" s="1666">
        <v>0.46</v>
      </c>
      <c r="AF57" s="583">
        <v>0.46</v>
      </c>
      <c r="AG57" s="280">
        <v>0.46</v>
      </c>
      <c r="AH57" s="280">
        <v>0.46</v>
      </c>
      <c r="AI57" s="280">
        <v>0.46</v>
      </c>
      <c r="AJ57" s="280">
        <v>0.46</v>
      </c>
      <c r="AK57" s="1666"/>
      <c r="AL57" s="1666"/>
      <c r="AM57" s="1666"/>
      <c r="AN57" s="1666"/>
      <c r="AO57" s="1666"/>
      <c r="AP57" s="280">
        <v>0.46</v>
      </c>
      <c r="AQ57" s="280">
        <v>0.46</v>
      </c>
      <c r="AR57" s="280">
        <v>0.46</v>
      </c>
      <c r="AS57" s="280">
        <v>0.46</v>
      </c>
      <c r="AT57" s="280">
        <v>0.46</v>
      </c>
      <c r="AU57" s="1666"/>
      <c r="AV57" s="1666"/>
      <c r="AW57" s="1666"/>
      <c r="AX57" s="1666"/>
      <c r="AY57" s="1666"/>
      <c r="AZ57" s="1657"/>
      <c r="BA57" s="217"/>
      <c r="BB57" s="217"/>
      <c r="BC57" s="1158" t="s">
        <v>464</v>
      </c>
    </row>
    <row s="1673"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465</v>
      </c>
      <c r="AC58" s="719" t="s">
        <v>466</v>
      </c>
      <c r="AD58" s="285" t="s">
        <v>439</v>
      </c>
      <c r="AE58" s="1666">
        <f>1.25*(11*AE60+MAX(0.06*AE60*(AE59-100),0))</f>
        <v>0</v>
      </c>
      <c r="AF58" s="723">
        <f>1.25*(11*AF60+MAX(0.06*AF60*(AF59-100),0))</f>
        <v>0</v>
      </c>
      <c r="AG58" s="209">
        <f>1.25*(11*AG60+MAX(0.06*AG60*(AG59-100),0))</f>
        <v>0</v>
      </c>
      <c r="AH58" s="209">
        <f>1.25*(11*AH60+MAX(0.06*AH60*(AH59-100),0))</f>
        <v>0</v>
      </c>
      <c r="AI58" s="209">
        <f>1.25*(11*AI60+MAX(0.06*AI60*(AI59-100),0))</f>
        <v>0</v>
      </c>
      <c r="AJ58" s="209">
        <f>1.25*(11*AJ60+MAX(0.06*AJ60*(AJ59-100),0))</f>
        <v>0</v>
      </c>
      <c r="AK58" s="1655">
        <f>1.25*(11*AK60+MAX(0.06*AK60*(AK59-100),0))</f>
        <v>0</v>
      </c>
      <c r="AL58" s="1655">
        <f>1.25*(11*AL60+MAX(0.06*AL60*(AL59-100),0))</f>
        <v>0</v>
      </c>
      <c r="AM58" s="1655">
        <f>1.25*(11*AM60+MAX(0.06*AM60*(AM59-100),0))</f>
        <v>0</v>
      </c>
      <c r="AN58" s="1655">
        <f>1.25*(11*AN60+MAX(0.06*AN60*(AN59-100),0))</f>
        <v>0</v>
      </c>
      <c r="AO58" s="1655">
        <f>1.25*(11*AO60+MAX(0.06*AO60*(AO59-100),0))</f>
        <v>0</v>
      </c>
      <c r="AP58" s="209">
        <f>1.25*(11*AP60+MAX(0.06*AP60*(AP59-100),0))</f>
        <v>0</v>
      </c>
      <c r="AQ58" s="209">
        <f>1.25*(11*AQ60+MAX(0.06*AQ60*(AQ59-100),0))</f>
        <v>0</v>
      </c>
      <c r="AR58" s="209">
        <f>1.25*(11*AR60+MAX(0.06*AR60*(AR59-100),0))</f>
        <v>0</v>
      </c>
      <c r="AS58" s="209">
        <f>1.25*(11*AS60+MAX(0.06*AS60*(AS59-100),0))</f>
        <v>0</v>
      </c>
      <c r="AT58" s="209">
        <f>1.25*(11*AT60+MAX(0.06*AT60*(AT59-100),0))</f>
        <v>0</v>
      </c>
      <c r="AU58" s="1655">
        <f>1.25*(11*AU60+MAX(0.06*AU60*(AU59-100),0))</f>
        <v>0</v>
      </c>
      <c r="AV58" s="1655">
        <f>1.25*(11*AV60+MAX(0.06*AV60*(AV59-100),0))</f>
        <v>0</v>
      </c>
      <c r="AW58" s="1655">
        <f>1.25*(11*AW60+MAX(0.06*AW60*(AW59-100),0))</f>
        <v>0</v>
      </c>
      <c r="AX58" s="1655">
        <f>1.25*(11*AX60+MAX(0.06*AX60*(AX59-100),0))</f>
        <v>0</v>
      </c>
      <c r="AY58" s="1655">
        <f>1.25*(11*AY60+MAX(0.06*AY60*(AY59-100),0))</f>
        <v>0</v>
      </c>
      <c r="AZ58" s="1657"/>
      <c r="BA58" s="217"/>
      <c r="BB58" s="217"/>
      <c r="BC58" s="1158" t="s">
        <v>467</v>
      </c>
    </row>
    <row s="1675"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454</v>
      </c>
      <c r="AD59" s="170" t="s">
        <v>455</v>
      </c>
      <c r="AE59" s="1666"/>
      <c r="AF59" s="582"/>
      <c r="AG59" s="582"/>
      <c r="AH59" s="582"/>
      <c r="AI59" s="582"/>
      <c r="AJ59" s="582"/>
      <c r="AK59" s="1677"/>
      <c r="AL59" s="1677"/>
      <c r="AM59" s="1677"/>
      <c r="AN59" s="1677"/>
      <c r="AO59" s="1677"/>
      <c r="AP59" s="582"/>
      <c r="AQ59" s="582"/>
      <c r="AR59" s="582"/>
      <c r="AS59" s="582"/>
      <c r="AT59" s="582"/>
      <c r="AU59" s="1677"/>
      <c r="AV59" s="1677"/>
      <c r="AW59" s="1677"/>
      <c r="AX59" s="1677"/>
      <c r="AY59" s="1677"/>
      <c r="AZ59" s="1657"/>
      <c r="BA59" s="217"/>
      <c r="BB59" s="217"/>
      <c r="BC59" s="1158" t="s">
        <v>468</v>
      </c>
    </row>
    <row s="1678"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457</v>
      </c>
      <c r="AD60" s="170" t="s">
        <v>458</v>
      </c>
      <c r="AE60" s="1666"/>
      <c r="AF60" s="583"/>
      <c r="AG60" s="583"/>
      <c r="AH60" s="583"/>
      <c r="AI60" s="583"/>
      <c r="AJ60" s="583"/>
      <c r="AK60" s="1679"/>
      <c r="AL60" s="1679"/>
      <c r="AM60" s="1679"/>
      <c r="AN60" s="1679"/>
      <c r="AO60" s="1679"/>
      <c r="AP60" s="583"/>
      <c r="AQ60" s="583"/>
      <c r="AR60" s="583"/>
      <c r="AS60" s="583"/>
      <c r="AT60" s="583"/>
      <c r="AU60" s="1679"/>
      <c r="AV60" s="1679"/>
      <c r="AW60" s="1679"/>
      <c r="AX60" s="1679"/>
      <c r="AY60" s="1679"/>
      <c r="AZ60" s="1657"/>
      <c r="BA60" s="217"/>
      <c r="BB60" s="217"/>
      <c r="BC60" s="1158" t="s">
        <v>469</v>
      </c>
    </row>
    <row s="1680" customFormat="1" customHeight="1" ht="16.5">
      <c r="A61" s="217"/>
      <c r="B61" s="217"/>
      <c r="C61" s="217"/>
      <c r="D61" s="217"/>
      <c r="E61" s="794">
        <v>17.1</v>
      </c>
      <c r="F61" s="919" cm="1" t="str">
        <f t="array" ref="F61:F61">OFFSET(G61,-1,-1)</f>
        <v>1</v>
      </c>
      <c r="G61" s="217"/>
      <c r="H61" s="210" t="s">
        <v>437</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470</v>
      </c>
      <c r="AC61" s="719" t="s">
        <v>471</v>
      </c>
      <c r="AD61" s="285" t="s">
        <v>439</v>
      </c>
      <c r="AE61" s="1666">
        <f>1.5*(11*AE63+MAX(0.06*AE63*(AE62-100),0))</f>
        <v>0</v>
      </c>
      <c r="AF61" s="723">
        <f>1.5*(11*AF63+MAX(0.06*AF63*(AF62-100),0))</f>
        <v>0</v>
      </c>
      <c r="AG61" s="209">
        <f>1.5*(11*AG63+MAX(0.06*AG63*(AG62-100),0))</f>
        <v>0</v>
      </c>
      <c r="AH61" s="209">
        <f>1.5*(11*AH63+MAX(0.06*AH63*(AH62-100),0))</f>
        <v>0</v>
      </c>
      <c r="AI61" s="209">
        <f>1.5*(11*AI63+MAX(0.06*AI63*(AI62-100),0))</f>
        <v>0</v>
      </c>
      <c r="AJ61" s="209">
        <f>1.5*(11*AJ63+MAX(0.06*AJ63*(AJ62-100),0))</f>
        <v>0</v>
      </c>
      <c r="AK61" s="1655">
        <f>1.5*(11*AK63+MAX(0.06*AK63*(AK62-100),0))</f>
        <v>0</v>
      </c>
      <c r="AL61" s="1655">
        <f>1.5*(11*AL63+MAX(0.06*AL63*(AL62-100),0))</f>
        <v>0</v>
      </c>
      <c r="AM61" s="1655">
        <f>1.5*(11*AM63+MAX(0.06*AM63*(AM62-100),0))</f>
        <v>0</v>
      </c>
      <c r="AN61" s="1655">
        <f>1.5*(11*AN63+MAX(0.06*AN63*(AN62-100),0))</f>
        <v>0</v>
      </c>
      <c r="AO61" s="1655">
        <f>1.5*(11*AO63+MAX(0.06*AO63*(AO62-100),0))</f>
        <v>0</v>
      </c>
      <c r="AP61" s="209">
        <f>1.5*(11*AP63+MAX(0.06*AP63*(AP62-100),0))</f>
        <v>0</v>
      </c>
      <c r="AQ61" s="209">
        <f>1.5*(11*AQ63+MAX(0.06*AQ63*(AQ62-100),0))</f>
        <v>0</v>
      </c>
      <c r="AR61" s="209">
        <f>1.5*(11*AR63+MAX(0.06*AR63*(AR62-100),0))</f>
        <v>0</v>
      </c>
      <c r="AS61" s="209">
        <f>1.5*(11*AS63+MAX(0.06*AS63*(AS62-100),0))</f>
        <v>0</v>
      </c>
      <c r="AT61" s="209">
        <f>1.5*(11*AT63+MAX(0.06*AT63*(AT62-100),0))</f>
        <v>0</v>
      </c>
      <c r="AU61" s="1655">
        <f>1.5*(11*AU63+MAX(0.06*AU63*(AU62-100),0))</f>
        <v>0</v>
      </c>
      <c r="AV61" s="1655">
        <f>1.5*(11*AV63+MAX(0.06*AV63*(AV62-100),0))</f>
        <v>0</v>
      </c>
      <c r="AW61" s="1655">
        <f>1.5*(11*AW63+MAX(0.06*AW63*(AW62-100),0))</f>
        <v>0</v>
      </c>
      <c r="AX61" s="1655">
        <f>1.5*(11*AX63+MAX(0.06*AX63*(AX62-100),0))</f>
        <v>0</v>
      </c>
      <c r="AY61" s="1655">
        <f>1.5*(11*AY63+MAX(0.06*AY63*(AY62-100),0))</f>
        <v>0</v>
      </c>
      <c r="AZ61" s="1657"/>
      <c r="BA61" s="217"/>
      <c r="BB61" s="217"/>
      <c r="BC61" s="1158" t="s">
        <v>472</v>
      </c>
    </row>
    <row s="1681"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454</v>
      </c>
      <c r="AD62" s="170" t="s">
        <v>455</v>
      </c>
      <c r="AE62" s="1666"/>
      <c r="AF62" s="583"/>
      <c r="AG62" s="583"/>
      <c r="AH62" s="583"/>
      <c r="AI62" s="583"/>
      <c r="AJ62" s="583"/>
      <c r="AK62" s="1679"/>
      <c r="AL62" s="1679"/>
      <c r="AM62" s="1679"/>
      <c r="AN62" s="1679"/>
      <c r="AO62" s="1679"/>
      <c r="AP62" s="583"/>
      <c r="AQ62" s="583"/>
      <c r="AR62" s="583"/>
      <c r="AS62" s="583"/>
      <c r="AT62" s="583"/>
      <c r="AU62" s="1679"/>
      <c r="AV62" s="1679"/>
      <c r="AW62" s="1679"/>
      <c r="AX62" s="1679"/>
      <c r="AY62" s="1679"/>
      <c r="AZ62" s="1657"/>
      <c r="BA62" s="217"/>
      <c r="BB62" s="217"/>
      <c r="BC62" s="1158" t="s">
        <v>473</v>
      </c>
    </row>
    <row s="1682"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457</v>
      </c>
      <c r="AD63" s="170" t="s">
        <v>458</v>
      </c>
      <c r="AE63" s="1666"/>
      <c r="AF63" s="583"/>
      <c r="AG63" s="583"/>
      <c r="AH63" s="583"/>
      <c r="AI63" s="583"/>
      <c r="AJ63" s="583"/>
      <c r="AK63" s="1679"/>
      <c r="AL63" s="1679"/>
      <c r="AM63" s="1679"/>
      <c r="AN63" s="1679"/>
      <c r="AO63" s="1679"/>
      <c r="AP63" s="583"/>
      <c r="AQ63" s="583"/>
      <c r="AR63" s="583"/>
      <c r="AS63" s="583"/>
      <c r="AT63" s="583"/>
      <c r="AU63" s="1679"/>
      <c r="AV63" s="1679"/>
      <c r="AW63" s="1679"/>
      <c r="AX63" s="1679"/>
      <c r="AY63" s="1679"/>
      <c r="AZ63" s="1657"/>
      <c r="BA63" s="217"/>
      <c r="BB63" s="217"/>
      <c r="BC63" s="1158" t="s">
        <v>474</v>
      </c>
    </row>
    <row s="1683"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475</v>
      </c>
      <c r="AC64" s="720" t="s">
        <v>476</v>
      </c>
      <c r="AD64" s="170" t="s">
        <v>477</v>
      </c>
      <c r="AE64" s="1666"/>
      <c r="AF64" s="583"/>
      <c r="AG64" s="280"/>
      <c r="AH64" s="280"/>
      <c r="AI64" s="280"/>
      <c r="AJ64" s="280"/>
      <c r="AK64" s="1666"/>
      <c r="AL64" s="1666"/>
      <c r="AM64" s="1666"/>
      <c r="AN64" s="1666"/>
      <c r="AO64" s="1666"/>
      <c r="AP64" s="280"/>
      <c r="AQ64" s="280"/>
      <c r="AR64" s="280"/>
      <c r="AS64" s="280"/>
      <c r="AT64" s="280"/>
      <c r="AU64" s="1666"/>
      <c r="AV64" s="1666"/>
      <c r="AW64" s="1666"/>
      <c r="AX64" s="1666"/>
      <c r="AY64" s="1666"/>
      <c r="AZ64" s="1657"/>
      <c r="BA64" s="217"/>
      <c r="BB64" s="217"/>
      <c r="BC64" s="1158" t="s">
        <v>478</v>
      </c>
    </row>
    <row s="1684"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479</v>
      </c>
      <c r="AC65" s="721" t="s">
        <v>480</v>
      </c>
      <c r="AD65" s="170" t="s">
        <v>481</v>
      </c>
      <c r="AE65" s="1666"/>
      <c r="AF65" s="583"/>
      <c r="AG65" s="280"/>
      <c r="AH65" s="280"/>
      <c r="AI65" s="280"/>
      <c r="AJ65" s="280"/>
      <c r="AK65" s="1666"/>
      <c r="AL65" s="1666"/>
      <c r="AM65" s="1666"/>
      <c r="AN65" s="1666"/>
      <c r="AO65" s="1666"/>
      <c r="AP65" s="280"/>
      <c r="AQ65" s="280"/>
      <c r="AR65" s="280"/>
      <c r="AS65" s="280"/>
      <c r="AT65" s="280"/>
      <c r="AU65" s="1666"/>
      <c r="AV65" s="1666"/>
      <c r="AW65" s="1666"/>
      <c r="AX65" s="1666"/>
      <c r="AY65" s="1666"/>
      <c r="AZ65" s="1657"/>
      <c r="BA65" s="217"/>
      <c r="BB65" s="217"/>
      <c r="BC65" s="1158" t="s">
        <v>482</v>
      </c>
    </row>
    <row s="1685" customFormat="1" customHeight="1" ht="48">
      <c r="A66" s="217"/>
      <c r="B66" s="217"/>
      <c r="C66" s="217"/>
      <c r="D66" s="217"/>
      <c r="E66" s="794">
        <v>49.5</v>
      </c>
      <c r="F66" s="919" cm="1" t="str">
        <f t="array" ref="F66:F66">OFFSET(G66,-1,-1)</f>
        <v>1</v>
      </c>
      <c r="G66" s="217"/>
      <c r="H66" s="210" t="s">
        <v>437</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483</v>
      </c>
      <c r="AC66" s="161" t="s">
        <v>484</v>
      </c>
      <c r="AD66" s="555" t="s">
        <v>444</v>
      </c>
      <c r="AE66" s="1686">
        <v>1.38</v>
      </c>
      <c r="AF66" s="280">
        <v>1.38</v>
      </c>
      <c r="AG66" s="280">
        <v>1.38</v>
      </c>
      <c r="AH66" s="280">
        <v>1.38</v>
      </c>
      <c r="AI66" s="280">
        <v>1.38</v>
      </c>
      <c r="AJ66" s="280">
        <v>1.38</v>
      </c>
      <c r="AK66" s="1666">
        <v>1.38</v>
      </c>
      <c r="AL66" s="1666">
        <v>1.38</v>
      </c>
      <c r="AM66" s="1666">
        <v>1.38</v>
      </c>
      <c r="AN66" s="1666">
        <v>1.38</v>
      </c>
      <c r="AO66" s="1666">
        <v>1.38</v>
      </c>
      <c r="AP66" s="280">
        <v>1.38</v>
      </c>
      <c r="AQ66" s="280">
        <v>1.38</v>
      </c>
      <c r="AR66" s="280">
        <v>1.38</v>
      </c>
      <c r="AS66" s="280">
        <v>1.38</v>
      </c>
      <c r="AT66" s="280">
        <v>1.38</v>
      </c>
      <c r="AU66" s="1666"/>
      <c r="AV66" s="1666"/>
      <c r="AW66" s="1666"/>
      <c r="AX66" s="1666"/>
      <c r="AY66" s="1666"/>
      <c r="AZ66" s="1657"/>
      <c r="BA66" s="217"/>
      <c r="BB66" s="217"/>
      <c r="BC66" s="1158" t="s">
        <v>485</v>
      </c>
    </row>
    <row s="1687" customFormat="1" customHeight="1" ht="10.5">
      <c r="A67" s="217"/>
      <c r="B67" s="217"/>
      <c r="C67" s="217"/>
      <c r="D67" s="217"/>
      <c r="E67" s="794">
        <v>11.4</v>
      </c>
      <c r="F67" s="919" cm="1" t="str">
        <f t="array" ref="F67:F67">Y67</f>
        <v>2</v>
      </c>
      <c r="G67" s="217"/>
      <c r="H67" s="217"/>
      <c r="I67" s="217"/>
      <c r="J67" s="217"/>
      <c r="K67" s="217"/>
      <c r="L67" s="217"/>
      <c r="M67" s="217"/>
      <c r="N67" s="217"/>
      <c r="O67" s="217"/>
      <c r="P67" s="217"/>
      <c r="Q67" s="217"/>
      <c r="R67" s="217"/>
      <c r="S67" s="217"/>
      <c r="T67" s="217"/>
      <c r="U67" s="805">
        <f>Y67&gt;0</f>
        <v>1</v>
      </c>
      <c r="V67" s="217"/>
      <c r="W67" s="172" cm="1" t="str">
        <f t="array" ref="W67:W67">'Список объектов'!$AB$35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X67" s="217"/>
      <c r="Y67" s="172" t="s">
        <v>343</v>
      </c>
      <c r="Z67" s="217"/>
      <c r="AA67" s="217"/>
      <c r="AB67" s="328" cm="1" t="str">
        <f t="array" ref="AB67:AB67">IF(ISBLANK('Список объектов'!$AB$35),"",'Список объектов'!$AB$35)</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67" s="318"/>
      <c r="AD67" s="574"/>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17"/>
      <c r="BB67" s="217"/>
      <c r="BC67" s="1158"/>
    </row>
    <row s="1688" customFormat="1" customHeight="1" ht="16.5">
      <c r="A68" s="217"/>
      <c r="B68" s="217"/>
      <c r="C68" s="217"/>
      <c r="D68" s="217"/>
      <c r="E68" s="794">
        <v>17.1</v>
      </c>
      <c r="F68" s="919" cm="1" t="str">
        <f t="array" ref="F68:F68">OFFSET(G68,-1,-1)</f>
        <v>2</v>
      </c>
      <c r="G68" s="736" t="s">
        <v>436</v>
      </c>
      <c r="H68" s="210" t="s">
        <v>437</v>
      </c>
      <c r="I68" s="210" t="str">
        <f>AC68&amp;"::"&amp;AD68</f>
        <v>Количество условных единиц для производства::УЕ</v>
      </c>
      <c r="J68" s="217"/>
      <c r="K68" s="217"/>
      <c r="L68" s="217"/>
      <c r="M68" s="217"/>
      <c r="N68" s="217"/>
      <c r="O68" s="217"/>
      <c r="P68" s="217"/>
      <c r="Q68" s="217"/>
      <c r="R68" s="217"/>
      <c r="S68" s="217"/>
      <c r="T68" s="217"/>
      <c r="U68" s="805" cm="1" t="str">
        <f t="array" ref="U68:U68">U67</f>
        <v>true</v>
      </c>
      <c r="V68" s="217"/>
      <c r="W68" s="217"/>
      <c r="X68" s="217"/>
      <c r="Y68" s="217"/>
      <c r="Z68" s="217"/>
      <c r="AA68" s="217"/>
      <c r="AB68" s="502">
        <v>1</v>
      </c>
      <c r="AC68" s="598" t="s">
        <v>438</v>
      </c>
      <c r="AD68" s="477" t="s">
        <v>439</v>
      </c>
      <c r="AE68" s="1655" cm="1" t="str">
        <f t="array" ref="AE68:AE68">AE69</f>
        <v>0</v>
      </c>
      <c r="AF68" s="209" cm="1" t="str">
        <f t="array" ref="AF68:AF68">AF69</f>
        <v>1.38</v>
      </c>
      <c r="AG68" s="209" cm="1" t="str">
        <f t="array" ref="AG68:AG68">AG69</f>
        <v>1.38</v>
      </c>
      <c r="AH68" s="209" cm="1" t="str">
        <f t="array" ref="AH68:AH68">AH69</f>
        <v>1.38</v>
      </c>
      <c r="AI68" s="209" cm="1" t="str">
        <f t="array" ref="AI68:AI68">AI69</f>
        <v>1.38</v>
      </c>
      <c r="AJ68" s="209" cm="1" t="str">
        <f t="array" ref="AJ68:AJ68">AJ69</f>
        <v>1.38</v>
      </c>
      <c r="AK68" s="1655" cm="1" t="str">
        <f t="array" ref="AK68:AK68">AK69</f>
        <v>1.38</v>
      </c>
      <c r="AL68" s="1655" cm="1" t="str">
        <f t="array" ref="AL68:AL68">AL69</f>
        <v>1.38</v>
      </c>
      <c r="AM68" s="1655" cm="1" t="str">
        <f t="array" ref="AM68:AM68">AM69</f>
        <v>1.38</v>
      </c>
      <c r="AN68" s="1655" cm="1" t="str">
        <f t="array" ref="AN68:AN68">AN69</f>
        <v>1.38</v>
      </c>
      <c r="AO68" s="1655" cm="1" t="str">
        <f t="array" ref="AO68:AO68">AO69</f>
        <v>1.38</v>
      </c>
      <c r="AP68" s="209" cm="1" t="str">
        <f t="array" ref="AP68:AP68">AP69</f>
        <v>1.38</v>
      </c>
      <c r="AQ68" s="209" cm="1" t="str">
        <f t="array" ref="AQ68:AQ68">AQ69</f>
        <v>1.38</v>
      </c>
      <c r="AR68" s="209" cm="1" t="str">
        <f t="array" ref="AR68:AR68">AR69</f>
        <v>1.38</v>
      </c>
      <c r="AS68" s="209" cm="1" t="str">
        <f t="array" ref="AS68:AS68">AS69</f>
        <v>1.38</v>
      </c>
      <c r="AT68" s="209" cm="1" t="str">
        <f t="array" ref="AT68:AT68">AT69</f>
        <v>1.38</v>
      </c>
      <c r="AU68" s="1655" cm="1" t="str">
        <f t="array" ref="AU68:AU68">AU69</f>
        <v>0</v>
      </c>
      <c r="AV68" s="1655" cm="1" t="str">
        <f t="array" ref="AV68:AV68">AV69</f>
        <v>0</v>
      </c>
      <c r="AW68" s="1655" cm="1" t="str">
        <f t="array" ref="AW68:AW68">AW69</f>
        <v>0</v>
      </c>
      <c r="AX68" s="1655" cm="1" t="str">
        <f t="array" ref="AX68:AX68">AX69</f>
        <v>0</v>
      </c>
      <c r="AY68" s="1655" cm="1" t="str">
        <f t="array" ref="AY68:AY68">AY69</f>
        <v>0</v>
      </c>
      <c r="AZ68" s="1657"/>
      <c r="BA68" s="217"/>
      <c r="BB68" s="217"/>
      <c r="BC68" s="1158" t="s">
        <v>440</v>
      </c>
    </row>
    <row s="1689" customFormat="1" customHeight="1" ht="16.5">
      <c r="A69" s="217"/>
      <c r="B69" s="217"/>
      <c r="C69" s="217"/>
      <c r="D69" s="217"/>
      <c r="E69" s="794">
        <v>17.1</v>
      </c>
      <c r="F69" s="919" cm="1" t="str">
        <f t="array" ref="F69:F69">OFFSET(G69,-1,-1)</f>
        <v>2</v>
      </c>
      <c r="G69" s="736" t="s">
        <v>441</v>
      </c>
      <c r="H69" s="210" t="s">
        <v>437</v>
      </c>
      <c r="I69" s="210" t="str">
        <f>AC69&amp;"::"&amp;AD69</f>
        <v>Установленная тепловая мощность::Гкал/час</v>
      </c>
      <c r="J69" s="217"/>
      <c r="K69" s="217"/>
      <c r="L69" s="217"/>
      <c r="M69" s="217"/>
      <c r="N69" s="217"/>
      <c r="O69" s="217"/>
      <c r="P69" s="217"/>
      <c r="Q69" s="217"/>
      <c r="R69" s="217"/>
      <c r="S69" s="217"/>
      <c r="T69" s="217"/>
      <c r="U69" s="805" cm="1" t="str">
        <f t="array" ref="U69:U69">U68</f>
        <v>true</v>
      </c>
      <c r="V69" s="217"/>
      <c r="W69" s="217"/>
      <c r="X69" s="217"/>
      <c r="Y69" s="217"/>
      <c r="Z69" s="217"/>
      <c r="AA69" s="217"/>
      <c r="AB69" s="477" t="s">
        <v>442</v>
      </c>
      <c r="AC69" s="501" t="s">
        <v>443</v>
      </c>
      <c r="AD69" s="477" t="s">
        <v>444</v>
      </c>
      <c r="AE69" s="1655"/>
      <c r="AF69" s="209">
        <v>1.38</v>
      </c>
      <c r="AG69" s="209">
        <v>1.38</v>
      </c>
      <c r="AH69" s="209">
        <v>1.38</v>
      </c>
      <c r="AI69" s="209">
        <v>1.38</v>
      </c>
      <c r="AJ69" s="209">
        <v>1.38</v>
      </c>
      <c r="AK69" s="1655">
        <v>1.38</v>
      </c>
      <c r="AL69" s="1655">
        <v>1.38</v>
      </c>
      <c r="AM69" s="1655">
        <v>1.38</v>
      </c>
      <c r="AN69" s="1655">
        <v>1.38</v>
      </c>
      <c r="AO69" s="1655">
        <v>1.38</v>
      </c>
      <c r="AP69" s="209">
        <v>1.38</v>
      </c>
      <c r="AQ69" s="209">
        <v>1.38</v>
      </c>
      <c r="AR69" s="209">
        <v>1.38</v>
      </c>
      <c r="AS69" s="209">
        <v>1.38</v>
      </c>
      <c r="AT69" s="209">
        <v>1.38</v>
      </c>
      <c r="AU69" s="1655"/>
      <c r="AV69" s="1655"/>
      <c r="AW69" s="1655"/>
      <c r="AX69" s="1655"/>
      <c r="AY69" s="1655"/>
      <c r="AZ69" s="1657"/>
      <c r="BA69" s="217"/>
      <c r="BB69" s="217"/>
      <c r="BC69" s="1158" t="s">
        <v>445</v>
      </c>
    </row>
    <row s="1690" customFormat="1" customHeight="1" ht="16.5">
      <c r="A70" s="217"/>
      <c r="B70" s="217"/>
      <c r="C70" s="217"/>
      <c r="D70" s="217"/>
      <c r="E70" s="794">
        <v>17.1</v>
      </c>
      <c r="F70" s="919" cm="1" t="str">
        <f t="array" ref="F70:F70">OFFSET(G70,-1,-1)</f>
        <v>2</v>
      </c>
      <c r="G70" s="736" t="s">
        <v>436</v>
      </c>
      <c r="H70" s="217"/>
      <c r="I70" s="217"/>
      <c r="J70" s="217"/>
      <c r="K70" s="217"/>
      <c r="L70" s="217"/>
      <c r="M70" s="217"/>
      <c r="N70" s="217"/>
      <c r="O70" s="217"/>
      <c r="P70" s="217"/>
      <c r="Q70" s="217"/>
      <c r="R70" s="217"/>
      <c r="S70" s="217"/>
      <c r="T70" s="217"/>
      <c r="U70" s="805" cm="1" t="str">
        <f t="array" ref="U70:U70">U69</f>
        <v>true</v>
      </c>
      <c r="V70" s="217"/>
      <c r="W70" s="217"/>
      <c r="X70" s="217"/>
      <c r="Y70" s="217"/>
      <c r="Z70" s="217"/>
      <c r="AA70" s="217"/>
      <c r="AB70" s="565" t="s">
        <v>343</v>
      </c>
      <c r="AC70" s="599" t="s">
        <v>446</v>
      </c>
      <c r="AD70" s="477" t="s">
        <v>439</v>
      </c>
      <c r="AE70" s="1655">
        <f>AE71+5*AE84+25*AE85+0.5*AE86</f>
        <v>0</v>
      </c>
      <c r="AF70" s="209">
        <f>AF71+5*AF84+25*AF85+0.5*AF86</f>
        <v>5.75</v>
      </c>
      <c r="AG70" s="209">
        <f>AG71+5*AG84+25*AG85+0.5*AG86</f>
        <v>5.75</v>
      </c>
      <c r="AH70" s="209">
        <f>AH71+5*AH84+25*AH85+0.5*AH86</f>
        <v>5.75</v>
      </c>
      <c r="AI70" s="209">
        <f>AI71+5*AI84+25*AI85+0.5*AI86</f>
        <v>5.75</v>
      </c>
      <c r="AJ70" s="209">
        <f>AJ71+5*AJ84+25*AJ85+0.5*AJ86</f>
        <v>5.75</v>
      </c>
      <c r="AK70" s="1655">
        <f>AK71+5*AK84+25*AK85+0.5*AK86</f>
        <v>0.69</v>
      </c>
      <c r="AL70" s="1655">
        <f>AL71+5*AL84+25*AL85+0.5*AL86</f>
        <v>0.69</v>
      </c>
      <c r="AM70" s="1655">
        <f>AM71+5*AM84+25*AM85+0.5*AM86</f>
        <v>0.69</v>
      </c>
      <c r="AN70" s="1655">
        <f>AN71+5*AN84+25*AN85+0.5*AN86</f>
        <v>0.69</v>
      </c>
      <c r="AO70" s="1655">
        <f>AO71+5*AO84+25*AO85+0.5*AO86</f>
        <v>0.69</v>
      </c>
      <c r="AP70" s="209">
        <f>AP71+5*AP84+25*AP85+0.5*AP86</f>
        <v>5.75</v>
      </c>
      <c r="AQ70" s="209">
        <f>AQ71+5*AQ84+25*AQ85+0.5*AQ86</f>
        <v>5.75</v>
      </c>
      <c r="AR70" s="209">
        <f>AR71+5*AR84+25*AR85+0.5*AR86</f>
        <v>5.75</v>
      </c>
      <c r="AS70" s="209">
        <f>AS71+5*AS84+25*AS85+0.5*AS86</f>
        <v>5.75</v>
      </c>
      <c r="AT70" s="209">
        <f>AT71+5*AT84+25*AT85+0.5*AT86</f>
        <v>5.75</v>
      </c>
      <c r="AU70" s="1655">
        <f>AU71+5*AU84+25*AU85+0.5*AU86</f>
        <v>0</v>
      </c>
      <c r="AV70" s="1655">
        <f>AV71+5*AV84+25*AV85+0.5*AV86</f>
        <v>0</v>
      </c>
      <c r="AW70" s="1655">
        <f>AW71+5*AW84+25*AW85+0.5*AW86</f>
        <v>0</v>
      </c>
      <c r="AX70" s="1655">
        <f>AX71+5*AX84+25*AX85+0.5*AX86</f>
        <v>0</v>
      </c>
      <c r="AY70" s="1655">
        <f>AY71+5*AY84+25*AY85+0.5*AY86</f>
        <v>0</v>
      </c>
      <c r="AZ70" s="1657"/>
      <c r="BA70" s="217"/>
      <c r="BB70" s="217"/>
      <c r="BC70" s="1158" t="s">
        <v>447</v>
      </c>
    </row>
    <row s="1691" customFormat="1" customHeight="1" ht="16.5">
      <c r="A71" s="217"/>
      <c r="B71" s="217"/>
      <c r="C71" s="217"/>
      <c r="D71" s="217"/>
      <c r="E71" s="794">
        <v>17.1</v>
      </c>
      <c r="F71" s="919" cm="1" t="str">
        <f t="array" ref="F71:F71">OFFSET(G71,-1,-1)</f>
        <v>2</v>
      </c>
      <c r="G71" s="217"/>
      <c r="H71" s="217"/>
      <c r="I71" s="217"/>
      <c r="J71" s="217"/>
      <c r="K71" s="217"/>
      <c r="L71" s="217"/>
      <c r="M71" s="217"/>
      <c r="N71" s="217"/>
      <c r="O71" s="217"/>
      <c r="P71" s="217"/>
      <c r="Q71" s="217"/>
      <c r="R71" s="217"/>
      <c r="S71" s="217"/>
      <c r="T71" s="217"/>
      <c r="U71" s="805" cm="1" t="str">
        <f t="array" ref="U71:U71">U70</f>
        <v>true</v>
      </c>
      <c r="V71" s="217"/>
      <c r="W71" s="217"/>
      <c r="X71" s="217"/>
      <c r="Y71" s="217"/>
      <c r="Z71" s="217"/>
      <c r="AA71" s="217"/>
      <c r="AB71" s="496" t="s">
        <v>448</v>
      </c>
      <c r="AC71" s="570" t="s">
        <v>449</v>
      </c>
      <c r="AD71" s="477" t="s">
        <v>439</v>
      </c>
      <c r="AE71" s="264">
        <f>AE72+AE75+AE78+AE81</f>
        <v>0</v>
      </c>
      <c r="AF71" s="264">
        <f>AF72+AF75+AF78+AF81</f>
        <v>5.06</v>
      </c>
      <c r="AG71" s="264">
        <f>AG72+AG75+AG78+AG81</f>
        <v>5.06</v>
      </c>
      <c r="AH71" s="264">
        <f>AH72+AH75+AH78+AH81</f>
        <v>5.06</v>
      </c>
      <c r="AI71" s="264">
        <f>AI72+AI75+AI78+AI81</f>
        <v>5.06</v>
      </c>
      <c r="AJ71" s="264">
        <f>AJ72+AJ75+AJ78+AJ81</f>
        <v>5.06</v>
      </c>
      <c r="AK71" s="264">
        <f>AK72+AK75+AK78+AK81</f>
        <v>0</v>
      </c>
      <c r="AL71" s="264">
        <f>AL72+AL75+AL78+AL81</f>
        <v>0</v>
      </c>
      <c r="AM71" s="264">
        <f>AM72+AM75+AM78+AM81</f>
        <v>0</v>
      </c>
      <c r="AN71" s="264">
        <f>AN72+AN75+AN78+AN81</f>
        <v>0</v>
      </c>
      <c r="AO71" s="264">
        <f>AO72+AO75+AO78+AO81</f>
        <v>0</v>
      </c>
      <c r="AP71" s="264">
        <f>AP72+AP75+AP78+AP81</f>
        <v>5.06</v>
      </c>
      <c r="AQ71" s="264">
        <f>AQ72+AQ75+AQ78+AQ81</f>
        <v>5.06</v>
      </c>
      <c r="AR71" s="264">
        <f>AR72+AR75+AR78+AR81</f>
        <v>5.06</v>
      </c>
      <c r="AS71" s="264">
        <f>AS72+AS75+AS78+AS81</f>
        <v>5.06</v>
      </c>
      <c r="AT71" s="264">
        <f>AT72+AT75+AT78+AT81</f>
        <v>5.06</v>
      </c>
      <c r="AU71" s="264">
        <f>AU72+AU75+AU78+AU81</f>
        <v>0</v>
      </c>
      <c r="AV71" s="264">
        <f>AV72+AV75+AV78+AV81</f>
        <v>0</v>
      </c>
      <c r="AW71" s="264">
        <f>AW72+AW75+AW78+AW81</f>
        <v>0</v>
      </c>
      <c r="AX71" s="264">
        <f>AX72+AX75+AX78+AX81</f>
        <v>0</v>
      </c>
      <c r="AY71" s="264">
        <f>AY72+AY75+AY78+AY81</f>
        <v>0</v>
      </c>
      <c r="AZ71" s="1657"/>
      <c r="BA71" s="217"/>
      <c r="BB71" s="217"/>
      <c r="BC71" s="1158" t="s">
        <v>450</v>
      </c>
    </row>
    <row s="1692" customFormat="1" customHeight="1" ht="16.5">
      <c r="A72" s="217"/>
      <c r="B72" s="217"/>
      <c r="C72" s="217"/>
      <c r="D72" s="217"/>
      <c r="E72" s="794">
        <v>17.1</v>
      </c>
      <c r="F72" s="919" cm="1" t="str">
        <f t="array" ref="F72:F72">OFFSET(G72,-1,-1)</f>
        <v>2</v>
      </c>
      <c r="G72" s="217"/>
      <c r="H72" s="217"/>
      <c r="I72" s="217"/>
      <c r="J72" s="217"/>
      <c r="K72" s="217"/>
      <c r="L72" s="217"/>
      <c r="M72" s="217"/>
      <c r="N72" s="217"/>
      <c r="O72" s="217"/>
      <c r="P72" s="217"/>
      <c r="Q72" s="217"/>
      <c r="R72" s="217"/>
      <c r="S72" s="217"/>
      <c r="T72" s="217"/>
      <c r="U72" s="805" cm="1" t="str">
        <f t="array" ref="U72:U72">U71</f>
        <v>true</v>
      </c>
      <c r="V72" s="217"/>
      <c r="W72" s="217"/>
      <c r="X72" s="217"/>
      <c r="Y72" s="217"/>
      <c r="Z72" s="217"/>
      <c r="AA72" s="217"/>
      <c r="AB72" s="569" t="s">
        <v>451</v>
      </c>
      <c r="AC72" s="579" t="s">
        <v>452</v>
      </c>
      <c r="AD72" s="477" t="s">
        <v>439</v>
      </c>
      <c r="AE72" s="1655">
        <f>0.75*(11*AE74+MAX(0.06*AE74*(AE73-100),0))</f>
        <v>0</v>
      </c>
      <c r="AF72" s="209">
        <f>0.75*(11*AF74+MAX(0.06*AF74*(AF73-100),0))</f>
        <v>0</v>
      </c>
      <c r="AG72" s="209">
        <f>0.75*(11*AG74+MAX(0.06*AG74*(AG73-100),0))</f>
        <v>0</v>
      </c>
      <c r="AH72" s="209">
        <f>0.75*(11*AH74+MAX(0.06*AH74*(AH73-100),0))</f>
        <v>0</v>
      </c>
      <c r="AI72" s="209">
        <f>0.75*(11*AI74+MAX(0.06*AI74*(AI73-100),0))</f>
        <v>0</v>
      </c>
      <c r="AJ72" s="209">
        <f>0.75*(11*AJ74+MAX(0.06*AJ74*(AJ73-100),0))</f>
        <v>0</v>
      </c>
      <c r="AK72" s="1655">
        <f>0.75*(11*AK74+MAX(0.06*AK74*(AK73-100),0))</f>
        <v>0</v>
      </c>
      <c r="AL72" s="1655">
        <f>0.75*(11*AL74+MAX(0.06*AL74*(AL73-100),0))</f>
        <v>0</v>
      </c>
      <c r="AM72" s="1655">
        <f>0.75*(11*AM74+MAX(0.06*AM74*(AM73-100),0))</f>
        <v>0</v>
      </c>
      <c r="AN72" s="1655">
        <f>0.75*(11*AN74+MAX(0.06*AN74*(AN73-100),0))</f>
        <v>0</v>
      </c>
      <c r="AO72" s="1655">
        <f>0.75*(11*AO74+MAX(0.06*AO74*(AO73-100),0))</f>
        <v>0</v>
      </c>
      <c r="AP72" s="209">
        <f>0.75*(11*AP74+MAX(0.06*AP74*(AP73-100),0))</f>
        <v>0</v>
      </c>
      <c r="AQ72" s="209">
        <f>0.75*(11*AQ74+MAX(0.06*AQ74*(AQ73-100),0))</f>
        <v>0</v>
      </c>
      <c r="AR72" s="209">
        <f>0.75*(11*AR74+MAX(0.06*AR74*(AR73-100),0))</f>
        <v>0</v>
      </c>
      <c r="AS72" s="209">
        <f>0.75*(11*AS74+MAX(0.06*AS74*(AS73-100),0))</f>
        <v>0</v>
      </c>
      <c r="AT72" s="209">
        <f>0.75*(11*AT74+MAX(0.06*AT74*(AT73-100),0))</f>
        <v>0</v>
      </c>
      <c r="AU72" s="1655">
        <f>0.75*(11*AU74+MAX(0.06*AU74*(AU73-100),0))</f>
        <v>0</v>
      </c>
      <c r="AV72" s="1655">
        <f>0.75*(11*AV74+MAX(0.06*AV74*(AV73-100),0))</f>
        <v>0</v>
      </c>
      <c r="AW72" s="1655">
        <f>0.75*(11*AW74+MAX(0.06*AW74*(AW73-100),0))</f>
        <v>0</v>
      </c>
      <c r="AX72" s="1655">
        <f>0.75*(11*AX74+MAX(0.06*AX74*(AX73-100),0))</f>
        <v>0</v>
      </c>
      <c r="AY72" s="1655">
        <f>0.75*(11*AY74+MAX(0.06*AY74*(AY73-100),0))</f>
        <v>0</v>
      </c>
      <c r="AZ72" s="1657"/>
      <c r="BA72" s="217"/>
      <c r="BB72" s="217"/>
      <c r="BC72" s="1158" t="s">
        <v>453</v>
      </c>
    </row>
    <row s="1693" customFormat="1" customHeight="1" ht="16.5">
      <c r="A73" s="217"/>
      <c r="B73" s="217"/>
      <c r="C73" s="217"/>
      <c r="D73" s="217"/>
      <c r="E73" s="794">
        <v>17.1</v>
      </c>
      <c r="F73" s="919" cm="1" t="str">
        <f t="array" ref="F73:F73">OFFSET(G73,-1,-1)</f>
        <v>2</v>
      </c>
      <c r="G73" s="217"/>
      <c r="H73" s="217"/>
      <c r="I73" s="217"/>
      <c r="J73" s="217"/>
      <c r="K73" s="217"/>
      <c r="L73" s="217"/>
      <c r="M73" s="217"/>
      <c r="N73" s="217"/>
      <c r="O73" s="217"/>
      <c r="P73" s="217"/>
      <c r="Q73" s="217"/>
      <c r="R73" s="217"/>
      <c r="S73" s="217"/>
      <c r="T73" s="217"/>
      <c r="U73" s="805" cm="1" t="str">
        <f t="array" ref="U73:U73">U72</f>
        <v>true</v>
      </c>
      <c r="V73" s="217"/>
      <c r="W73" s="217"/>
      <c r="X73" s="217"/>
      <c r="Y73" s="217"/>
      <c r="Z73" s="217"/>
      <c r="AA73" s="217"/>
      <c r="AB73" s="576" t="str">
        <f>AB72&amp;".1"</f>
        <v>2.1.1.1</v>
      </c>
      <c r="AC73" s="578" t="s">
        <v>454</v>
      </c>
      <c r="AD73" s="170" t="s">
        <v>455</v>
      </c>
      <c r="AE73" s="1663"/>
      <c r="AF73" s="581"/>
      <c r="AG73" s="581"/>
      <c r="AH73" s="581"/>
      <c r="AI73" s="581"/>
      <c r="AJ73" s="581"/>
      <c r="AK73" s="1663"/>
      <c r="AL73" s="1663"/>
      <c r="AM73" s="1663"/>
      <c r="AN73" s="1663"/>
      <c r="AO73" s="1663"/>
      <c r="AP73" s="581"/>
      <c r="AQ73" s="581"/>
      <c r="AR73" s="581"/>
      <c r="AS73" s="581"/>
      <c r="AT73" s="581"/>
      <c r="AU73" s="1663"/>
      <c r="AV73" s="1663"/>
      <c r="AW73" s="1663"/>
      <c r="AX73" s="1663"/>
      <c r="AY73" s="1663"/>
      <c r="AZ73" s="1657"/>
      <c r="BA73" s="217"/>
      <c r="BB73" s="217"/>
      <c r="BC73" s="1158" t="s">
        <v>456</v>
      </c>
    </row>
    <row s="1694" customFormat="1" customHeight="1" ht="16.5">
      <c r="A74" s="217"/>
      <c r="B74" s="217"/>
      <c r="C74" s="217"/>
      <c r="D74" s="217"/>
      <c r="E74" s="794">
        <v>17.1</v>
      </c>
      <c r="F74" s="919" cm="1" t="str">
        <f t="array" ref="F74:F74">OFFSET(G74,-1,-1)</f>
        <v>2</v>
      </c>
      <c r="G74" s="217"/>
      <c r="H74" s="217"/>
      <c r="I74" s="217"/>
      <c r="J74" s="217"/>
      <c r="K74" s="217"/>
      <c r="L74" s="217"/>
      <c r="M74" s="217"/>
      <c r="N74" s="217"/>
      <c r="O74" s="217"/>
      <c r="P74" s="217"/>
      <c r="Q74" s="217"/>
      <c r="R74" s="217"/>
      <c r="S74" s="217"/>
      <c r="T74" s="217"/>
      <c r="U74" s="805" cm="1" t="str">
        <f t="array" ref="U74:U74">U73</f>
        <v>true</v>
      </c>
      <c r="V74" s="217"/>
      <c r="W74" s="217"/>
      <c r="X74" s="217"/>
      <c r="Y74" s="217"/>
      <c r="Z74" s="217"/>
      <c r="AA74" s="217"/>
      <c r="AB74" s="576" t="str">
        <f>AB72&amp;".2"</f>
        <v>2.1.1.2</v>
      </c>
      <c r="AC74" s="578" t="s">
        <v>457</v>
      </c>
      <c r="AD74" s="577" t="s">
        <v>458</v>
      </c>
      <c r="AE74" s="1666"/>
      <c r="AF74" s="280"/>
      <c r="AG74" s="280"/>
      <c r="AH74" s="280"/>
      <c r="AI74" s="280"/>
      <c r="AJ74" s="280"/>
      <c r="AK74" s="1666"/>
      <c r="AL74" s="1666"/>
      <c r="AM74" s="1666"/>
      <c r="AN74" s="1666"/>
      <c r="AO74" s="1666"/>
      <c r="AP74" s="280"/>
      <c r="AQ74" s="280"/>
      <c r="AR74" s="280"/>
      <c r="AS74" s="280"/>
      <c r="AT74" s="280"/>
      <c r="AU74" s="1666"/>
      <c r="AV74" s="1666"/>
      <c r="AW74" s="1666"/>
      <c r="AX74" s="1666"/>
      <c r="AY74" s="1666"/>
      <c r="AZ74" s="1657"/>
      <c r="BA74" s="217"/>
      <c r="BB74" s="217"/>
      <c r="BC74" s="1158" t="s">
        <v>459</v>
      </c>
    </row>
    <row s="1695" customFormat="1" customHeight="1" ht="16.5">
      <c r="A75" s="217"/>
      <c r="B75" s="217"/>
      <c r="C75" s="217"/>
      <c r="D75" s="217"/>
      <c r="E75" s="794">
        <v>17.1</v>
      </c>
      <c r="F75" s="919" cm="1" t="str">
        <f t="array" ref="F75:F75">OFFSET(G75,-1,-1)</f>
        <v>2</v>
      </c>
      <c r="G75" s="217"/>
      <c r="H75" s="217"/>
      <c r="I75" s="217"/>
      <c r="J75" s="217"/>
      <c r="K75" s="217"/>
      <c r="L75" s="217"/>
      <c r="M75" s="217"/>
      <c r="N75" s="217"/>
      <c r="O75" s="217"/>
      <c r="P75" s="217"/>
      <c r="Q75" s="217"/>
      <c r="R75" s="217"/>
      <c r="S75" s="217"/>
      <c r="T75" s="217"/>
      <c r="U75" s="805" cm="1" t="str">
        <f t="array" ref="U75:U75">U74</f>
        <v>true</v>
      </c>
      <c r="V75" s="217"/>
      <c r="W75" s="217"/>
      <c r="X75" s="217"/>
      <c r="Y75" s="217"/>
      <c r="Z75" s="217"/>
      <c r="AA75" s="217"/>
      <c r="AB75" s="575" t="s">
        <v>460</v>
      </c>
      <c r="AC75" s="559" t="s">
        <v>461</v>
      </c>
      <c r="AD75" s="477" t="s">
        <v>439</v>
      </c>
      <c r="AE75" s="1655">
        <f>(11*AE77+MAX(0.06*AE77*(AE76-100),0))</f>
        <v>0</v>
      </c>
      <c r="AF75" s="209">
        <f>(11*AF77+MAX(0.06*AF77*(AF76-100),0))</f>
        <v>5.06</v>
      </c>
      <c r="AG75" s="209">
        <f>(11*AG77+MAX(0.06*AG77*(AG76-100),0))</f>
        <v>5.06</v>
      </c>
      <c r="AH75" s="209">
        <f>(11*AH77+MAX(0.06*AH77*(AH76-100),0))</f>
        <v>5.06</v>
      </c>
      <c r="AI75" s="209">
        <f>(11*AI77+MAX(0.06*AI77*(AI76-100),0))</f>
        <v>5.06</v>
      </c>
      <c r="AJ75" s="209">
        <f>(11*AJ77+MAX(0.06*AJ77*(AJ76-100),0))</f>
        <v>5.06</v>
      </c>
      <c r="AK75" s="1655">
        <f>(11*AK77+MAX(0.06*AK77*(AK76-100),0))</f>
        <v>0</v>
      </c>
      <c r="AL75" s="1655">
        <f>(11*AL77+MAX(0.06*AL77*(AL76-100),0))</f>
        <v>0</v>
      </c>
      <c r="AM75" s="1655">
        <f>(11*AM77+MAX(0.06*AM77*(AM76-100),0))</f>
        <v>0</v>
      </c>
      <c r="AN75" s="1655">
        <f>(11*AN77+MAX(0.06*AN77*(AN76-100),0))</f>
        <v>0</v>
      </c>
      <c r="AO75" s="1655">
        <f>(11*AO77+MAX(0.06*AO77*(AO76-100),0))</f>
        <v>0</v>
      </c>
      <c r="AP75" s="209">
        <f>(11*AP77+MAX(0.06*AP77*(AP76-100),0))</f>
        <v>5.06</v>
      </c>
      <c r="AQ75" s="209">
        <f>(11*AQ77+MAX(0.06*AQ77*(AQ76-100),0))</f>
        <v>5.06</v>
      </c>
      <c r="AR75" s="209">
        <f>(11*AR77+MAX(0.06*AR77*(AR76-100),0))</f>
        <v>5.06</v>
      </c>
      <c r="AS75" s="209">
        <f>(11*AS77+MAX(0.06*AS77*(AS76-100),0))</f>
        <v>5.06</v>
      </c>
      <c r="AT75" s="209">
        <f>(11*AT77+MAX(0.06*AT77*(AT76-100),0))</f>
        <v>5.06</v>
      </c>
      <c r="AU75" s="1655">
        <f>(11*AU77+MAX(0.06*AU77*(AU76-100),0))</f>
        <v>0</v>
      </c>
      <c r="AV75" s="1655">
        <f>(11*AV77+MAX(0.06*AV77*(AV76-100),0))</f>
        <v>0</v>
      </c>
      <c r="AW75" s="1655">
        <f>(11*AW77+MAX(0.06*AW77*(AW76-100),0))</f>
        <v>0</v>
      </c>
      <c r="AX75" s="1655">
        <f>(11*AX77+MAX(0.06*AX77*(AX76-100),0))</f>
        <v>0</v>
      </c>
      <c r="AY75" s="1655">
        <f>(11*AY77+MAX(0.06*AY77*(AY76-100),0))</f>
        <v>0</v>
      </c>
      <c r="AZ75" s="1657"/>
      <c r="BA75" s="217"/>
      <c r="BB75" s="217"/>
      <c r="BC75" s="1158" t="s">
        <v>462</v>
      </c>
    </row>
    <row s="1696" customFormat="1" customHeight="1" ht="16.5">
      <c r="A76" s="217"/>
      <c r="B76" s="217"/>
      <c r="C76" s="217"/>
      <c r="D76" s="217"/>
      <c r="E76" s="794">
        <v>17.1</v>
      </c>
      <c r="F76" s="919" cm="1" t="str">
        <f t="array" ref="F76:F76">OFFSET(G76,-1,-1)</f>
        <v>2</v>
      </c>
      <c r="G76" s="217"/>
      <c r="H76" s="217"/>
      <c r="I76" s="217"/>
      <c r="J76" s="217"/>
      <c r="K76" s="217"/>
      <c r="L76" s="217"/>
      <c r="M76" s="217"/>
      <c r="N76" s="217"/>
      <c r="O76" s="217"/>
      <c r="P76" s="217"/>
      <c r="Q76" s="217"/>
      <c r="R76" s="217"/>
      <c r="S76" s="217"/>
      <c r="T76" s="217"/>
      <c r="U76" s="805" cm="1" t="str">
        <f t="array" ref="U76:U76">U75</f>
        <v>true</v>
      </c>
      <c r="V76" s="217"/>
      <c r="W76" s="217"/>
      <c r="X76" s="217"/>
      <c r="Y76" s="217"/>
      <c r="Z76" s="217"/>
      <c r="AA76" s="217"/>
      <c r="AB76" s="576" t="str">
        <f>AB75&amp;".1"</f>
        <v>2.1.2.1</v>
      </c>
      <c r="AC76" s="578" t="s">
        <v>454</v>
      </c>
      <c r="AD76" s="670" t="s">
        <v>455</v>
      </c>
      <c r="AE76" s="1670"/>
      <c r="AF76" s="280">
        <v>94.91</v>
      </c>
      <c r="AG76" s="280">
        <v>94.91</v>
      </c>
      <c r="AH76" s="280">
        <v>94.91</v>
      </c>
      <c r="AI76" s="280">
        <v>94.91</v>
      </c>
      <c r="AJ76" s="280">
        <v>94.91</v>
      </c>
      <c r="AK76" s="1666"/>
      <c r="AL76" s="1666"/>
      <c r="AM76" s="1666"/>
      <c r="AN76" s="1666"/>
      <c r="AO76" s="1666"/>
      <c r="AP76" s="280">
        <v>94.91</v>
      </c>
      <c r="AQ76" s="280">
        <v>94.91</v>
      </c>
      <c r="AR76" s="280">
        <v>94.91</v>
      </c>
      <c r="AS76" s="280">
        <v>94.91</v>
      </c>
      <c r="AT76" s="280">
        <v>94.91</v>
      </c>
      <c r="AU76" s="1666"/>
      <c r="AV76" s="1666"/>
      <c r="AW76" s="1666"/>
      <c r="AX76" s="1666"/>
      <c r="AY76" s="1666"/>
      <c r="AZ76" s="1657"/>
      <c r="BA76" s="217"/>
      <c r="BB76" s="217"/>
      <c r="BC76" s="1158" t="s">
        <v>463</v>
      </c>
    </row>
    <row s="1697" customFormat="1" customHeight="1" ht="16.5">
      <c r="A77" s="217"/>
      <c r="B77" s="217"/>
      <c r="C77" s="217"/>
      <c r="D77" s="217"/>
      <c r="E77" s="794">
        <v>17.1</v>
      </c>
      <c r="F77" s="919" cm="1" t="str">
        <f t="array" ref="F77:F77">OFFSET(G77,-1,-1)</f>
        <v>2</v>
      </c>
      <c r="G77" s="217"/>
      <c r="H77" s="217"/>
      <c r="I77" s="217"/>
      <c r="J77" s="217"/>
      <c r="K77" s="217"/>
      <c r="L77" s="217"/>
      <c r="M77" s="217"/>
      <c r="N77" s="217"/>
      <c r="O77" s="217"/>
      <c r="P77" s="217"/>
      <c r="Q77" s="217"/>
      <c r="R77" s="217"/>
      <c r="S77" s="217"/>
      <c r="T77" s="217"/>
      <c r="U77" s="805" cm="1" t="str">
        <f t="array" ref="U77:U77">U76</f>
        <v>true</v>
      </c>
      <c r="V77" s="217"/>
      <c r="W77" s="217"/>
      <c r="X77" s="217"/>
      <c r="Y77" s="217"/>
      <c r="Z77" s="217"/>
      <c r="AA77" s="217"/>
      <c r="AB77" s="576" t="str">
        <f>AB75&amp;".2"</f>
        <v>2.1.2.2</v>
      </c>
      <c r="AC77" s="718" t="s">
        <v>457</v>
      </c>
      <c r="AD77" s="170" t="s">
        <v>458</v>
      </c>
      <c r="AE77" s="1666"/>
      <c r="AF77" s="583">
        <v>0.46</v>
      </c>
      <c r="AG77" s="280">
        <v>0.46</v>
      </c>
      <c r="AH77" s="280">
        <v>0.46</v>
      </c>
      <c r="AI77" s="280">
        <v>0.46</v>
      </c>
      <c r="AJ77" s="280">
        <v>0.46</v>
      </c>
      <c r="AK77" s="1666"/>
      <c r="AL77" s="1666"/>
      <c r="AM77" s="1666"/>
      <c r="AN77" s="1666"/>
      <c r="AO77" s="1666"/>
      <c r="AP77" s="280">
        <v>0.46</v>
      </c>
      <c r="AQ77" s="280">
        <v>0.46</v>
      </c>
      <c r="AR77" s="280">
        <v>0.46</v>
      </c>
      <c r="AS77" s="280">
        <v>0.46</v>
      </c>
      <c r="AT77" s="280">
        <v>0.46</v>
      </c>
      <c r="AU77" s="1666"/>
      <c r="AV77" s="1666"/>
      <c r="AW77" s="1666"/>
      <c r="AX77" s="1666"/>
      <c r="AY77" s="1666"/>
      <c r="AZ77" s="1657"/>
      <c r="BA77" s="217"/>
      <c r="BB77" s="217"/>
      <c r="BC77" s="1158" t="s">
        <v>464</v>
      </c>
    </row>
    <row s="1698" customFormat="1" customHeight="1" ht="16.5">
      <c r="A78" s="217"/>
      <c r="B78" s="217"/>
      <c r="C78" s="217"/>
      <c r="D78" s="217"/>
      <c r="E78" s="794">
        <v>17.1</v>
      </c>
      <c r="F78" s="919" cm="1" t="str">
        <f t="array" ref="F78:F78">OFFSET(G78,-1,-1)</f>
        <v>2</v>
      </c>
      <c r="G78" s="217"/>
      <c r="H78" s="217"/>
      <c r="I78" s="217"/>
      <c r="J78" s="217"/>
      <c r="K78" s="217"/>
      <c r="L78" s="217"/>
      <c r="M78" s="217"/>
      <c r="N78" s="217"/>
      <c r="O78" s="217"/>
      <c r="P78" s="217"/>
      <c r="Q78" s="217"/>
      <c r="R78" s="217"/>
      <c r="S78" s="217"/>
      <c r="T78" s="217"/>
      <c r="U78" s="805" cm="1" t="str">
        <f t="array" ref="U78:U78">U77</f>
        <v>true</v>
      </c>
      <c r="V78" s="217"/>
      <c r="W78" s="217"/>
      <c r="X78" s="217"/>
      <c r="Y78" s="217"/>
      <c r="Z78" s="217"/>
      <c r="AA78" s="217"/>
      <c r="AB78" s="285" t="s">
        <v>465</v>
      </c>
      <c r="AC78" s="719" t="s">
        <v>466</v>
      </c>
      <c r="AD78" s="285" t="s">
        <v>439</v>
      </c>
      <c r="AE78" s="1666">
        <f>1.25*(11*AE80+MAX(0.06*AE80*(AE79-100),0))</f>
        <v>0</v>
      </c>
      <c r="AF78" s="723">
        <f>1.25*(11*AF80+MAX(0.06*AF80*(AF79-100),0))</f>
        <v>0</v>
      </c>
      <c r="AG78" s="209">
        <f>1.25*(11*AG80+MAX(0.06*AG80*(AG79-100),0))</f>
        <v>0</v>
      </c>
      <c r="AH78" s="209">
        <f>1.25*(11*AH80+MAX(0.06*AH80*(AH79-100),0))</f>
        <v>0</v>
      </c>
      <c r="AI78" s="209">
        <f>1.25*(11*AI80+MAX(0.06*AI80*(AI79-100),0))</f>
        <v>0</v>
      </c>
      <c r="AJ78" s="209">
        <f>1.25*(11*AJ80+MAX(0.06*AJ80*(AJ79-100),0))</f>
        <v>0</v>
      </c>
      <c r="AK78" s="1655">
        <f>1.25*(11*AK80+MAX(0.06*AK80*(AK79-100),0))</f>
        <v>0</v>
      </c>
      <c r="AL78" s="1655">
        <f>1.25*(11*AL80+MAX(0.06*AL80*(AL79-100),0))</f>
        <v>0</v>
      </c>
      <c r="AM78" s="1655">
        <f>1.25*(11*AM80+MAX(0.06*AM80*(AM79-100),0))</f>
        <v>0</v>
      </c>
      <c r="AN78" s="1655">
        <f>1.25*(11*AN80+MAX(0.06*AN80*(AN79-100),0))</f>
        <v>0</v>
      </c>
      <c r="AO78" s="1655">
        <f>1.25*(11*AO80+MAX(0.06*AO80*(AO79-100),0))</f>
        <v>0</v>
      </c>
      <c r="AP78" s="209">
        <f>1.25*(11*AP80+MAX(0.06*AP80*(AP79-100),0))</f>
        <v>0</v>
      </c>
      <c r="AQ78" s="209">
        <f>1.25*(11*AQ80+MAX(0.06*AQ80*(AQ79-100),0))</f>
        <v>0</v>
      </c>
      <c r="AR78" s="209">
        <f>1.25*(11*AR80+MAX(0.06*AR80*(AR79-100),0))</f>
        <v>0</v>
      </c>
      <c r="AS78" s="209">
        <f>1.25*(11*AS80+MAX(0.06*AS80*(AS79-100),0))</f>
        <v>0</v>
      </c>
      <c r="AT78" s="209">
        <f>1.25*(11*AT80+MAX(0.06*AT80*(AT79-100),0))</f>
        <v>0</v>
      </c>
      <c r="AU78" s="1655">
        <f>1.25*(11*AU80+MAX(0.06*AU80*(AU79-100),0))</f>
        <v>0</v>
      </c>
      <c r="AV78" s="1655">
        <f>1.25*(11*AV80+MAX(0.06*AV80*(AV79-100),0))</f>
        <v>0</v>
      </c>
      <c r="AW78" s="1655">
        <f>1.25*(11*AW80+MAX(0.06*AW80*(AW79-100),0))</f>
        <v>0</v>
      </c>
      <c r="AX78" s="1655">
        <f>1.25*(11*AX80+MAX(0.06*AX80*(AX79-100),0))</f>
        <v>0</v>
      </c>
      <c r="AY78" s="1655">
        <f>1.25*(11*AY80+MAX(0.06*AY80*(AY79-100),0))</f>
        <v>0</v>
      </c>
      <c r="AZ78" s="1657"/>
      <c r="BA78" s="217"/>
      <c r="BB78" s="217"/>
      <c r="BC78" s="1158" t="s">
        <v>467</v>
      </c>
    </row>
    <row s="1699" customFormat="1" customHeight="1" ht="16.5">
      <c r="A79" s="217"/>
      <c r="B79" s="217"/>
      <c r="C79" s="217"/>
      <c r="D79" s="217"/>
      <c r="E79" s="794">
        <v>17.1</v>
      </c>
      <c r="F79" s="919" cm="1" t="str">
        <f t="array" ref="F79:F79">OFFSET(G79,-1,-1)</f>
        <v>2</v>
      </c>
      <c r="G79" s="217"/>
      <c r="H79" s="217"/>
      <c r="I79" s="217"/>
      <c r="J79" s="217"/>
      <c r="K79" s="217"/>
      <c r="L79" s="217"/>
      <c r="M79" s="217"/>
      <c r="N79" s="217"/>
      <c r="O79" s="217"/>
      <c r="P79" s="217"/>
      <c r="Q79" s="217"/>
      <c r="R79" s="217"/>
      <c r="S79" s="217"/>
      <c r="T79" s="217"/>
      <c r="U79" s="805" cm="1" t="str">
        <f t="array" ref="U79:U79">U78</f>
        <v>true</v>
      </c>
      <c r="V79" s="217"/>
      <c r="W79" s="217"/>
      <c r="X79" s="217"/>
      <c r="Y79" s="217"/>
      <c r="Z79" s="217"/>
      <c r="AA79" s="217"/>
      <c r="AB79" s="576" t="str">
        <f>AB78&amp;".1"</f>
        <v>2.1.3.1</v>
      </c>
      <c r="AC79" s="718" t="s">
        <v>454</v>
      </c>
      <c r="AD79" s="170" t="s">
        <v>455</v>
      </c>
      <c r="AE79" s="1666"/>
      <c r="AF79" s="582"/>
      <c r="AG79" s="582"/>
      <c r="AH79" s="582"/>
      <c r="AI79" s="582"/>
      <c r="AJ79" s="582"/>
      <c r="AK79" s="1677"/>
      <c r="AL79" s="1677"/>
      <c r="AM79" s="1677"/>
      <c r="AN79" s="1677"/>
      <c r="AO79" s="1677"/>
      <c r="AP79" s="582"/>
      <c r="AQ79" s="582"/>
      <c r="AR79" s="582"/>
      <c r="AS79" s="582"/>
      <c r="AT79" s="582"/>
      <c r="AU79" s="1677"/>
      <c r="AV79" s="1677"/>
      <c r="AW79" s="1677"/>
      <c r="AX79" s="1677"/>
      <c r="AY79" s="1677"/>
      <c r="AZ79" s="1657"/>
      <c r="BA79" s="217"/>
      <c r="BB79" s="217"/>
      <c r="BC79" s="1158" t="s">
        <v>468</v>
      </c>
    </row>
    <row s="1700" customFormat="1" customHeight="1" ht="16.5">
      <c r="A80" s="217"/>
      <c r="B80" s="217"/>
      <c r="C80" s="217"/>
      <c r="D80" s="217"/>
      <c r="E80" s="794">
        <v>17.1</v>
      </c>
      <c r="F80" s="919" cm="1" t="str">
        <f t="array" ref="F80:F80">OFFSET(G80,-1,-1)</f>
        <v>2</v>
      </c>
      <c r="G80" s="217"/>
      <c r="H80" s="217"/>
      <c r="I80" s="217"/>
      <c r="J80" s="217"/>
      <c r="K80" s="217"/>
      <c r="L80" s="217"/>
      <c r="M80" s="217"/>
      <c r="N80" s="217"/>
      <c r="O80" s="217"/>
      <c r="P80" s="217"/>
      <c r="Q80" s="217"/>
      <c r="R80" s="217"/>
      <c r="S80" s="217"/>
      <c r="T80" s="217"/>
      <c r="U80" s="805" cm="1" t="str">
        <f t="array" ref="U80:U80">U79</f>
        <v>true</v>
      </c>
      <c r="V80" s="217"/>
      <c r="W80" s="217"/>
      <c r="X80" s="217"/>
      <c r="Y80" s="217"/>
      <c r="Z80" s="217"/>
      <c r="AA80" s="217"/>
      <c r="AB80" s="576" t="str">
        <f>AB78&amp;".2"</f>
        <v>2.1.3.2</v>
      </c>
      <c r="AC80" s="718" t="s">
        <v>457</v>
      </c>
      <c r="AD80" s="170" t="s">
        <v>458</v>
      </c>
      <c r="AE80" s="1666"/>
      <c r="AF80" s="583"/>
      <c r="AG80" s="583"/>
      <c r="AH80" s="583"/>
      <c r="AI80" s="583"/>
      <c r="AJ80" s="583"/>
      <c r="AK80" s="1679"/>
      <c r="AL80" s="1679"/>
      <c r="AM80" s="1679"/>
      <c r="AN80" s="1679"/>
      <c r="AO80" s="1679"/>
      <c r="AP80" s="583"/>
      <c r="AQ80" s="583"/>
      <c r="AR80" s="583"/>
      <c r="AS80" s="583"/>
      <c r="AT80" s="583"/>
      <c r="AU80" s="1679"/>
      <c r="AV80" s="1679"/>
      <c r="AW80" s="1679"/>
      <c r="AX80" s="1679"/>
      <c r="AY80" s="1679"/>
      <c r="AZ80" s="1657"/>
      <c r="BA80" s="217"/>
      <c r="BB80" s="217"/>
      <c r="BC80" s="1158" t="s">
        <v>469</v>
      </c>
    </row>
    <row s="1701" customFormat="1" customHeight="1" ht="16.5">
      <c r="A81" s="217"/>
      <c r="B81" s="217"/>
      <c r="C81" s="217"/>
      <c r="D81" s="217"/>
      <c r="E81" s="794">
        <v>17.1</v>
      </c>
      <c r="F81" s="919" cm="1" t="str">
        <f t="array" ref="F81:F81">OFFSET(G81,-1,-1)</f>
        <v>2</v>
      </c>
      <c r="G81" s="217"/>
      <c r="H81" s="210" t="s">
        <v>437</v>
      </c>
      <c r="I81" s="210" t="str">
        <f>AC81&amp;"::"&amp;AD81</f>
        <v>Четырехтрубные::УЕ</v>
      </c>
      <c r="J81" s="217"/>
      <c r="K81" s="217"/>
      <c r="L81" s="217"/>
      <c r="M81" s="217"/>
      <c r="N81" s="217"/>
      <c r="O81" s="217"/>
      <c r="P81" s="217"/>
      <c r="Q81" s="217"/>
      <c r="R81" s="217"/>
      <c r="S81" s="217"/>
      <c r="T81" s="217"/>
      <c r="U81" s="805" cm="1" t="str">
        <f t="array" ref="U81:U81">U80</f>
        <v>true</v>
      </c>
      <c r="V81" s="217"/>
      <c r="W81" s="217"/>
      <c r="X81" s="217"/>
      <c r="Y81" s="217"/>
      <c r="Z81" s="217"/>
      <c r="AA81" s="217"/>
      <c r="AB81" s="285" t="s">
        <v>470</v>
      </c>
      <c r="AC81" s="719" t="s">
        <v>471</v>
      </c>
      <c r="AD81" s="285" t="s">
        <v>439</v>
      </c>
      <c r="AE81" s="1666">
        <f>1.5*(11*AE83+MAX(0.06*AE83*(AE82-100),0))</f>
        <v>0</v>
      </c>
      <c r="AF81" s="723">
        <f>1.5*(11*AF83+MAX(0.06*AF83*(AF82-100),0))</f>
        <v>0</v>
      </c>
      <c r="AG81" s="209">
        <f>1.5*(11*AG83+MAX(0.06*AG83*(AG82-100),0))</f>
        <v>0</v>
      </c>
      <c r="AH81" s="209">
        <f>1.5*(11*AH83+MAX(0.06*AH83*(AH82-100),0))</f>
        <v>0</v>
      </c>
      <c r="AI81" s="209">
        <f>1.5*(11*AI83+MAX(0.06*AI83*(AI82-100),0))</f>
        <v>0</v>
      </c>
      <c r="AJ81" s="209">
        <f>1.5*(11*AJ83+MAX(0.06*AJ83*(AJ82-100),0))</f>
        <v>0</v>
      </c>
      <c r="AK81" s="1655">
        <f>1.5*(11*AK83+MAX(0.06*AK83*(AK82-100),0))</f>
        <v>0</v>
      </c>
      <c r="AL81" s="1655">
        <f>1.5*(11*AL83+MAX(0.06*AL83*(AL82-100),0))</f>
        <v>0</v>
      </c>
      <c r="AM81" s="1655">
        <f>1.5*(11*AM83+MAX(0.06*AM83*(AM82-100),0))</f>
        <v>0</v>
      </c>
      <c r="AN81" s="1655">
        <f>1.5*(11*AN83+MAX(0.06*AN83*(AN82-100),0))</f>
        <v>0</v>
      </c>
      <c r="AO81" s="1655">
        <f>1.5*(11*AO83+MAX(0.06*AO83*(AO82-100),0))</f>
        <v>0</v>
      </c>
      <c r="AP81" s="209">
        <f>1.5*(11*AP83+MAX(0.06*AP83*(AP82-100),0))</f>
        <v>0</v>
      </c>
      <c r="AQ81" s="209">
        <f>1.5*(11*AQ83+MAX(0.06*AQ83*(AQ82-100),0))</f>
        <v>0</v>
      </c>
      <c r="AR81" s="209">
        <f>1.5*(11*AR83+MAX(0.06*AR83*(AR82-100),0))</f>
        <v>0</v>
      </c>
      <c r="AS81" s="209">
        <f>1.5*(11*AS83+MAX(0.06*AS83*(AS82-100),0))</f>
        <v>0</v>
      </c>
      <c r="AT81" s="209">
        <f>1.5*(11*AT83+MAX(0.06*AT83*(AT82-100),0))</f>
        <v>0</v>
      </c>
      <c r="AU81" s="1655">
        <f>1.5*(11*AU83+MAX(0.06*AU83*(AU82-100),0))</f>
        <v>0</v>
      </c>
      <c r="AV81" s="1655">
        <f>1.5*(11*AV83+MAX(0.06*AV83*(AV82-100),0))</f>
        <v>0</v>
      </c>
      <c r="AW81" s="1655">
        <f>1.5*(11*AW83+MAX(0.06*AW83*(AW82-100),0))</f>
        <v>0</v>
      </c>
      <c r="AX81" s="1655">
        <f>1.5*(11*AX83+MAX(0.06*AX83*(AX82-100),0))</f>
        <v>0</v>
      </c>
      <c r="AY81" s="1655">
        <f>1.5*(11*AY83+MAX(0.06*AY83*(AY82-100),0))</f>
        <v>0</v>
      </c>
      <c r="AZ81" s="1657"/>
      <c r="BA81" s="217"/>
      <c r="BB81" s="217"/>
      <c r="BC81" s="1158" t="s">
        <v>472</v>
      </c>
    </row>
    <row s="1702" customFormat="1" customHeight="1" ht="16.5">
      <c r="A82" s="217"/>
      <c r="B82" s="217"/>
      <c r="C82" s="217"/>
      <c r="D82" s="217"/>
      <c r="E82" s="794">
        <v>17.1</v>
      </c>
      <c r="F82" s="919" cm="1" t="str">
        <f t="array" ref="F82:F82">OFFSET(G82,-1,-1)</f>
        <v>2</v>
      </c>
      <c r="G82" s="217"/>
      <c r="H82" s="217"/>
      <c r="I82" s="217"/>
      <c r="J82" s="217"/>
      <c r="K82" s="217"/>
      <c r="L82" s="217"/>
      <c r="M82" s="217"/>
      <c r="N82" s="217"/>
      <c r="O82" s="217"/>
      <c r="P82" s="217"/>
      <c r="Q82" s="217"/>
      <c r="R82" s="217"/>
      <c r="S82" s="217"/>
      <c r="T82" s="217"/>
      <c r="U82" s="805" cm="1" t="str">
        <f t="array" ref="U82:U82">U81</f>
        <v>true</v>
      </c>
      <c r="V82" s="217"/>
      <c r="W82" s="217"/>
      <c r="X82" s="217"/>
      <c r="Y82" s="217"/>
      <c r="Z82" s="217"/>
      <c r="AA82" s="217"/>
      <c r="AB82" s="576" t="str">
        <f>AB81&amp;".1"</f>
        <v>2.1.4.1</v>
      </c>
      <c r="AC82" s="718" t="s">
        <v>454</v>
      </c>
      <c r="AD82" s="170" t="s">
        <v>455</v>
      </c>
      <c r="AE82" s="1666"/>
      <c r="AF82" s="583"/>
      <c r="AG82" s="583"/>
      <c r="AH82" s="583"/>
      <c r="AI82" s="583"/>
      <c r="AJ82" s="583"/>
      <c r="AK82" s="1679"/>
      <c r="AL82" s="1679"/>
      <c r="AM82" s="1679"/>
      <c r="AN82" s="1679"/>
      <c r="AO82" s="1679"/>
      <c r="AP82" s="583"/>
      <c r="AQ82" s="583"/>
      <c r="AR82" s="583"/>
      <c r="AS82" s="583"/>
      <c r="AT82" s="583"/>
      <c r="AU82" s="1679"/>
      <c r="AV82" s="1679"/>
      <c r="AW82" s="1679"/>
      <c r="AX82" s="1679"/>
      <c r="AY82" s="1679"/>
      <c r="AZ82" s="1657"/>
      <c r="BA82" s="217"/>
      <c r="BB82" s="217"/>
      <c r="BC82" s="1158" t="s">
        <v>473</v>
      </c>
    </row>
    <row s="1703" customFormat="1" customHeight="1" ht="16.5">
      <c r="A83" s="217"/>
      <c r="B83" s="217"/>
      <c r="C83" s="217"/>
      <c r="D83" s="217"/>
      <c r="E83" s="794">
        <v>17.1</v>
      </c>
      <c r="F83" s="919" cm="1" t="str">
        <f t="array" ref="F83:F83">OFFSET(G83,-1,-1)</f>
        <v>2</v>
      </c>
      <c r="G83" s="217"/>
      <c r="H83" s="217"/>
      <c r="I83" s="217"/>
      <c r="J83" s="217"/>
      <c r="K83" s="217"/>
      <c r="L83" s="217"/>
      <c r="M83" s="217"/>
      <c r="N83" s="217"/>
      <c r="O83" s="217"/>
      <c r="P83" s="217"/>
      <c r="Q83" s="217"/>
      <c r="R83" s="217"/>
      <c r="S83" s="217"/>
      <c r="T83" s="217"/>
      <c r="U83" s="805" cm="1" t="str">
        <f t="array" ref="U83:U83">U82</f>
        <v>true</v>
      </c>
      <c r="V83" s="217"/>
      <c r="W83" s="217"/>
      <c r="X83" s="217"/>
      <c r="Y83" s="217"/>
      <c r="Z83" s="217"/>
      <c r="AA83" s="217"/>
      <c r="AB83" s="576" t="str">
        <f>AB81&amp;".2"</f>
        <v>2.1.4.2</v>
      </c>
      <c r="AC83" s="718" t="s">
        <v>457</v>
      </c>
      <c r="AD83" s="170" t="s">
        <v>458</v>
      </c>
      <c r="AE83" s="1666"/>
      <c r="AF83" s="583"/>
      <c r="AG83" s="583"/>
      <c r="AH83" s="583"/>
      <c r="AI83" s="583"/>
      <c r="AJ83" s="583"/>
      <c r="AK83" s="1679"/>
      <c r="AL83" s="1679"/>
      <c r="AM83" s="1679"/>
      <c r="AN83" s="1679"/>
      <c r="AO83" s="1679"/>
      <c r="AP83" s="583"/>
      <c r="AQ83" s="583"/>
      <c r="AR83" s="583"/>
      <c r="AS83" s="583"/>
      <c r="AT83" s="583"/>
      <c r="AU83" s="1679"/>
      <c r="AV83" s="1679"/>
      <c r="AW83" s="1679"/>
      <c r="AX83" s="1679"/>
      <c r="AY83" s="1679"/>
      <c r="AZ83" s="1657"/>
      <c r="BA83" s="217"/>
      <c r="BB83" s="217"/>
      <c r="BC83" s="1158" t="s">
        <v>474</v>
      </c>
    </row>
    <row s="1704" customFormat="1" customHeight="1" ht="30">
      <c r="A84" s="217"/>
      <c r="B84" s="217"/>
      <c r="C84" s="217"/>
      <c r="D84" s="217"/>
      <c r="E84" s="794">
        <v>30.8</v>
      </c>
      <c r="F84" s="919" cm="1" t="str">
        <f t="array" ref="F84:F84">OFFSET(G84,-1,-1)</f>
        <v>2</v>
      </c>
      <c r="G84" s="217"/>
      <c r="H84" s="217"/>
      <c r="I84" s="217"/>
      <c r="J84" s="217"/>
      <c r="K84" s="217"/>
      <c r="L84" s="217"/>
      <c r="M84" s="217"/>
      <c r="N84" s="217"/>
      <c r="O84" s="217"/>
      <c r="P84" s="217"/>
      <c r="Q84" s="217"/>
      <c r="R84" s="217"/>
      <c r="S84" s="217"/>
      <c r="T84" s="217"/>
      <c r="U84" s="805" cm="1" t="str">
        <f t="array" ref="U84:U84">U83</f>
        <v>true</v>
      </c>
      <c r="V84" s="217"/>
      <c r="W84" s="217"/>
      <c r="X84" s="217"/>
      <c r="Y84" s="217"/>
      <c r="Z84" s="217"/>
      <c r="AA84" s="217"/>
      <c r="AB84" s="571" t="s">
        <v>475</v>
      </c>
      <c r="AC84" s="720" t="s">
        <v>476</v>
      </c>
      <c r="AD84" s="170" t="s">
        <v>477</v>
      </c>
      <c r="AE84" s="1666"/>
      <c r="AF84" s="583"/>
      <c r="AG84" s="280"/>
      <c r="AH84" s="280"/>
      <c r="AI84" s="280"/>
      <c r="AJ84" s="280"/>
      <c r="AK84" s="1666"/>
      <c r="AL84" s="1666"/>
      <c r="AM84" s="1666"/>
      <c r="AN84" s="1666"/>
      <c r="AO84" s="1666"/>
      <c r="AP84" s="280"/>
      <c r="AQ84" s="280"/>
      <c r="AR84" s="280"/>
      <c r="AS84" s="280"/>
      <c r="AT84" s="280"/>
      <c r="AU84" s="1666"/>
      <c r="AV84" s="1666"/>
      <c r="AW84" s="1666"/>
      <c r="AX84" s="1666"/>
      <c r="AY84" s="1666"/>
      <c r="AZ84" s="1657"/>
      <c r="BA84" s="217"/>
      <c r="BB84" s="217"/>
      <c r="BC84" s="1158" t="s">
        <v>478</v>
      </c>
    </row>
    <row s="1705" customFormat="1" customHeight="1" ht="38.25">
      <c r="A85" s="217"/>
      <c r="B85" s="217"/>
      <c r="C85" s="217"/>
      <c r="D85" s="217"/>
      <c r="E85" s="794">
        <v>39.8</v>
      </c>
      <c r="F85" s="919" cm="1" t="str">
        <f t="array" ref="F85:F85">OFFSET(G85,-1,-1)</f>
        <v>2</v>
      </c>
      <c r="G85" s="217"/>
      <c r="H85" s="217"/>
      <c r="I85" s="217"/>
      <c r="J85" s="217"/>
      <c r="K85" s="217"/>
      <c r="L85" s="217"/>
      <c r="M85" s="217"/>
      <c r="N85" s="217"/>
      <c r="O85" s="217"/>
      <c r="P85" s="217"/>
      <c r="Q85" s="217"/>
      <c r="R85" s="217"/>
      <c r="S85" s="217"/>
      <c r="T85" s="217"/>
      <c r="U85" s="805" cm="1" t="str">
        <f t="array" ref="U85:U85">U84</f>
        <v>true</v>
      </c>
      <c r="V85" s="217"/>
      <c r="W85" s="217"/>
      <c r="X85" s="217"/>
      <c r="Y85" s="217"/>
      <c r="Z85" s="217"/>
      <c r="AA85" s="217"/>
      <c r="AB85" s="572" t="s">
        <v>479</v>
      </c>
      <c r="AC85" s="721" t="s">
        <v>480</v>
      </c>
      <c r="AD85" s="170" t="s">
        <v>481</v>
      </c>
      <c r="AE85" s="1666"/>
      <c r="AF85" s="583"/>
      <c r="AG85" s="280"/>
      <c r="AH85" s="280"/>
      <c r="AI85" s="280"/>
      <c r="AJ85" s="280"/>
      <c r="AK85" s="1666"/>
      <c r="AL85" s="1666"/>
      <c r="AM85" s="1666"/>
      <c r="AN85" s="1666"/>
      <c r="AO85" s="1666"/>
      <c r="AP85" s="280"/>
      <c r="AQ85" s="280"/>
      <c r="AR85" s="280"/>
      <c r="AS85" s="280"/>
      <c r="AT85" s="280"/>
      <c r="AU85" s="1666"/>
      <c r="AV85" s="1666"/>
      <c r="AW85" s="1666"/>
      <c r="AX85" s="1666"/>
      <c r="AY85" s="1666"/>
      <c r="AZ85" s="1657"/>
      <c r="BA85" s="217"/>
      <c r="BB85" s="217"/>
      <c r="BC85" s="1158" t="s">
        <v>482</v>
      </c>
    </row>
    <row s="1706" customFormat="1" customHeight="1" ht="48">
      <c r="A86" s="217"/>
      <c r="B86" s="217"/>
      <c r="C86" s="217"/>
      <c r="D86" s="217"/>
      <c r="E86" s="794">
        <v>49.5</v>
      </c>
      <c r="F86" s="919" cm="1" t="str">
        <f t="array" ref="F86:F86">OFFSET(G86,-1,-1)</f>
        <v>2</v>
      </c>
      <c r="G86" s="217"/>
      <c r="H86" s="210" t="s">
        <v>437</v>
      </c>
      <c r="I86" s="210" t="str">
        <f>AC86&amp;"::"&amp;AD86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86" s="217"/>
      <c r="K86" s="217"/>
      <c r="L86" s="217"/>
      <c r="M86" s="217"/>
      <c r="N86" s="217"/>
      <c r="O86" s="217"/>
      <c r="P86" s="217"/>
      <c r="Q86" s="217"/>
      <c r="R86" s="217"/>
      <c r="S86" s="217"/>
      <c r="T86" s="217"/>
      <c r="U86" s="805" cm="1" t="str">
        <f t="array" ref="U86:U86">U85</f>
        <v>true</v>
      </c>
      <c r="V86" s="217"/>
      <c r="W86" s="217"/>
      <c r="X86" s="217"/>
      <c r="Y86" s="217"/>
      <c r="Z86" s="217"/>
      <c r="AA86" s="217"/>
      <c r="AB86" s="572" t="s">
        <v>483</v>
      </c>
      <c r="AC86" s="161" t="s">
        <v>484</v>
      </c>
      <c r="AD86" s="555" t="s">
        <v>444</v>
      </c>
      <c r="AE86" s="1686"/>
      <c r="AF86" s="280">
        <v>1.38</v>
      </c>
      <c r="AG86" s="280">
        <v>1.38</v>
      </c>
      <c r="AH86" s="280">
        <v>1.38</v>
      </c>
      <c r="AI86" s="280">
        <v>1.38</v>
      </c>
      <c r="AJ86" s="280">
        <v>1.38</v>
      </c>
      <c r="AK86" s="1666">
        <v>1.38</v>
      </c>
      <c r="AL86" s="1666">
        <v>1.38</v>
      </c>
      <c r="AM86" s="1666">
        <v>1.38</v>
      </c>
      <c r="AN86" s="1666">
        <v>1.38</v>
      </c>
      <c r="AO86" s="1666">
        <v>1.38</v>
      </c>
      <c r="AP86" s="280">
        <v>1.38</v>
      </c>
      <c r="AQ86" s="280">
        <v>1.38</v>
      </c>
      <c r="AR86" s="280">
        <v>1.38</v>
      </c>
      <c r="AS86" s="280">
        <v>1.38</v>
      </c>
      <c r="AT86" s="280">
        <v>1.38</v>
      </c>
      <c r="AU86" s="1666"/>
      <c r="AV86" s="1666"/>
      <c r="AW86" s="1666"/>
      <c r="AX86" s="1666"/>
      <c r="AY86" s="1666"/>
      <c r="AZ86" s="1657"/>
      <c r="BA86" s="217"/>
      <c r="BB86" s="217"/>
      <c r="BC86" s="1158" t="s">
        <v>485</v>
      </c>
    </row>
    <row s="217" customFormat="1" customHeight="1" ht="11.115">
      <c r="A87" s="172"/>
      <c r="B87" s="785"/>
      <c r="C87" s="172"/>
      <c r="D87" s="172"/>
      <c r="E87" s="794">
        <v>11.4</v>
      </c>
      <c r="F87" s="919"/>
      <c r="G87" s="210"/>
      <c r="H87" s="210"/>
      <c r="I87" s="210"/>
      <c r="J87" s="210"/>
      <c r="K87" s="210"/>
      <c r="L87" s="210"/>
      <c r="M87" s="210"/>
      <c r="N87" s="210"/>
      <c r="O87" s="210"/>
      <c r="P87" s="210"/>
      <c r="Q87" s="210"/>
      <c r="R87" s="210"/>
      <c r="S87" s="210"/>
      <c r="T87" s="210"/>
      <c r="U87" s="172"/>
      <c r="V87" s="172" t="s">
        <v>235</v>
      </c>
      <c r="W87" s="168" t="s">
        <v>486</v>
      </c>
      <c r="X87" s="172"/>
      <c r="Y87" s="172"/>
      <c r="Z87" s="172"/>
      <c r="AB87" s="191"/>
      <c r="AC87" s="191"/>
      <c r="AD87" s="191"/>
      <c r="AE87" s="197"/>
      <c r="AF87" s="191"/>
      <c r="AG87" s="191"/>
      <c r="AH87" s="191"/>
      <c r="AI87" s="191"/>
      <c r="AJ87" s="191"/>
      <c r="AK87" s="191"/>
      <c r="AL87" s="191"/>
      <c r="AM87" s="191"/>
      <c r="AN87" s="191"/>
      <c r="AO87" s="191"/>
      <c r="AP87" s="191"/>
      <c r="AQ87" s="191"/>
      <c r="AR87" s="191"/>
      <c r="AS87" s="191"/>
      <c r="AT87" s="191"/>
      <c r="AU87" s="191"/>
      <c r="AV87" s="191"/>
      <c r="AW87" s="191"/>
      <c r="AX87" s="191"/>
      <c r="AY87" s="191"/>
      <c r="AZ87" s="197"/>
      <c r="BA87" s="198"/>
      <c r="BC87" s="1158"/>
    </row>
  </sheetData>
  <sheetProtection formatColumns="0" formatRows="0" insertRows="0" deleteColumns="0" deleteRows="0" sort="0" autoFilter="0" insertColumns="1"/>
  <mergeCells count="12">
    <mergeCell ref="Z27:Z46"/>
    <mergeCell ref="Y27:Y46"/>
    <mergeCell ref="AB22:AZ22"/>
    <mergeCell ref="AE23:AF23"/>
    <mergeCell ref="AZ24:AZ25"/>
    <mergeCell ref="AB24:AB25"/>
    <mergeCell ref="AC24:AC25"/>
    <mergeCell ref="AD24:AD25"/>
    <mergeCell ref="Z47:Z66"/>
    <mergeCell ref="Y47:Y66"/>
    <mergeCell ref="Z67:Z86"/>
    <mergeCell ref="Y67:Y8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AE70 AF70 AG70 AH70 AI70 AJ70 AK70 AL70 AM70 AN70 AO70 AP70 AQ70 AR70 AS70 AT70 AU70 AV70 AW70 AX70 AY70 AE71 AF71 AG71 AH71 AI71 AJ71 AK71 AL71 AM71 AN71 AO71 AP71 AQ71 AR71 AS71 AT71 AU71 AV71 AW71 AX71 AY71 AE72 AF72 AG72 AH72 AI72 AJ72 AK72 AL72 AM72 AN72 AO72 AP72 AQ72 AR72 AS72 AT72 AU72 AV72 AW72 AX72 AY72 AE75 AF75 AG75 AH75 AI75 AJ75 AK75 AL75 AM75 AN75 AO75 AP75 AQ75 AR75 AS75 AT75 AU75 AV75 AW75 AX75 AY75 AE78 AF78 AG78 AH78 AI78 AJ78 AK78 AL78 AM78 AN78 AO78 AP78 AQ78 AR78 AS78 AT78 AU78 AV78 AW78 AX78 AY78 AE81 AF81 AG81 AH81 AI81 AJ81 AK81 AL81 AM81 AN81 AO81 AP81 AQ81 AR81 AS81 AT81 AU81 AV81 AW81 AX81 AY8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487298-9F39-A128-5358-15902FAB8698}" mc:Ignorable="x14ac xr xr2 xr3">
  <sheetPr>
    <tabColor theme="3" tint="0.6"/>
    <outlinePr summaryRight="0" summaryBelow="0"/>
    <pageSetUpPr fitToPage="1"/>
  </sheetPr>
  <dimension ref="A1:BE110"/>
  <sheetViews>
    <sheetView showGridLines="0" workbookViewId="0">
      <pane xSplit="30" ySplit="25" topLeftCell="AE55" activePane="bottomRight" state="frozen"/>
      <selection pane="bottomLeft" activeCell="A26" sqref="A26"/>
      <selection pane="topRight" activeCell="AE1" sqref="AE1"/>
      <selection pane="bottomRight" activeCell="AH62" sqref="AH62"/>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5" style="217" width="15.1328125" customWidth="1"/>
    <col min="36" max="40" style="217" width="15.1328125" hidden="1" customWidth="1"/>
    <col min="41" max="45" style="217" width="15.1328125" customWidth="1"/>
    <col min="46" max="50" style="217" width="15.1328125" hidden="1" customWidth="1"/>
    <col min="51" max="51" style="217" width="3.00390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376</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377</v>
      </c>
      <c r="BB1" s="1158" t="s">
        <v>378</v>
      </c>
      <c r="BC1" s="1158" t="s">
        <v>379</v>
      </c>
      <c r="BD1" s="1162" t="s">
        <v>382</v>
      </c>
      <c r="BE1" s="1162" t="s">
        <v>383</v>
      </c>
    </row>
    <row s="924" customFormat="1" customHeight="1" ht="12" hidden="1">
      <c r="A2" s="1191"/>
      <c r="B2" s="907" t="s">
        <v>15</v>
      </c>
      <c r="AC2" s="789"/>
      <c r="AF2" s="806">
        <f>AF6&lt;=last_year_vis</f>
        <v>1</v>
      </c>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1</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430</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431</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388</v>
      </c>
      <c r="B11" s="1151"/>
      <c r="E11" s="1151"/>
      <c r="Q11" s="1160"/>
      <c r="R11" s="1160"/>
      <c r="AB11" s="1149"/>
      <c r="AC11" s="1161" t="s">
        <v>379</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487</v>
      </c>
      <c r="B18" s="785"/>
      <c r="E18" s="794"/>
      <c r="Q18" s="919"/>
      <c r="R18" s="919"/>
      <c r="AB18" s="176"/>
      <c r="AC18" s="168" t="s">
        <v>488</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390</v>
      </c>
      <c r="AC24" s="1465" t="s">
        <v>488</v>
      </c>
      <c r="AD24" s="1467" t="s">
        <v>434</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408</v>
      </c>
      <c r="AF25" s="1356" t="s">
        <v>408</v>
      </c>
      <c r="AG25" s="1355" t="s">
        <v>408</v>
      </c>
      <c r="AH25" s="1355" t="s">
        <v>408</v>
      </c>
      <c r="AI25" s="1355" t="s">
        <v>408</v>
      </c>
      <c r="AJ25" s="1355" t="s">
        <v>408</v>
      </c>
      <c r="AK25" s="1355" t="s">
        <v>408</v>
      </c>
      <c r="AL25" s="1355" t="s">
        <v>408</v>
      </c>
      <c r="AM25" s="1355" t="s">
        <v>408</v>
      </c>
      <c r="AN25" s="1355" t="s">
        <v>408</v>
      </c>
      <c r="AO25" s="166" t="s">
        <v>407</v>
      </c>
      <c r="AP25" s="166" t="s">
        <v>407</v>
      </c>
      <c r="AQ25" s="166" t="s">
        <v>407</v>
      </c>
      <c r="AR25" s="166" t="s">
        <v>407</v>
      </c>
      <c r="AS25" s="166" t="s">
        <v>407</v>
      </c>
      <c r="AT25" s="166" t="s">
        <v>407</v>
      </c>
      <c r="AU25" s="166" t="s">
        <v>407</v>
      </c>
      <c r="AV25" s="166" t="s">
        <v>407</v>
      </c>
      <c r="AW25" s="166" t="s">
        <v>407</v>
      </c>
      <c r="AX25" s="166" t="s">
        <v>407</v>
      </c>
    </row>
    <row customHeight="1" ht="23.400000000000002">
      <c r="E26" s="794">
        <v>24</v>
      </c>
      <c r="AB26" s="154"/>
      <c r="AC26" s="831" t="s">
        <v>489</v>
      </c>
      <c r="AD26" s="206" t="s">
        <v>490</v>
      </c>
      <c r="AE26" s="1123">
        <v>1.22</v>
      </c>
      <c r="AF26" s="1123">
        <v>1.22</v>
      </c>
      <c r="AG26" s="1123">
        <v>1.22</v>
      </c>
      <c r="AH26" s="1123">
        <v>1.22</v>
      </c>
      <c r="AI26" s="1123">
        <v>1.22</v>
      </c>
      <c r="AJ26" s="1714"/>
      <c r="AK26" s="1714"/>
      <c r="AL26" s="1714"/>
      <c r="AM26" s="1714"/>
      <c r="AN26" s="1714"/>
      <c r="AO26" s="1123">
        <v>1.22</v>
      </c>
      <c r="AP26" s="1123">
        <v>1.22</v>
      </c>
      <c r="AQ26" s="1123">
        <v>1.22</v>
      </c>
      <c r="AR26" s="1123">
        <v>1.22</v>
      </c>
      <c r="AS26" s="1123">
        <v>1.22</v>
      </c>
      <c r="AT26" s="1714"/>
      <c r="AU26" s="1714"/>
      <c r="AV26" s="1714"/>
      <c r="AW26" s="1714"/>
      <c r="AX26" s="1714"/>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309</v>
      </c>
      <c r="Y28" s="168">
        <v>0</v>
      </c>
      <c r="AB28" s="260" cm="1" t="str">
        <f t="array" ref="AB28:AB28">INDEX('Общие сведения'!$AG$169:$AG$218,MATCH($F28,'Общие сведения'!$Z$169:$Z$218,0))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491</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492</v>
      </c>
      <c r="H30" s="172" t="s">
        <v>493</v>
      </c>
      <c r="U30" s="1056">
        <f>AND(F30&gt;0,method_reg&lt;&gt;"Метод экономически обоснованных расходов")</f>
        <v>0</v>
      </c>
      <c r="AB30" s="203">
        <v>1</v>
      </c>
      <c r="AC30" s="204" t="s">
        <v>494</v>
      </c>
      <c r="AD30" s="206" t="s">
        <v>490</v>
      </c>
      <c r="AE30" s="66">
        <v>1</v>
      </c>
      <c r="AF30" s="366">
        <v>1</v>
      </c>
      <c r="AG30" s="366">
        <v>1</v>
      </c>
      <c r="AH30" s="366">
        <v>1</v>
      </c>
      <c r="AI30" s="366">
        <v>1</v>
      </c>
      <c r="AJ30" s="66">
        <v>1</v>
      </c>
      <c r="AK30" s="66">
        <v>1</v>
      </c>
      <c r="AL30" s="66">
        <v>1</v>
      </c>
      <c r="AM30" s="66">
        <v>1</v>
      </c>
      <c r="AN30" s="66">
        <v>1</v>
      </c>
      <c r="AO30" s="366">
        <v>1</v>
      </c>
      <c r="AP30" s="366">
        <v>1</v>
      </c>
      <c r="AQ30" s="366">
        <v>1</v>
      </c>
      <c r="AR30" s="366">
        <v>1</v>
      </c>
      <c r="AS30" s="366">
        <v>1</v>
      </c>
      <c r="AT30" s="66">
        <v>1</v>
      </c>
      <c r="AU30" s="66">
        <v>1</v>
      </c>
      <c r="AV30" s="66">
        <v>1</v>
      </c>
      <c r="AW30" s="66">
        <v>1</v>
      </c>
      <c r="AX30" s="66">
        <v>1</v>
      </c>
      <c r="BA30" s="1158" t="s">
        <v>495</v>
      </c>
    </row>
    <row customHeight="1" ht="29.25" hidden="1">
      <c r="E31" s="794">
        <v>30</v>
      </c>
      <c r="F31" s="919" cm="1" t="str">
        <f t="array" ref="F31:F31">OFFSET(G31,-1,-1)</f>
        <v>0</v>
      </c>
      <c r="H31" s="172" t="s">
        <v>496</v>
      </c>
      <c r="U31" s="1056">
        <f>AND(F31&gt;0,method_reg&lt;&gt;"Метод экономически обоснованных расходов")</f>
        <v>0</v>
      </c>
      <c r="AB31" s="834" t="s">
        <v>343</v>
      </c>
      <c r="AC31" s="835" t="s">
        <v>497</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233</v>
      </c>
      <c r="AA33" s="914" t="s">
        <v>217</v>
      </c>
      <c r="AB33" s="892" t="s">
        <v>498</v>
      </c>
      <c r="AC33" s="68"/>
      <c r="AD33" s="893" t="s">
        <v>490</v>
      </c>
      <c r="AE33" s="69"/>
      <c r="AF33" s="1124"/>
      <c r="AG33" s="1124"/>
      <c r="AH33" s="1124"/>
      <c r="AI33" s="1124"/>
      <c r="AJ33" s="69"/>
      <c r="AK33" s="69"/>
      <c r="AL33" s="69"/>
      <c r="AM33" s="69"/>
      <c r="AN33" s="69"/>
      <c r="AO33" s="1124"/>
      <c r="AP33" s="1124"/>
      <c r="AQ33" s="1124"/>
      <c r="AR33" s="1124"/>
      <c r="AS33" s="1124"/>
      <c r="AT33" s="69"/>
      <c r="AU33" s="69"/>
      <c r="AV33" s="69"/>
      <c r="AW33" s="69"/>
      <c r="AX33" s="69"/>
      <c r="BA33" s="1158" t="s">
        <v>499</v>
      </c>
      <c r="BB33" s="1158" t="s">
        <v>500</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501</v>
      </c>
      <c r="AB34" s="299"/>
      <c r="AC34" s="732" t="s">
        <v>235</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500</v>
      </c>
    </row>
    <row customHeight="1" ht="16.672500000000003" hidden="1">
      <c r="E35" s="794">
        <v>17.1</v>
      </c>
      <c r="F35" s="919" cm="1" t="str">
        <f t="array" ref="F35:F35">OFFSET(G35,-1,-1)</f>
        <v>0</v>
      </c>
      <c r="G35" s="919" t="s">
        <v>502</v>
      </c>
      <c r="H35" s="172" t="s">
        <v>503</v>
      </c>
      <c r="U35" s="920">
        <f>F35&gt;0</f>
        <v>0</v>
      </c>
      <c r="AB35" s="894">
        <v>3</v>
      </c>
      <c r="AC35" s="895" t="s">
        <v>504</v>
      </c>
      <c r="AD35" s="896" t="s">
        <v>490</v>
      </c>
      <c r="AE35" s="70"/>
      <c r="AF35" s="1123"/>
      <c r="AG35" s="1123"/>
      <c r="AH35" s="1123"/>
      <c r="AI35" s="1123"/>
      <c r="AJ35" s="70"/>
      <c r="AK35" s="70"/>
      <c r="AL35" s="70"/>
      <c r="AM35" s="70"/>
      <c r="AN35" s="70"/>
      <c r="AO35" s="1123"/>
      <c r="AP35" s="1123"/>
      <c r="AQ35" s="1123"/>
      <c r="AR35" s="1123"/>
      <c r="AS35" s="1123"/>
      <c r="AT35" s="70"/>
      <c r="AU35" s="70"/>
      <c r="AV35" s="70"/>
      <c r="AW35" s="70"/>
      <c r="AX35" s="70"/>
      <c r="BA35" s="1158" t="s">
        <v>505</v>
      </c>
    </row>
    <row customHeight="1" ht="16.672500000000003" hidden="1">
      <c r="E36" s="794">
        <v>17.1</v>
      </c>
      <c r="F36" s="919" cm="1" t="str">
        <f t="array" ref="F36:F36">OFFSET(G36,-1,-1)</f>
        <v>0</v>
      </c>
      <c r="H36" s="172" t="s">
        <v>506</v>
      </c>
      <c r="U36" s="920">
        <f>F36&gt;0</f>
        <v>0</v>
      </c>
      <c r="AB36" s="832">
        <v>4</v>
      </c>
      <c r="AC36" s="839" t="s">
        <v>507</v>
      </c>
      <c r="AD36" s="840" t="s">
        <v>490</v>
      </c>
      <c r="AE36" s="66"/>
      <c r="AF36" s="366"/>
      <c r="AG36" s="366"/>
      <c r="AH36" s="366"/>
      <c r="AI36" s="366"/>
      <c r="AJ36" s="66"/>
      <c r="AK36" s="66"/>
      <c r="AL36" s="66"/>
      <c r="AM36" s="66"/>
      <c r="AN36" s="66"/>
      <c r="AO36" s="366"/>
      <c r="AP36" s="366"/>
      <c r="AQ36" s="366"/>
      <c r="AR36" s="366"/>
      <c r="AS36" s="366"/>
      <c r="AT36" s="66"/>
      <c r="AU36" s="66"/>
      <c r="AV36" s="66"/>
      <c r="AW36" s="66"/>
      <c r="AX36" s="66"/>
      <c r="BA36" s="1158" t="s">
        <v>508</v>
      </c>
    </row>
    <row customHeight="1" ht="29.25" hidden="1">
      <c r="E37" s="794">
        <v>30</v>
      </c>
      <c r="F37" s="919" cm="1" t="str">
        <f t="array" ref="F37:F37">OFFSET(G37,-1,-1)</f>
        <v>0</v>
      </c>
      <c r="H37" s="172" t="s">
        <v>509</v>
      </c>
      <c r="U37" s="920">
        <f>F37&gt;0</f>
        <v>0</v>
      </c>
      <c r="AB37" s="832">
        <v>5</v>
      </c>
      <c r="AC37" s="841" t="s">
        <v>510</v>
      </c>
      <c r="AD37" s="840" t="s">
        <v>490</v>
      </c>
      <c r="AE37" s="66"/>
      <c r="AF37" s="366"/>
      <c r="AG37" s="366"/>
      <c r="AH37" s="366"/>
      <c r="AI37" s="366"/>
      <c r="AJ37" s="66"/>
      <c r="AK37" s="66"/>
      <c r="AL37" s="66"/>
      <c r="AM37" s="66"/>
      <c r="AN37" s="66"/>
      <c r="AO37" s="366"/>
      <c r="AP37" s="366"/>
      <c r="AQ37" s="366"/>
      <c r="AR37" s="366"/>
      <c r="AS37" s="366"/>
      <c r="AT37" s="66"/>
      <c r="AU37" s="66"/>
      <c r="AV37" s="66"/>
      <c r="AW37" s="66"/>
      <c r="AX37" s="66"/>
      <c r="BA37" s="1158" t="s">
        <v>511</v>
      </c>
    </row>
    <row customHeight="1" ht="16.672500000000003" hidden="1">
      <c r="E38" s="794">
        <v>17.1</v>
      </c>
      <c r="F38" s="919" cm="1" t="str">
        <f t="array" ref="F38:F38">OFFSET(G38,-1,-1)</f>
        <v>0</v>
      </c>
      <c r="H38" s="172" t="s">
        <v>512</v>
      </c>
      <c r="U38" s="920">
        <f>F38&gt;0</f>
        <v>0</v>
      </c>
      <c r="AB38" s="832">
        <v>6</v>
      </c>
      <c r="AC38" s="841" t="s">
        <v>513</v>
      </c>
      <c r="AD38" s="840" t="s">
        <v>490</v>
      </c>
      <c r="AE38" s="66"/>
      <c r="AF38" s="366"/>
      <c r="AG38" s="366"/>
      <c r="AH38" s="366"/>
      <c r="AI38" s="366"/>
      <c r="AJ38" s="66"/>
      <c r="AK38" s="66"/>
      <c r="AL38" s="66"/>
      <c r="AM38" s="66"/>
      <c r="AN38" s="66"/>
      <c r="AO38" s="366"/>
      <c r="AP38" s="366"/>
      <c r="AQ38" s="366"/>
      <c r="AR38" s="366"/>
      <c r="AS38" s="366"/>
      <c r="AT38" s="66"/>
      <c r="AU38" s="66"/>
      <c r="AV38" s="66"/>
      <c r="AW38" s="66"/>
      <c r="AX38" s="66"/>
      <c r="BA38" s="1158" t="s">
        <v>514</v>
      </c>
    </row>
    <row customHeight="1" ht="16.672500000000003" hidden="1">
      <c r="E39" s="794">
        <v>17.1</v>
      </c>
      <c r="F39" s="919" cm="1" t="str">
        <f t="array" ref="F39:F39">OFFSET(G39,-1,-1)</f>
        <v>0</v>
      </c>
      <c r="H39" s="172" t="s">
        <v>515</v>
      </c>
      <c r="U39" s="920">
        <f>F39&gt;0</f>
        <v>0</v>
      </c>
      <c r="AB39" s="832">
        <v>7</v>
      </c>
      <c r="AC39" s="841" t="s">
        <v>516</v>
      </c>
      <c r="AD39" s="840" t="s">
        <v>490</v>
      </c>
      <c r="AE39" s="66"/>
      <c r="AF39" s="366"/>
      <c r="AG39" s="366"/>
      <c r="AH39" s="366"/>
      <c r="AI39" s="366"/>
      <c r="AJ39" s="66"/>
      <c r="AK39" s="66"/>
      <c r="AL39" s="66"/>
      <c r="AM39" s="66"/>
      <c r="AN39" s="66"/>
      <c r="AO39" s="366"/>
      <c r="AP39" s="366"/>
      <c r="AQ39" s="366"/>
      <c r="AR39" s="366"/>
      <c r="AS39" s="366"/>
      <c r="AT39" s="66"/>
      <c r="AU39" s="66"/>
      <c r="AV39" s="66"/>
      <c r="AW39" s="66"/>
      <c r="AX39" s="66"/>
      <c r="BA39" s="1158" t="s">
        <v>517</v>
      </c>
    </row>
    <row customHeight="1" ht="16.672500000000003" hidden="1">
      <c r="E40" s="794">
        <v>17.1</v>
      </c>
      <c r="F40" s="919" cm="1" t="str">
        <f t="array" ref="F40:F40">OFFSET(G40,-1,-1)</f>
        <v>0</v>
      </c>
      <c r="H40" s="172" t="s">
        <v>518</v>
      </c>
      <c r="U40" s="920">
        <f>F40&gt;0</f>
        <v>0</v>
      </c>
      <c r="AB40" s="832">
        <v>8</v>
      </c>
      <c r="AC40" s="841" t="s">
        <v>519</v>
      </c>
      <c r="AD40" s="840" t="s">
        <v>490</v>
      </c>
      <c r="AE40" s="66"/>
      <c r="AF40" s="366"/>
      <c r="AG40" s="366"/>
      <c r="AH40" s="366"/>
      <c r="AI40" s="366"/>
      <c r="AJ40" s="66"/>
      <c r="AK40" s="66"/>
      <c r="AL40" s="66"/>
      <c r="AM40" s="66"/>
      <c r="AN40" s="66"/>
      <c r="AO40" s="366"/>
      <c r="AP40" s="366"/>
      <c r="AQ40" s="366"/>
      <c r="AR40" s="366"/>
      <c r="AS40" s="366"/>
      <c r="AT40" s="66"/>
      <c r="AU40" s="66"/>
      <c r="AV40" s="66"/>
      <c r="AW40" s="66"/>
      <c r="AX40" s="66"/>
      <c r="BA40" s="1158" t="s">
        <v>520</v>
      </c>
    </row>
    <row customHeight="1" ht="16.672500000000003" hidden="1">
      <c r="E41" s="794">
        <v>17.1</v>
      </c>
      <c r="F41" s="919" cm="1" t="str">
        <f t="array" ref="F41:F41">OFFSET(G41,-1,-1)</f>
        <v>0</v>
      </c>
      <c r="H41" s="172" t="s">
        <v>521</v>
      </c>
      <c r="U41" s="920">
        <f>F41&gt;0</f>
        <v>0</v>
      </c>
      <c r="AB41" s="832">
        <v>9</v>
      </c>
      <c r="AC41" s="841" t="s">
        <v>522</v>
      </c>
      <c r="AD41" s="169" t="s">
        <v>523</v>
      </c>
      <c r="AE41" s="66">
        <f>7900</f>
        <v>7900</v>
      </c>
      <c r="AF41" s="366">
        <f>7900</f>
        <v>7900</v>
      </c>
      <c r="AG41" s="366">
        <f>7900</f>
        <v>7900</v>
      </c>
      <c r="AH41" s="366">
        <f>7900</f>
        <v>7900</v>
      </c>
      <c r="AI41" s="366">
        <f>7900</f>
        <v>7900</v>
      </c>
      <c r="AJ41" s="66">
        <f>7900</f>
        <v>7900</v>
      </c>
      <c r="AK41" s="66">
        <f>7900</f>
        <v>7900</v>
      </c>
      <c r="AL41" s="66">
        <f>7900</f>
        <v>7900</v>
      </c>
      <c r="AM41" s="66">
        <f>7900</f>
        <v>7900</v>
      </c>
      <c r="AN41" s="66">
        <f>7900</f>
        <v>7900</v>
      </c>
      <c r="AO41" s="366">
        <f>7900</f>
        <v>7900</v>
      </c>
      <c r="AP41" s="366">
        <f>7900</f>
        <v>7900</v>
      </c>
      <c r="AQ41" s="366">
        <f>7900</f>
        <v>7900</v>
      </c>
      <c r="AR41" s="366">
        <f>7900</f>
        <v>7900</v>
      </c>
      <c r="AS41" s="366">
        <f>7900</f>
        <v>7900</v>
      </c>
      <c r="AT41" s="66">
        <f>7900</f>
        <v>7900</v>
      </c>
      <c r="AU41" s="66">
        <f>7900</f>
        <v>7900</v>
      </c>
      <c r="AV41" s="66">
        <f>7900</f>
        <v>7900</v>
      </c>
      <c r="AW41" s="66">
        <f>7900</f>
        <v>7900</v>
      </c>
      <c r="AX41" s="66">
        <f>7900</f>
        <v>7900</v>
      </c>
      <c r="BA41" s="1158" t="s">
        <v>524</v>
      </c>
    </row>
    <row customHeight="1" ht="16.672500000000003" hidden="1">
      <c r="E42" s="794">
        <v>17.1</v>
      </c>
      <c r="F42" s="919" cm="1" t="str">
        <f t="array" ref="F42:F42">OFFSET(G42,-1,-1)</f>
        <v>0</v>
      </c>
      <c r="H42" s="172" t="s">
        <v>525</v>
      </c>
      <c r="U42" s="920">
        <f>F42&gt;0</f>
        <v>0</v>
      </c>
      <c r="AB42" s="832">
        <v>10</v>
      </c>
      <c r="AC42" s="841" t="s">
        <v>526</v>
      </c>
      <c r="AD42" s="169" t="s">
        <v>527</v>
      </c>
      <c r="AE42" s="66"/>
      <c r="AF42" s="366"/>
      <c r="AG42" s="366"/>
      <c r="AH42" s="366"/>
      <c r="AI42" s="366"/>
      <c r="AJ42" s="66"/>
      <c r="AK42" s="66"/>
      <c r="AL42" s="66"/>
      <c r="AM42" s="66"/>
      <c r="AN42" s="66"/>
      <c r="AO42" s="366"/>
      <c r="AP42" s="366"/>
      <c r="AQ42" s="366"/>
      <c r="AR42" s="366"/>
      <c r="AS42" s="366"/>
      <c r="AT42" s="66"/>
      <c r="AU42" s="66"/>
      <c r="AV42" s="66"/>
      <c r="AW42" s="66"/>
      <c r="AX42" s="66"/>
      <c r="BA42" s="1158" t="s">
        <v>528</v>
      </c>
    </row>
    <row customHeight="1" ht="16.672500000000003" hidden="1">
      <c r="E43" s="794">
        <v>17.1</v>
      </c>
      <c r="F43" s="919" cm="1" t="str">
        <f t="array" ref="F43:F43">OFFSET(G43,-1,-1)</f>
        <v>0</v>
      </c>
      <c r="H43" s="172" t="s">
        <v>529</v>
      </c>
      <c r="U43" s="920">
        <f>F43&gt;0</f>
        <v>0</v>
      </c>
      <c r="AB43" s="832">
        <v>11</v>
      </c>
      <c r="AC43" s="841" t="s">
        <v>530</v>
      </c>
      <c r="AD43" s="169" t="s">
        <v>531</v>
      </c>
      <c r="AE43" s="66">
        <f>7000</f>
        <v>7000</v>
      </c>
      <c r="AF43" s="366">
        <f>7000</f>
        <v>7000</v>
      </c>
      <c r="AG43" s="366">
        <f>7000</f>
        <v>7000</v>
      </c>
      <c r="AH43" s="366">
        <f>7000</f>
        <v>7000</v>
      </c>
      <c r="AI43" s="366">
        <f>7000</f>
        <v>7000</v>
      </c>
      <c r="AJ43" s="66">
        <f>7000</f>
        <v>7000</v>
      </c>
      <c r="AK43" s="66">
        <f>7000</f>
        <v>7000</v>
      </c>
      <c r="AL43" s="66">
        <f>7000</f>
        <v>7000</v>
      </c>
      <c r="AM43" s="66">
        <f>7000</f>
        <v>7000</v>
      </c>
      <c r="AN43" s="66">
        <f>7000</f>
        <v>7000</v>
      </c>
      <c r="AO43" s="366">
        <f>7000</f>
        <v>7000</v>
      </c>
      <c r="AP43" s="366">
        <f>7000</f>
        <v>7000</v>
      </c>
      <c r="AQ43" s="366">
        <f>7000</f>
        <v>7000</v>
      </c>
      <c r="AR43" s="366">
        <f>7000</f>
        <v>7000</v>
      </c>
      <c r="AS43" s="366">
        <f>7000</f>
        <v>7000</v>
      </c>
      <c r="AT43" s="66">
        <f>7000</f>
        <v>7000</v>
      </c>
      <c r="AU43" s="66">
        <f>7000</f>
        <v>7000</v>
      </c>
      <c r="AV43" s="66">
        <f>7000</f>
        <v>7000</v>
      </c>
      <c r="AW43" s="66">
        <f>7000</f>
        <v>7000</v>
      </c>
      <c r="AX43" s="66">
        <f>7000</f>
        <v>7000</v>
      </c>
      <c r="BA43" s="1158" t="s">
        <v>532</v>
      </c>
    </row>
    <row customHeight="1" ht="16.672500000000003" hidden="1">
      <c r="E44" s="794">
        <v>17.1</v>
      </c>
      <c r="F44" s="919" cm="1" t="str">
        <f t="array" ref="F44:F44">OFFSET(G44,-1,-1)</f>
        <v>0</v>
      </c>
      <c r="H44" s="172" t="s">
        <v>533</v>
      </c>
      <c r="U44" s="920">
        <f>F44&gt;0</f>
        <v>0</v>
      </c>
      <c r="AB44" s="832">
        <v>12</v>
      </c>
      <c r="AC44" s="841" t="s">
        <v>534</v>
      </c>
      <c r="AD44" s="840" t="s">
        <v>490</v>
      </c>
      <c r="AE44" s="66"/>
      <c r="AF44" s="366"/>
      <c r="AG44" s="366"/>
      <c r="AH44" s="366"/>
      <c r="AI44" s="366"/>
      <c r="AJ44" s="66"/>
      <c r="AK44" s="66"/>
      <c r="AL44" s="66"/>
      <c r="AM44" s="66"/>
      <c r="AN44" s="66"/>
      <c r="AO44" s="366"/>
      <c r="AP44" s="366"/>
      <c r="AQ44" s="366"/>
      <c r="AR44" s="366"/>
      <c r="AS44" s="366"/>
      <c r="AT44" s="66"/>
      <c r="AU44" s="66"/>
      <c r="AV44" s="66"/>
      <c r="AW44" s="66"/>
      <c r="AX44" s="66"/>
      <c r="BA44" s="1158" t="s">
        <v>535</v>
      </c>
    </row>
    <row customHeight="1" ht="16.672500000000003" hidden="1">
      <c r="E45" s="794">
        <v>17.1</v>
      </c>
      <c r="F45" s="919" cm="1" t="str">
        <f t="array" ref="F45:F45">OFFSET(G45,-1,-1)</f>
        <v>0</v>
      </c>
      <c r="H45" s="172" t="s">
        <v>536</v>
      </c>
      <c r="U45" s="920">
        <f>F45&gt;0</f>
        <v>0</v>
      </c>
      <c r="AB45" s="832">
        <v>13</v>
      </c>
      <c r="AC45" s="841" t="s">
        <v>537</v>
      </c>
      <c r="AD45" s="840" t="s">
        <v>490</v>
      </c>
      <c r="AE45" s="66"/>
      <c r="AF45" s="366"/>
      <c r="AG45" s="366"/>
      <c r="AH45" s="366"/>
      <c r="AI45" s="366"/>
      <c r="AJ45" s="66"/>
      <c r="AK45" s="66"/>
      <c r="AL45" s="66"/>
      <c r="AM45" s="66"/>
      <c r="AN45" s="66"/>
      <c r="AO45" s="366"/>
      <c r="AP45" s="366"/>
      <c r="AQ45" s="366"/>
      <c r="AR45" s="366"/>
      <c r="AS45" s="366"/>
      <c r="AT45" s="66"/>
      <c r="AU45" s="66"/>
      <c r="AV45" s="66"/>
      <c r="AW45" s="66"/>
      <c r="AX45" s="66"/>
      <c r="BA45" s="1158" t="s">
        <v>538</v>
      </c>
    </row>
    <row customHeight="1" ht="16.672500000000003" hidden="1">
      <c r="E46" s="794">
        <v>17.1</v>
      </c>
      <c r="F46" s="919" cm="1" t="str">
        <f t="array" ref="F46:F46">OFFSET(G46,-1,-1)</f>
        <v>0</v>
      </c>
      <c r="H46" s="172" t="s">
        <v>539</v>
      </c>
      <c r="U46" s="920">
        <f>F46&gt;0</f>
        <v>0</v>
      </c>
      <c r="AB46" s="832">
        <v>14</v>
      </c>
      <c r="AC46" s="841" t="s">
        <v>540</v>
      </c>
      <c r="AD46" s="840" t="s">
        <v>490</v>
      </c>
      <c r="AE46" s="66"/>
      <c r="AF46" s="366"/>
      <c r="AG46" s="366"/>
      <c r="AH46" s="366"/>
      <c r="AI46" s="366"/>
      <c r="AJ46" s="66"/>
      <c r="AK46" s="66"/>
      <c r="AL46" s="66"/>
      <c r="AM46" s="66"/>
      <c r="AN46" s="66"/>
      <c r="AO46" s="366"/>
      <c r="AP46" s="366"/>
      <c r="AQ46" s="366"/>
      <c r="AR46" s="366"/>
      <c r="AS46" s="366"/>
      <c r="AT46" s="66"/>
      <c r="AU46" s="66"/>
      <c r="AV46" s="66"/>
      <c r="AW46" s="66"/>
      <c r="AX46" s="66"/>
      <c r="BA46" s="1158" t="s">
        <v>541</v>
      </c>
    </row>
    <row customHeight="1" ht="16.672500000000003" hidden="1">
      <c r="E47" s="794">
        <v>17.1</v>
      </c>
      <c r="F47" s="919" cm="1" t="str">
        <f t="array" ref="F47:F47">OFFSET(G47,-1,-1)</f>
        <v>0</v>
      </c>
      <c r="H47" s="172" t="s">
        <v>542</v>
      </c>
      <c r="U47" s="920">
        <f>F47&gt;0</f>
        <v>0</v>
      </c>
      <c r="AB47" s="832">
        <v>15</v>
      </c>
      <c r="AC47" s="841" t="s">
        <v>543</v>
      </c>
      <c r="AD47" s="840" t="s">
        <v>490</v>
      </c>
      <c r="AE47" s="66"/>
      <c r="AF47" s="366"/>
      <c r="AG47" s="366"/>
      <c r="AH47" s="366"/>
      <c r="AI47" s="366"/>
      <c r="AJ47" s="66"/>
      <c r="AK47" s="66"/>
      <c r="AL47" s="66"/>
      <c r="AM47" s="66"/>
      <c r="AN47" s="66"/>
      <c r="AO47" s="366"/>
      <c r="AP47" s="366"/>
      <c r="AQ47" s="366"/>
      <c r="AR47" s="366"/>
      <c r="AS47" s="366"/>
      <c r="AT47" s="66"/>
      <c r="AU47" s="66"/>
      <c r="AV47" s="66"/>
      <c r="AW47" s="66"/>
      <c r="AX47" s="66"/>
      <c r="BA47" s="1158" t="s">
        <v>544</v>
      </c>
    </row>
    <row customHeight="1" ht="16.672500000000003" hidden="1">
      <c r="E48" s="794">
        <v>17.1</v>
      </c>
      <c r="F48" s="919" cm="1" t="str">
        <f t="array" ref="F48:F48">OFFSET(G48,-1,-1)</f>
        <v>0</v>
      </c>
      <c r="G48" s="919" t="s">
        <v>545</v>
      </c>
      <c r="H48" s="172" t="s">
        <v>546</v>
      </c>
      <c r="U48" s="1056">
        <f>AND(F48&gt;0,method_reg&lt;&gt;"Метод экономически обоснованных расходов")</f>
        <v>0</v>
      </c>
      <c r="AB48" s="832">
        <v>16</v>
      </c>
      <c r="AC48" s="843" t="s">
        <v>547</v>
      </c>
      <c r="AD48" s="206"/>
      <c r="AE48" s="66"/>
      <c r="AF48" s="366"/>
      <c r="AG48" s="366"/>
      <c r="AH48" s="366"/>
      <c r="AI48" s="366"/>
      <c r="AJ48" s="66"/>
      <c r="AK48" s="66"/>
      <c r="AL48" s="66"/>
      <c r="AM48" s="66"/>
      <c r="AN48" s="66"/>
      <c r="AO48" s="366"/>
      <c r="AP48" s="366"/>
      <c r="AQ48" s="366"/>
      <c r="AR48" s="366"/>
      <c r="AS48" s="366"/>
      <c r="AT48" s="66"/>
      <c r="AU48" s="66"/>
      <c r="AV48" s="66"/>
      <c r="AW48" s="66"/>
      <c r="AX48" s="66"/>
      <c r="BA48" s="1158" t="s">
        <v>548</v>
      </c>
    </row>
    <row customHeight="1" ht="29.25" hidden="1">
      <c r="E49" s="794">
        <v>30</v>
      </c>
      <c r="F49" s="919" cm="1" t="str">
        <f t="array" ref="F49:F49">OFFSET(G49,-1,-1)</f>
        <v>0</v>
      </c>
      <c r="G49" s="919" t="s">
        <v>549</v>
      </c>
      <c r="H49" s="172" t="s">
        <v>550</v>
      </c>
      <c r="U49" s="1056">
        <f>AND(F49&gt;0,method_reg&lt;&gt;"Метод экономически обоснованных расходов")</f>
        <v>0</v>
      </c>
      <c r="AB49" s="832">
        <v>17</v>
      </c>
      <c r="AC49" s="207" t="s">
        <v>551</v>
      </c>
      <c r="AD49" s="833"/>
      <c r="AE49" s="66">
        <f>0.75</f>
        <v>0.75</v>
      </c>
      <c r="AF49" s="366">
        <f>0.75</f>
        <v>0.75</v>
      </c>
      <c r="AG49" s="366">
        <f>0.75</f>
        <v>0.75</v>
      </c>
      <c r="AH49" s="366">
        <f>0.75</f>
        <v>0.75</v>
      </c>
      <c r="AI49" s="366">
        <f>0.75</f>
        <v>0.75</v>
      </c>
      <c r="AJ49" s="66">
        <f>0.75</f>
        <v>0.75</v>
      </c>
      <c r="AK49" s="66">
        <f>0.75</f>
        <v>0.75</v>
      </c>
      <c r="AL49" s="66">
        <f>0.75</f>
        <v>0.75</v>
      </c>
      <c r="AM49" s="66">
        <f>0.75</f>
        <v>0.75</v>
      </c>
      <c r="AN49" s="66">
        <f>0.75</f>
        <v>0.75</v>
      </c>
      <c r="AO49" s="366">
        <f>0.75</f>
        <v>0.75</v>
      </c>
      <c r="AP49" s="366">
        <f>0.75</f>
        <v>0.75</v>
      </c>
      <c r="AQ49" s="366">
        <f>0.75</f>
        <v>0.75</v>
      </c>
      <c r="AR49" s="366">
        <f>0.75</f>
        <v>0.75</v>
      </c>
      <c r="AS49" s="366">
        <f>0.75</f>
        <v>0.75</v>
      </c>
      <c r="AT49" s="66">
        <f>0.75</f>
        <v>0.75</v>
      </c>
      <c r="AU49" s="66">
        <f>0.75</f>
        <v>0.75</v>
      </c>
      <c r="AV49" s="66">
        <f>0.75</f>
        <v>0.75</v>
      </c>
      <c r="AW49" s="66">
        <f>0.75</f>
        <v>0.75</v>
      </c>
      <c r="AX49" s="66">
        <f>0.75</f>
        <v>0.75</v>
      </c>
      <c r="BA49" s="1158" t="s">
        <v>552</v>
      </c>
    </row>
    <row customHeight="1" ht="16.672500000000003" hidden="1">
      <c r="E50" s="794">
        <v>17.1</v>
      </c>
      <c r="F50" s="919" cm="1" t="str">
        <f t="array" ref="F50:F50">OFFSET(G50,-1,-1)</f>
        <v>0</v>
      </c>
      <c r="U50" s="920">
        <f>F50&gt;0</f>
        <v>0</v>
      </c>
      <c r="AB50" s="1050" t="s">
        <v>553</v>
      </c>
      <c r="AC50" s="345" t="s">
        <v>554</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555</v>
      </c>
      <c r="H51" s="172" t="s">
        <v>556</v>
      </c>
      <c r="U51" s="920">
        <f>F51&gt;0</f>
        <v>0</v>
      </c>
      <c r="AB51" s="477" t="s">
        <v>557</v>
      </c>
      <c r="AC51" s="205" t="s">
        <v>558</v>
      </c>
      <c r="AD51" s="206" t="s">
        <v>490</v>
      </c>
      <c r="AE51" s="66"/>
      <c r="AF51" s="366"/>
      <c r="AG51" s="366"/>
      <c r="AH51" s="366"/>
      <c r="AI51" s="366"/>
      <c r="AJ51" s="66"/>
      <c r="AK51" s="66"/>
      <c r="AL51" s="66"/>
      <c r="AM51" s="66"/>
      <c r="AN51" s="66"/>
      <c r="AO51" s="366"/>
      <c r="AP51" s="366"/>
      <c r="AQ51" s="366"/>
      <c r="AR51" s="366"/>
      <c r="AS51" s="366"/>
      <c r="AT51" s="66"/>
      <c r="AU51" s="66"/>
      <c r="AV51" s="66"/>
      <c r="AW51" s="66"/>
      <c r="AX51" s="66"/>
      <c r="BA51" s="1158" t="s">
        <v>559</v>
      </c>
    </row>
    <row customHeight="1" ht="16.672500000000003" hidden="1">
      <c r="E52" s="794">
        <v>17.1</v>
      </c>
      <c r="F52" s="919" cm="1" t="str">
        <f t="array" ref="F52:F52">OFFSET(G52,-1,-1)</f>
        <v>0</v>
      </c>
      <c r="H52" s="172" t="s">
        <v>560</v>
      </c>
      <c r="U52" s="920">
        <f>F52&gt;0</f>
        <v>0</v>
      </c>
      <c r="AB52" s="477" t="s">
        <v>561</v>
      </c>
      <c r="AC52" s="207" t="s">
        <v>562</v>
      </c>
      <c r="AD52" s="206" t="s">
        <v>490</v>
      </c>
      <c r="AE52" s="66"/>
      <c r="AF52" s="366"/>
      <c r="AG52" s="366"/>
      <c r="AH52" s="366"/>
      <c r="AI52" s="366"/>
      <c r="AJ52" s="66"/>
      <c r="AK52" s="66"/>
      <c r="AL52" s="66"/>
      <c r="AM52" s="66"/>
      <c r="AN52" s="66"/>
      <c r="AO52" s="366"/>
      <c r="AP52" s="366"/>
      <c r="AQ52" s="366"/>
      <c r="AR52" s="366"/>
      <c r="AS52" s="366"/>
      <c r="AT52" s="66"/>
      <c r="AU52" s="66"/>
      <c r="AV52" s="66"/>
      <c r="AW52" s="66"/>
      <c r="AX52" s="66"/>
      <c r="BA52" s="1158" t="s">
        <v>563</v>
      </c>
    </row>
    <row customHeight="1" ht="16.672500000000003" hidden="1">
      <c r="E53" s="794">
        <v>17.1</v>
      </c>
      <c r="F53" s="919" cm="1" t="str">
        <f t="array" ref="F53:F53">OFFSET(G53,-1,-1)</f>
        <v>0</v>
      </c>
      <c r="H53" s="172" t="s">
        <v>564</v>
      </c>
      <c r="U53" s="920">
        <f>F53&gt;0</f>
        <v>0</v>
      </c>
      <c r="AB53" s="477" t="s">
        <v>565</v>
      </c>
      <c r="AC53" s="207" t="s">
        <v>566</v>
      </c>
      <c r="AD53" s="206" t="s">
        <v>490</v>
      </c>
      <c r="AE53" s="66"/>
      <c r="AF53" s="366"/>
      <c r="AG53" s="366"/>
      <c r="AH53" s="366"/>
      <c r="AI53" s="366"/>
      <c r="AJ53" s="66"/>
      <c r="AK53" s="66"/>
      <c r="AL53" s="66"/>
      <c r="AM53" s="66"/>
      <c r="AN53" s="66"/>
      <c r="AO53" s="366"/>
      <c r="AP53" s="366"/>
      <c r="AQ53" s="366"/>
      <c r="AR53" s="366"/>
      <c r="AS53" s="366"/>
      <c r="AT53" s="66"/>
      <c r="AU53" s="66"/>
      <c r="AV53" s="66"/>
      <c r="AW53" s="66"/>
      <c r="AX53" s="66"/>
      <c r="BA53" s="1158" t="s">
        <v>567</v>
      </c>
    </row>
    <row customHeight="1" ht="16.672500000000003" hidden="1">
      <c r="E54" s="794">
        <v>17.1</v>
      </c>
      <c r="F54" s="919" cm="1" t="str">
        <f t="array" ref="F54:F54">OFFSET(G54,-1,-1)</f>
        <v>0</v>
      </c>
      <c r="H54" s="172" t="s">
        <v>568</v>
      </c>
      <c r="U54" s="920">
        <f>F54&gt;0</f>
        <v>0</v>
      </c>
      <c r="AB54" s="477" t="s">
        <v>569</v>
      </c>
      <c r="AC54" s="207" t="s">
        <v>570</v>
      </c>
      <c r="AD54" s="206" t="s">
        <v>490</v>
      </c>
      <c r="AE54" s="66"/>
      <c r="AF54" s="366"/>
      <c r="AG54" s="366"/>
      <c r="AH54" s="366"/>
      <c r="AI54" s="366"/>
      <c r="AJ54" s="66"/>
      <c r="AK54" s="66"/>
      <c r="AL54" s="66"/>
      <c r="AM54" s="66"/>
      <c r="AN54" s="66"/>
      <c r="AO54" s="366"/>
      <c r="AP54" s="366"/>
      <c r="AQ54" s="366"/>
      <c r="AR54" s="366"/>
      <c r="AS54" s="366"/>
      <c r="AT54" s="66"/>
      <c r="AU54" s="66"/>
      <c r="AV54" s="66"/>
      <c r="AW54" s="66"/>
      <c r="AX54" s="66"/>
      <c r="BA54" s="1158" t="s">
        <v>571</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X55" s="212"/>
      <c r="Y55" s="168" t="s">
        <v>335</v>
      </c>
      <c r="Z55" s="212"/>
      <c r="AA55" s="212"/>
      <c r="AB55" s="260" cm="1" t="str">
        <f t="array" ref="AB55:AB55">IF(ISBLANK('Расчет УЕ'!$AB$47),"",'Расчет УЕ'!$AB$47)</f>
        <v>Тариф 1 (Теплоснабжение) - Тариф на тепловую энергию (мощность), поставляемую потребителям (Тариф: Носитель - горячая вода (Т); Носитель - горячая вода (Т))</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19"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491</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19" customFormat="1" customHeight="1" ht="16.5">
      <c r="A57" s="1183"/>
      <c r="B57" s="924"/>
      <c r="C57" s="1461"/>
      <c r="D57" s="1461"/>
      <c r="E57" s="794">
        <v>17.1</v>
      </c>
      <c r="F57" s="919" cm="1" t="str">
        <f t="array" ref="F57:F57">OFFSET(G57,-1,-1)</f>
        <v>1</v>
      </c>
      <c r="G57" s="919" t="s">
        <v>492</v>
      </c>
      <c r="H57" s="172" t="s">
        <v>493</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494</v>
      </c>
      <c r="AD57" s="206" t="s">
        <v>490</v>
      </c>
      <c r="AE57" s="1715">
        <v>1</v>
      </c>
      <c r="AF57" s="366">
        <v>1</v>
      </c>
      <c r="AG57" s="366">
        <v>1</v>
      </c>
      <c r="AH57" s="366">
        <v>1</v>
      </c>
      <c r="AI57" s="366">
        <v>1</v>
      </c>
      <c r="AJ57" s="1715">
        <v>1</v>
      </c>
      <c r="AK57" s="1715">
        <v>1</v>
      </c>
      <c r="AL57" s="1715">
        <v>1</v>
      </c>
      <c r="AM57" s="1715">
        <v>1</v>
      </c>
      <c r="AN57" s="1715">
        <v>1</v>
      </c>
      <c r="AO57" s="366">
        <v>1</v>
      </c>
      <c r="AP57" s="366">
        <v>1</v>
      </c>
      <c r="AQ57" s="366">
        <v>1</v>
      </c>
      <c r="AR57" s="366">
        <v>1</v>
      </c>
      <c r="AS57" s="366">
        <v>1</v>
      </c>
      <c r="AT57" s="1715">
        <v>1</v>
      </c>
      <c r="AU57" s="1715">
        <v>1</v>
      </c>
      <c r="AV57" s="1715">
        <v>1</v>
      </c>
      <c r="AW57" s="1715">
        <v>1</v>
      </c>
      <c r="AX57" s="1715">
        <v>1</v>
      </c>
      <c r="AY57" s="217"/>
      <c r="AZ57" s="217"/>
      <c r="BA57" s="1158" t="s">
        <v>495</v>
      </c>
      <c r="BB57" s="1212"/>
      <c r="BC57" s="1212"/>
      <c r="BD57" s="1162"/>
      <c r="BE57" s="1162"/>
    </row>
    <row s="1619" customFormat="1" customHeight="1" ht="29.25">
      <c r="A58" s="1183"/>
      <c r="B58" s="924"/>
      <c r="C58" s="1461"/>
      <c r="D58" s="1461"/>
      <c r="E58" s="794">
        <v>30</v>
      </c>
      <c r="F58" s="919" cm="1" t="str">
        <f t="array" ref="F58:F58">OFFSET(G58,-1,-1)</f>
        <v>1</v>
      </c>
      <c r="G58" s="1461"/>
      <c r="H58" s="172" t="s">
        <v>496</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343</v>
      </c>
      <c r="AC58" s="835" t="s">
        <v>497</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19"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19"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233</v>
      </c>
      <c r="Y60" s="1461"/>
      <c r="Z60" s="1461"/>
      <c r="AA60" s="914" t="s">
        <v>217</v>
      </c>
      <c r="AB60" s="892" t="s">
        <v>498</v>
      </c>
      <c r="AC60" s="68"/>
      <c r="AD60" s="893" t="s">
        <v>490</v>
      </c>
      <c r="AE60" s="69"/>
      <c r="AF60" s="1124"/>
      <c r="AG60" s="1124"/>
      <c r="AH60" s="1124"/>
      <c r="AI60" s="1124"/>
      <c r="AJ60" s="69"/>
      <c r="AK60" s="69"/>
      <c r="AL60" s="69"/>
      <c r="AM60" s="69"/>
      <c r="AN60" s="69"/>
      <c r="AO60" s="1124"/>
      <c r="AP60" s="1124"/>
      <c r="AQ60" s="1124"/>
      <c r="AR60" s="1124"/>
      <c r="AS60" s="1124"/>
      <c r="AT60" s="69"/>
      <c r="AU60" s="69"/>
      <c r="AV60" s="69"/>
      <c r="AW60" s="69"/>
      <c r="AX60" s="69"/>
      <c r="AY60" s="217"/>
      <c r="AZ60" s="217"/>
      <c r="BA60" s="1158" t="s">
        <v>499</v>
      </c>
      <c r="BB60" s="1158" t="s">
        <v>500</v>
      </c>
      <c r="BC60" s="1158" cm="1" t="str">
        <f t="array" ref="BC60:BC60">AC60</f>
        <v>0</v>
      </c>
      <c r="BD60" s="1162"/>
      <c r="BE60" s="1162" t="b">
        <v>1</v>
      </c>
    </row>
    <row s="1619"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501</v>
      </c>
      <c r="Y61" s="1461"/>
      <c r="Z61" s="1461"/>
      <c r="AA61" s="217"/>
      <c r="AB61" s="299"/>
      <c r="AC61" s="732" t="s">
        <v>235</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500</v>
      </c>
      <c r="BE61" s="1162"/>
    </row>
    <row s="1619" customFormat="1" customHeight="1" ht="16.5">
      <c r="A62" s="1183"/>
      <c r="B62" s="924"/>
      <c r="C62" s="1461"/>
      <c r="D62" s="1461"/>
      <c r="E62" s="794">
        <v>17.1</v>
      </c>
      <c r="F62" s="919" cm="1" t="str">
        <f t="array" ref="F62:F62">OFFSET(G62,-1,-1)</f>
        <v>1</v>
      </c>
      <c r="G62" s="919" t="s">
        <v>502</v>
      </c>
      <c r="H62" s="172" t="s">
        <v>503</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504</v>
      </c>
      <c r="AD62" s="896" t="s">
        <v>490</v>
      </c>
      <c r="AE62" s="1717">
        <v>5.1</v>
      </c>
      <c r="AF62" s="1123">
        <v>4</v>
      </c>
      <c r="AG62" s="1123">
        <v>4</v>
      </c>
      <c r="AH62" s="1123">
        <v>4</v>
      </c>
      <c r="AI62" s="1123">
        <v>4</v>
      </c>
      <c r="AJ62" s="1717"/>
      <c r="AK62" s="1717"/>
      <c r="AL62" s="1717"/>
      <c r="AM62" s="1717"/>
      <c r="AN62" s="1717"/>
      <c r="AO62" s="1123">
        <v>5.1</v>
      </c>
      <c r="AP62" s="1123">
        <v>4</v>
      </c>
      <c r="AQ62" s="1123">
        <v>4</v>
      </c>
      <c r="AR62" s="1123">
        <v>4</v>
      </c>
      <c r="AS62" s="1123">
        <v>4</v>
      </c>
      <c r="AT62" s="1717"/>
      <c r="AU62" s="1717"/>
      <c r="AV62" s="1717"/>
      <c r="AW62" s="1717"/>
      <c r="AX62" s="1717"/>
      <c r="AY62" s="217"/>
      <c r="AZ62" s="217"/>
      <c r="BA62" s="1158" t="s">
        <v>505</v>
      </c>
      <c r="BB62" s="1212"/>
      <c r="BC62" s="1212"/>
      <c r="BD62" s="1162"/>
      <c r="BE62" s="1162"/>
    </row>
    <row s="1619" customFormat="1" customHeight="1" ht="16.5">
      <c r="A63" s="1183"/>
      <c r="B63" s="924"/>
      <c r="C63" s="1461"/>
      <c r="D63" s="1461"/>
      <c r="E63" s="794">
        <v>17.1</v>
      </c>
      <c r="F63" s="919" cm="1" t="str">
        <f t="array" ref="F63:F63">OFFSET(G63,-1,-1)</f>
        <v>1</v>
      </c>
      <c r="G63" s="1461"/>
      <c r="H63" s="172" t="s">
        <v>506</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507</v>
      </c>
      <c r="AD63" s="840" t="s">
        <v>490</v>
      </c>
      <c r="AE63" s="1715">
        <v>13.2</v>
      </c>
      <c r="AF63" s="366">
        <v>9.1</v>
      </c>
      <c r="AG63" s="366">
        <v>4.9</v>
      </c>
      <c r="AH63" s="366">
        <v>4</v>
      </c>
      <c r="AI63" s="366">
        <v>4</v>
      </c>
      <c r="AJ63" s="1715"/>
      <c r="AK63" s="1715"/>
      <c r="AL63" s="1715"/>
      <c r="AM63" s="1715"/>
      <c r="AN63" s="1715"/>
      <c r="AO63" s="366">
        <v>13.2</v>
      </c>
      <c r="AP63" s="366">
        <v>9.1</v>
      </c>
      <c r="AQ63" s="366">
        <v>4.9</v>
      </c>
      <c r="AR63" s="366">
        <v>4</v>
      </c>
      <c r="AS63" s="366">
        <v>4</v>
      </c>
      <c r="AT63" s="1715"/>
      <c r="AU63" s="1715"/>
      <c r="AV63" s="1715"/>
      <c r="AW63" s="1715"/>
      <c r="AX63" s="1715"/>
      <c r="AY63" s="217"/>
      <c r="AZ63" s="217"/>
      <c r="BA63" s="1158" t="s">
        <v>508</v>
      </c>
      <c r="BB63" s="1212"/>
      <c r="BC63" s="1212"/>
      <c r="BD63" s="1162"/>
      <c r="BE63" s="1162"/>
    </row>
    <row s="1619" customFormat="1" customHeight="1" ht="29.25">
      <c r="A64" s="1183"/>
      <c r="B64" s="924"/>
      <c r="C64" s="1461"/>
      <c r="D64" s="1461"/>
      <c r="E64" s="794">
        <v>30</v>
      </c>
      <c r="F64" s="919" cm="1" t="str">
        <f t="array" ref="F64:F64">OFFSET(G64,-1,-1)</f>
        <v>1</v>
      </c>
      <c r="G64" s="1461"/>
      <c r="H64" s="172" t="s">
        <v>509</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510</v>
      </c>
      <c r="AD64" s="840" t="s">
        <v>490</v>
      </c>
      <c r="AE64" s="1715"/>
      <c r="AF64" s="366"/>
      <c r="AG64" s="366"/>
      <c r="AH64" s="366"/>
      <c r="AI64" s="366"/>
      <c r="AJ64" s="1715"/>
      <c r="AK64" s="1715"/>
      <c r="AL64" s="1715"/>
      <c r="AM64" s="1715"/>
      <c r="AN64" s="1715"/>
      <c r="AO64" s="366"/>
      <c r="AP64" s="366"/>
      <c r="AQ64" s="366"/>
      <c r="AR64" s="366"/>
      <c r="AS64" s="366"/>
      <c r="AT64" s="1715"/>
      <c r="AU64" s="1715"/>
      <c r="AV64" s="1715"/>
      <c r="AW64" s="1715"/>
      <c r="AX64" s="1715"/>
      <c r="AY64" s="217"/>
      <c r="AZ64" s="217"/>
      <c r="BA64" s="1158" t="s">
        <v>511</v>
      </c>
      <c r="BB64" s="1212"/>
      <c r="BC64" s="1212"/>
      <c r="BD64" s="1162"/>
      <c r="BE64" s="1162"/>
    </row>
    <row s="1619" customFormat="1" customHeight="1" ht="16.5">
      <c r="A65" s="1183"/>
      <c r="B65" s="924"/>
      <c r="C65" s="1461"/>
      <c r="D65" s="1461"/>
      <c r="E65" s="794">
        <v>17.1</v>
      </c>
      <c r="F65" s="919" cm="1" t="str">
        <f t="array" ref="F65:F65">OFFSET(G65,-1,-1)</f>
        <v>1</v>
      </c>
      <c r="G65" s="1461"/>
      <c r="H65" s="172" t="s">
        <v>512</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513</v>
      </c>
      <c r="AD65" s="840" t="s">
        <v>490</v>
      </c>
      <c r="AE65" s="1715"/>
      <c r="AF65" s="366"/>
      <c r="AG65" s="366"/>
      <c r="AH65" s="366"/>
      <c r="AI65" s="366"/>
      <c r="AJ65" s="1715"/>
      <c r="AK65" s="1715"/>
      <c r="AL65" s="1715"/>
      <c r="AM65" s="1715"/>
      <c r="AN65" s="1715"/>
      <c r="AO65" s="366"/>
      <c r="AP65" s="366"/>
      <c r="AQ65" s="366"/>
      <c r="AR65" s="366"/>
      <c r="AS65" s="366"/>
      <c r="AT65" s="1715"/>
      <c r="AU65" s="1715"/>
      <c r="AV65" s="1715"/>
      <c r="AW65" s="1715"/>
      <c r="AX65" s="1715"/>
      <c r="AY65" s="217"/>
      <c r="AZ65" s="217"/>
      <c r="BA65" s="1158" t="s">
        <v>514</v>
      </c>
      <c r="BB65" s="1212"/>
      <c r="BC65" s="1212"/>
      <c r="BD65" s="1162"/>
      <c r="BE65" s="1162"/>
    </row>
    <row s="1619" customFormat="1" customHeight="1" ht="16.5">
      <c r="A66" s="1183"/>
      <c r="B66" s="924"/>
      <c r="C66" s="1461"/>
      <c r="D66" s="1461"/>
      <c r="E66" s="794">
        <v>17.1</v>
      </c>
      <c r="F66" s="919" cm="1" t="str">
        <f t="array" ref="F66:F66">OFFSET(G66,-1,-1)</f>
        <v>1</v>
      </c>
      <c r="G66" s="1461"/>
      <c r="H66" s="172" t="s">
        <v>515</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516</v>
      </c>
      <c r="AD66" s="840" t="s">
        <v>490</v>
      </c>
      <c r="AE66" s="1715"/>
      <c r="AF66" s="366"/>
      <c r="AG66" s="366"/>
      <c r="AH66" s="366"/>
      <c r="AI66" s="366"/>
      <c r="AJ66" s="1715"/>
      <c r="AK66" s="1715"/>
      <c r="AL66" s="1715"/>
      <c r="AM66" s="1715"/>
      <c r="AN66" s="1715"/>
      <c r="AO66" s="366"/>
      <c r="AP66" s="366"/>
      <c r="AQ66" s="366"/>
      <c r="AR66" s="366"/>
      <c r="AS66" s="366"/>
      <c r="AT66" s="1715"/>
      <c r="AU66" s="1715"/>
      <c r="AV66" s="1715"/>
      <c r="AW66" s="1715"/>
      <c r="AX66" s="1715"/>
      <c r="AY66" s="217"/>
      <c r="AZ66" s="217"/>
      <c r="BA66" s="1158" t="s">
        <v>517</v>
      </c>
      <c r="BB66" s="1212"/>
      <c r="BC66" s="1212"/>
      <c r="BD66" s="1162"/>
      <c r="BE66" s="1162"/>
    </row>
    <row s="1619" customFormat="1" customHeight="1" ht="16.5">
      <c r="A67" s="1183"/>
      <c r="B67" s="924"/>
      <c r="C67" s="1461"/>
      <c r="D67" s="1461"/>
      <c r="E67" s="794">
        <v>17.1</v>
      </c>
      <c r="F67" s="919" cm="1" t="str">
        <f t="array" ref="F67:F67">OFFSET(G67,-1,-1)</f>
        <v>1</v>
      </c>
      <c r="G67" s="1461"/>
      <c r="H67" s="172" t="s">
        <v>518</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519</v>
      </c>
      <c r="AD67" s="840" t="s">
        <v>490</v>
      </c>
      <c r="AE67" s="1715"/>
      <c r="AF67" s="366"/>
      <c r="AG67" s="366"/>
      <c r="AH67" s="366"/>
      <c r="AI67" s="366"/>
      <c r="AJ67" s="1715"/>
      <c r="AK67" s="1715"/>
      <c r="AL67" s="1715"/>
      <c r="AM67" s="1715"/>
      <c r="AN67" s="1715"/>
      <c r="AO67" s="366"/>
      <c r="AP67" s="366"/>
      <c r="AQ67" s="366"/>
      <c r="AR67" s="366"/>
      <c r="AS67" s="366"/>
      <c r="AT67" s="1715"/>
      <c r="AU67" s="1715"/>
      <c r="AV67" s="1715"/>
      <c r="AW67" s="1715"/>
      <c r="AX67" s="1715"/>
      <c r="AY67" s="217"/>
      <c r="AZ67" s="217"/>
      <c r="BA67" s="1158" t="s">
        <v>520</v>
      </c>
      <c r="BB67" s="1212"/>
      <c r="BC67" s="1212"/>
      <c r="BD67" s="1162"/>
      <c r="BE67" s="1162"/>
    </row>
    <row s="1619" customFormat="1" customHeight="1" ht="16.5">
      <c r="A68" s="1183"/>
      <c r="B68" s="924"/>
      <c r="C68" s="1461"/>
      <c r="D68" s="1461"/>
      <c r="E68" s="794">
        <v>17.1</v>
      </c>
      <c r="F68" s="919" cm="1" t="str">
        <f t="array" ref="F68:F68">OFFSET(G68,-1,-1)</f>
        <v>1</v>
      </c>
      <c r="G68" s="1461"/>
      <c r="H68" s="172" t="s">
        <v>521</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522</v>
      </c>
      <c r="AD68" s="169" t="s">
        <v>523</v>
      </c>
      <c r="AE68" s="1715">
        <f>7900</f>
        <v>7900</v>
      </c>
      <c r="AF68" s="366">
        <f>7900</f>
        <v>7900</v>
      </c>
      <c r="AG68" s="366">
        <f>7900</f>
        <v>7900</v>
      </c>
      <c r="AH68" s="366">
        <f>7900</f>
        <v>7900</v>
      </c>
      <c r="AI68" s="366">
        <f>7900</f>
        <v>7900</v>
      </c>
      <c r="AJ68" s="1715">
        <f>7900</f>
        <v>7900</v>
      </c>
      <c r="AK68" s="1715">
        <f>7900</f>
        <v>7900</v>
      </c>
      <c r="AL68" s="1715">
        <f>7900</f>
        <v>7900</v>
      </c>
      <c r="AM68" s="1715">
        <f>7900</f>
        <v>7900</v>
      </c>
      <c r="AN68" s="1715">
        <f>7900</f>
        <v>7900</v>
      </c>
      <c r="AO68" s="366">
        <f>7900</f>
        <v>7900</v>
      </c>
      <c r="AP68" s="366">
        <f>7900</f>
        <v>7900</v>
      </c>
      <c r="AQ68" s="366">
        <f>7900</f>
        <v>7900</v>
      </c>
      <c r="AR68" s="366">
        <f>7900</f>
        <v>7900</v>
      </c>
      <c r="AS68" s="366">
        <f>7900</f>
        <v>7900</v>
      </c>
      <c r="AT68" s="1715">
        <f>7900</f>
        <v>7900</v>
      </c>
      <c r="AU68" s="1715">
        <f>7900</f>
        <v>7900</v>
      </c>
      <c r="AV68" s="1715">
        <f>7900</f>
        <v>7900</v>
      </c>
      <c r="AW68" s="1715">
        <f>7900</f>
        <v>7900</v>
      </c>
      <c r="AX68" s="1715">
        <f>7900</f>
        <v>7900</v>
      </c>
      <c r="AY68" s="217"/>
      <c r="AZ68" s="217"/>
      <c r="BA68" s="1158" t="s">
        <v>524</v>
      </c>
      <c r="BB68" s="1212"/>
      <c r="BC68" s="1212"/>
      <c r="BD68" s="1162"/>
      <c r="BE68" s="1162"/>
    </row>
    <row s="1619" customFormat="1" customHeight="1" ht="16.5">
      <c r="A69" s="1183"/>
      <c r="B69" s="924"/>
      <c r="C69" s="1461"/>
      <c r="D69" s="1461"/>
      <c r="E69" s="794">
        <v>17.1</v>
      </c>
      <c r="F69" s="919" cm="1" t="str">
        <f t="array" ref="F69:F69">OFFSET(G69,-1,-1)</f>
        <v>1</v>
      </c>
      <c r="G69" s="1461"/>
      <c r="H69" s="172" t="s">
        <v>525</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526</v>
      </c>
      <c r="AD69" s="169" t="s">
        <v>527</v>
      </c>
      <c r="AE69" s="1715"/>
      <c r="AF69" s="366"/>
      <c r="AG69" s="366"/>
      <c r="AH69" s="366"/>
      <c r="AI69" s="366"/>
      <c r="AJ69" s="1715"/>
      <c r="AK69" s="1715"/>
      <c r="AL69" s="1715"/>
      <c r="AM69" s="1715"/>
      <c r="AN69" s="1715"/>
      <c r="AO69" s="366"/>
      <c r="AP69" s="366"/>
      <c r="AQ69" s="366"/>
      <c r="AR69" s="366"/>
      <c r="AS69" s="366"/>
      <c r="AT69" s="1715"/>
      <c r="AU69" s="1715"/>
      <c r="AV69" s="1715"/>
      <c r="AW69" s="1715"/>
      <c r="AX69" s="1715"/>
      <c r="AY69" s="217"/>
      <c r="AZ69" s="217"/>
      <c r="BA69" s="1158" t="s">
        <v>528</v>
      </c>
      <c r="BB69" s="1212"/>
      <c r="BC69" s="1212"/>
      <c r="BD69" s="1162"/>
      <c r="BE69" s="1162"/>
    </row>
    <row s="1619" customFormat="1" customHeight="1" ht="16.5">
      <c r="A70" s="1183"/>
      <c r="B70" s="924"/>
      <c r="C70" s="1461"/>
      <c r="D70" s="1461"/>
      <c r="E70" s="794">
        <v>17.1</v>
      </c>
      <c r="F70" s="919" cm="1" t="str">
        <f t="array" ref="F70:F70">OFFSET(G70,-1,-1)</f>
        <v>1</v>
      </c>
      <c r="G70" s="1461"/>
      <c r="H70" s="172" t="s">
        <v>529</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530</v>
      </c>
      <c r="AD70" s="169" t="s">
        <v>531</v>
      </c>
      <c r="AE70" s="1715">
        <f>7000</f>
        <v>7000</v>
      </c>
      <c r="AF70" s="366">
        <f>7000</f>
        <v>7000</v>
      </c>
      <c r="AG70" s="366">
        <f>7000</f>
        <v>7000</v>
      </c>
      <c r="AH70" s="366">
        <f>7000</f>
        <v>7000</v>
      </c>
      <c r="AI70" s="366">
        <f>7000</f>
        <v>7000</v>
      </c>
      <c r="AJ70" s="1715">
        <f>7000</f>
        <v>7000</v>
      </c>
      <c r="AK70" s="1715">
        <f>7000</f>
        <v>7000</v>
      </c>
      <c r="AL70" s="1715">
        <f>7000</f>
        <v>7000</v>
      </c>
      <c r="AM70" s="1715">
        <f>7000</f>
        <v>7000</v>
      </c>
      <c r="AN70" s="1715">
        <f>7000</f>
        <v>7000</v>
      </c>
      <c r="AO70" s="366">
        <f>7000</f>
        <v>7000</v>
      </c>
      <c r="AP70" s="366">
        <f>7000</f>
        <v>7000</v>
      </c>
      <c r="AQ70" s="366">
        <f>7000</f>
        <v>7000</v>
      </c>
      <c r="AR70" s="366">
        <f>7000</f>
        <v>7000</v>
      </c>
      <c r="AS70" s="366">
        <f>7000</f>
        <v>7000</v>
      </c>
      <c r="AT70" s="1715">
        <f>7000</f>
        <v>7000</v>
      </c>
      <c r="AU70" s="1715">
        <f>7000</f>
        <v>7000</v>
      </c>
      <c r="AV70" s="1715">
        <f>7000</f>
        <v>7000</v>
      </c>
      <c r="AW70" s="1715">
        <f>7000</f>
        <v>7000</v>
      </c>
      <c r="AX70" s="1715">
        <f>7000</f>
        <v>7000</v>
      </c>
      <c r="AY70" s="217"/>
      <c r="AZ70" s="217"/>
      <c r="BA70" s="1158" t="s">
        <v>532</v>
      </c>
      <c r="BB70" s="1212"/>
      <c r="BC70" s="1212"/>
      <c r="BD70" s="1162"/>
      <c r="BE70" s="1162"/>
    </row>
    <row s="1619" customFormat="1" customHeight="1" ht="16.5">
      <c r="A71" s="1183"/>
      <c r="B71" s="924"/>
      <c r="C71" s="1461"/>
      <c r="D71" s="1461"/>
      <c r="E71" s="794">
        <v>17.1</v>
      </c>
      <c r="F71" s="919" cm="1" t="str">
        <f t="array" ref="F71:F71">OFFSET(G71,-1,-1)</f>
        <v>1</v>
      </c>
      <c r="G71" s="1461"/>
      <c r="H71" s="172" t="s">
        <v>533</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534</v>
      </c>
      <c r="AD71" s="840" t="s">
        <v>490</v>
      </c>
      <c r="AE71" s="1715">
        <v>1.5</v>
      </c>
      <c r="AF71" s="366">
        <v>4.4</v>
      </c>
      <c r="AG71" s="366">
        <v>2.7</v>
      </c>
      <c r="AH71" s="366">
        <v>2.7</v>
      </c>
      <c r="AI71" s="366">
        <v>2.7</v>
      </c>
      <c r="AJ71" s="1715"/>
      <c r="AK71" s="1715"/>
      <c r="AL71" s="1715"/>
      <c r="AM71" s="1715"/>
      <c r="AN71" s="1715"/>
      <c r="AO71" s="366">
        <v>1.5</v>
      </c>
      <c r="AP71" s="366">
        <v>4.4</v>
      </c>
      <c r="AQ71" s="366">
        <v>2.7</v>
      </c>
      <c r="AR71" s="366">
        <v>2.7</v>
      </c>
      <c r="AS71" s="366">
        <v>2.7</v>
      </c>
      <c r="AT71" s="1715"/>
      <c r="AU71" s="1715"/>
      <c r="AV71" s="1715"/>
      <c r="AW71" s="1715"/>
      <c r="AX71" s="1715"/>
      <c r="AY71" s="217"/>
      <c r="AZ71" s="217"/>
      <c r="BA71" s="1158" t="s">
        <v>535</v>
      </c>
      <c r="BB71" s="1212"/>
      <c r="BC71" s="1212"/>
      <c r="BD71" s="1162"/>
      <c r="BE71" s="1162"/>
    </row>
    <row s="1619" customFormat="1" customHeight="1" ht="16.5">
      <c r="A72" s="1183"/>
      <c r="B72" s="924"/>
      <c r="C72" s="1461"/>
      <c r="D72" s="1461"/>
      <c r="E72" s="794">
        <v>17.1</v>
      </c>
      <c r="F72" s="919" cm="1" t="str">
        <f t="array" ref="F72:F72">OFFSET(G72,-1,-1)</f>
        <v>1</v>
      </c>
      <c r="G72" s="1461"/>
      <c r="H72" s="172" t="s">
        <v>536</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537</v>
      </c>
      <c r="AD72" s="840" t="s">
        <v>490</v>
      </c>
      <c r="AE72" s="1715"/>
      <c r="AF72" s="366"/>
      <c r="AG72" s="366"/>
      <c r="AH72" s="366"/>
      <c r="AI72" s="366"/>
      <c r="AJ72" s="1715"/>
      <c r="AK72" s="1715"/>
      <c r="AL72" s="1715"/>
      <c r="AM72" s="1715"/>
      <c r="AN72" s="1715"/>
      <c r="AO72" s="366"/>
      <c r="AP72" s="366"/>
      <c r="AQ72" s="366"/>
      <c r="AR72" s="366"/>
      <c r="AS72" s="366"/>
      <c r="AT72" s="1715"/>
      <c r="AU72" s="1715"/>
      <c r="AV72" s="1715"/>
      <c r="AW72" s="1715"/>
      <c r="AX72" s="1715"/>
      <c r="AY72" s="217"/>
      <c r="AZ72" s="217"/>
      <c r="BA72" s="1158" t="s">
        <v>538</v>
      </c>
      <c r="BB72" s="1212"/>
      <c r="BC72" s="1212"/>
      <c r="BD72" s="1162"/>
      <c r="BE72" s="1162"/>
    </row>
    <row s="1619" customFormat="1" customHeight="1" ht="16.5">
      <c r="A73" s="1183"/>
      <c r="B73" s="924"/>
      <c r="C73" s="1461"/>
      <c r="D73" s="1461"/>
      <c r="E73" s="794">
        <v>17.1</v>
      </c>
      <c r="F73" s="919" cm="1" t="str">
        <f t="array" ref="F73:F73">OFFSET(G73,-1,-1)</f>
        <v>1</v>
      </c>
      <c r="G73" s="1461"/>
      <c r="H73" s="172" t="s">
        <v>539</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540</v>
      </c>
      <c r="AD73" s="840" t="s">
        <v>490</v>
      </c>
      <c r="AE73" s="1715"/>
      <c r="AF73" s="366"/>
      <c r="AG73" s="366"/>
      <c r="AH73" s="366"/>
      <c r="AI73" s="366"/>
      <c r="AJ73" s="1715"/>
      <c r="AK73" s="1715"/>
      <c r="AL73" s="1715"/>
      <c r="AM73" s="1715"/>
      <c r="AN73" s="1715"/>
      <c r="AO73" s="366"/>
      <c r="AP73" s="366"/>
      <c r="AQ73" s="366"/>
      <c r="AR73" s="366"/>
      <c r="AS73" s="366"/>
      <c r="AT73" s="1715"/>
      <c r="AU73" s="1715"/>
      <c r="AV73" s="1715"/>
      <c r="AW73" s="1715"/>
      <c r="AX73" s="1715"/>
      <c r="AY73" s="217"/>
      <c r="AZ73" s="217"/>
      <c r="BA73" s="1158" t="s">
        <v>541</v>
      </c>
      <c r="BB73" s="1212"/>
      <c r="BC73" s="1212"/>
      <c r="BD73" s="1162"/>
      <c r="BE73" s="1162"/>
    </row>
    <row s="1619" customFormat="1" customHeight="1" ht="16.5">
      <c r="A74" s="1183"/>
      <c r="B74" s="924"/>
      <c r="C74" s="1461"/>
      <c r="D74" s="1461"/>
      <c r="E74" s="794">
        <v>17.1</v>
      </c>
      <c r="F74" s="919" cm="1" t="str">
        <f t="array" ref="F74:F74">OFFSET(G74,-1,-1)</f>
        <v>1</v>
      </c>
      <c r="G74" s="1461"/>
      <c r="H74" s="172" t="s">
        <v>542</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543</v>
      </c>
      <c r="AD74" s="840" t="s">
        <v>490</v>
      </c>
      <c r="AE74" s="1715"/>
      <c r="AF74" s="366"/>
      <c r="AG74" s="366"/>
      <c r="AH74" s="366"/>
      <c r="AI74" s="366"/>
      <c r="AJ74" s="1715"/>
      <c r="AK74" s="1715"/>
      <c r="AL74" s="1715"/>
      <c r="AM74" s="1715"/>
      <c r="AN74" s="1715"/>
      <c r="AO74" s="366"/>
      <c r="AP74" s="366"/>
      <c r="AQ74" s="366"/>
      <c r="AR74" s="366"/>
      <c r="AS74" s="366"/>
      <c r="AT74" s="1715"/>
      <c r="AU74" s="1715"/>
      <c r="AV74" s="1715"/>
      <c r="AW74" s="1715"/>
      <c r="AX74" s="1715"/>
      <c r="AY74" s="217"/>
      <c r="AZ74" s="217"/>
      <c r="BA74" s="1158" t="s">
        <v>544</v>
      </c>
      <c r="BB74" s="1212"/>
      <c r="BC74" s="1212"/>
      <c r="BD74" s="1162"/>
      <c r="BE74" s="1162"/>
    </row>
    <row s="1619" customFormat="1" customHeight="1" ht="16.5">
      <c r="A75" s="1183"/>
      <c r="B75" s="924"/>
      <c r="C75" s="1461"/>
      <c r="D75" s="1461"/>
      <c r="E75" s="794">
        <v>17.1</v>
      </c>
      <c r="F75" s="919" cm="1" t="str">
        <f t="array" ref="F75:F75">OFFSET(G75,-1,-1)</f>
        <v>1</v>
      </c>
      <c r="G75" s="919" t="s">
        <v>545</v>
      </c>
      <c r="H75" s="172" t="s">
        <v>546</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547</v>
      </c>
      <c r="AD75" s="206"/>
      <c r="AE75" s="1715"/>
      <c r="AF75" s="366"/>
      <c r="AG75" s="366"/>
      <c r="AH75" s="366"/>
      <c r="AI75" s="366"/>
      <c r="AJ75" s="1715"/>
      <c r="AK75" s="1715"/>
      <c r="AL75" s="1715"/>
      <c r="AM75" s="1715"/>
      <c r="AN75" s="1715"/>
      <c r="AO75" s="366"/>
      <c r="AP75" s="366"/>
      <c r="AQ75" s="366"/>
      <c r="AR75" s="366"/>
      <c r="AS75" s="366"/>
      <c r="AT75" s="1715"/>
      <c r="AU75" s="1715"/>
      <c r="AV75" s="1715"/>
      <c r="AW75" s="1715"/>
      <c r="AX75" s="1715"/>
      <c r="AY75" s="217"/>
      <c r="AZ75" s="217"/>
      <c r="BA75" s="1158" t="s">
        <v>548</v>
      </c>
      <c r="BB75" s="1212"/>
      <c r="BC75" s="1212"/>
      <c r="BD75" s="1162"/>
      <c r="BE75" s="1162"/>
    </row>
    <row s="1619" customFormat="1" customHeight="1" ht="29.25">
      <c r="A76" s="1183"/>
      <c r="B76" s="924"/>
      <c r="C76" s="1461"/>
      <c r="D76" s="1461"/>
      <c r="E76" s="794">
        <v>30</v>
      </c>
      <c r="F76" s="919" cm="1" t="str">
        <f t="array" ref="F76:F76">OFFSET(G76,-1,-1)</f>
        <v>1</v>
      </c>
      <c r="G76" s="919" t="s">
        <v>549</v>
      </c>
      <c r="H76" s="172" t="s">
        <v>550</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551</v>
      </c>
      <c r="AD76" s="833"/>
      <c r="AE76" s="1715">
        <f>0.75</f>
        <v>0.75</v>
      </c>
      <c r="AF76" s="366">
        <f>0.75</f>
        <v>0.75</v>
      </c>
      <c r="AG76" s="366">
        <f>0.75</f>
        <v>0.75</v>
      </c>
      <c r="AH76" s="366">
        <f>0.75</f>
        <v>0.75</v>
      </c>
      <c r="AI76" s="366">
        <f>0.75</f>
        <v>0.75</v>
      </c>
      <c r="AJ76" s="1715">
        <f>0.75</f>
        <v>0.75</v>
      </c>
      <c r="AK76" s="1715">
        <f>0.75</f>
        <v>0.75</v>
      </c>
      <c r="AL76" s="1715">
        <f>0.75</f>
        <v>0.75</v>
      </c>
      <c r="AM76" s="1715">
        <f>0.75</f>
        <v>0.75</v>
      </c>
      <c r="AN76" s="1715">
        <f>0.75</f>
        <v>0.75</v>
      </c>
      <c r="AO76" s="366">
        <f>0.75</f>
        <v>0.75</v>
      </c>
      <c r="AP76" s="366">
        <f>0.75</f>
        <v>0.75</v>
      </c>
      <c r="AQ76" s="366">
        <f>0.75</f>
        <v>0.75</v>
      </c>
      <c r="AR76" s="366">
        <f>0.75</f>
        <v>0.75</v>
      </c>
      <c r="AS76" s="366">
        <f>0.75</f>
        <v>0.75</v>
      </c>
      <c r="AT76" s="1715">
        <f>0.75</f>
        <v>0.75</v>
      </c>
      <c r="AU76" s="1715">
        <f>0.75</f>
        <v>0.75</v>
      </c>
      <c r="AV76" s="1715">
        <f>0.75</f>
        <v>0.75</v>
      </c>
      <c r="AW76" s="1715">
        <f>0.75</f>
        <v>0.75</v>
      </c>
      <c r="AX76" s="1715">
        <f>0.75</f>
        <v>0.75</v>
      </c>
      <c r="AY76" s="217"/>
      <c r="AZ76" s="217"/>
      <c r="BA76" s="1158" t="s">
        <v>552</v>
      </c>
      <c r="BB76" s="1212"/>
      <c r="BC76" s="1212"/>
      <c r="BD76" s="1162"/>
      <c r="BE76" s="1162"/>
    </row>
    <row s="1619"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553</v>
      </c>
      <c r="AC77" s="345" t="s">
        <v>554</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19" customFormat="1" customHeight="1" ht="16.5">
      <c r="A78" s="1183"/>
      <c r="B78" s="924"/>
      <c r="C78" s="1461"/>
      <c r="D78" s="1461"/>
      <c r="E78" s="794">
        <v>17.1</v>
      </c>
      <c r="F78" s="919" cm="1" t="str">
        <f t="array" ref="F78:F78">OFFSET(G78,-1,-1)</f>
        <v>1</v>
      </c>
      <c r="G78" s="919" t="s">
        <v>555</v>
      </c>
      <c r="H78" s="172" t="s">
        <v>556</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557</v>
      </c>
      <c r="AC78" s="205" t="s">
        <v>558</v>
      </c>
      <c r="AD78" s="206" t="s">
        <v>490</v>
      </c>
      <c r="AE78" s="1715">
        <v>30.4</v>
      </c>
      <c r="AF78" s="366">
        <v>30.4</v>
      </c>
      <c r="AG78" s="366">
        <v>30.4</v>
      </c>
      <c r="AH78" s="366">
        <v>30.4</v>
      </c>
      <c r="AI78" s="366">
        <v>30.4</v>
      </c>
      <c r="AJ78" s="1715">
        <v>30.4</v>
      </c>
      <c r="AK78" s="1715">
        <v>30.4</v>
      </c>
      <c r="AL78" s="1715">
        <v>30.4</v>
      </c>
      <c r="AM78" s="1715">
        <v>30.4</v>
      </c>
      <c r="AN78" s="1715">
        <v>30.4</v>
      </c>
      <c r="AO78" s="366">
        <v>30.4</v>
      </c>
      <c r="AP78" s="366">
        <v>30.4</v>
      </c>
      <c r="AQ78" s="366">
        <v>30.4</v>
      </c>
      <c r="AR78" s="366">
        <v>30.4</v>
      </c>
      <c r="AS78" s="366">
        <v>30.4</v>
      </c>
      <c r="AT78" s="1715"/>
      <c r="AU78" s="1715"/>
      <c r="AV78" s="1715"/>
      <c r="AW78" s="1715"/>
      <c r="AX78" s="1715"/>
      <c r="AY78" s="217"/>
      <c r="AZ78" s="217"/>
      <c r="BA78" s="1158" t="s">
        <v>559</v>
      </c>
      <c r="BB78" s="1212"/>
      <c r="BC78" s="1212"/>
      <c r="BD78" s="1162"/>
      <c r="BE78" s="1162"/>
    </row>
    <row s="1619" customFormat="1" customHeight="1" ht="16.5">
      <c r="A79" s="1183"/>
      <c r="B79" s="924"/>
      <c r="C79" s="1461"/>
      <c r="D79" s="1461"/>
      <c r="E79" s="794">
        <v>17.1</v>
      </c>
      <c r="F79" s="919" cm="1" t="str">
        <f t="array" ref="F79:F79">OFFSET(G79,-1,-1)</f>
        <v>1</v>
      </c>
      <c r="G79" s="1461"/>
      <c r="H79" s="172" t="s">
        <v>560</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561</v>
      </c>
      <c r="AC79" s="207" t="s">
        <v>562</v>
      </c>
      <c r="AD79" s="206" t="s">
        <v>490</v>
      </c>
      <c r="AE79" s="1715">
        <v>2.2</v>
      </c>
      <c r="AF79" s="366">
        <v>2.2</v>
      </c>
      <c r="AG79" s="366">
        <v>2.2</v>
      </c>
      <c r="AH79" s="366">
        <v>2.2</v>
      </c>
      <c r="AI79" s="366">
        <v>2.2</v>
      </c>
      <c r="AJ79" s="1715">
        <v>2.2</v>
      </c>
      <c r="AK79" s="1715">
        <v>2.2</v>
      </c>
      <c r="AL79" s="1715">
        <v>2.2</v>
      </c>
      <c r="AM79" s="1715">
        <v>2.2</v>
      </c>
      <c r="AN79" s="1715">
        <v>2.2</v>
      </c>
      <c r="AO79" s="366">
        <v>2.2</v>
      </c>
      <c r="AP79" s="366">
        <v>2.2</v>
      </c>
      <c r="AQ79" s="366">
        <v>2.2</v>
      </c>
      <c r="AR79" s="366">
        <v>2.2</v>
      </c>
      <c r="AS79" s="366">
        <v>2.2</v>
      </c>
      <c r="AT79" s="1715"/>
      <c r="AU79" s="1715"/>
      <c r="AV79" s="1715"/>
      <c r="AW79" s="1715"/>
      <c r="AX79" s="1715"/>
      <c r="AY79" s="217"/>
      <c r="AZ79" s="217"/>
      <c r="BA79" s="1158" t="s">
        <v>563</v>
      </c>
      <c r="BB79" s="1212"/>
      <c r="BC79" s="1212"/>
      <c r="BD79" s="1162"/>
      <c r="BE79" s="1162"/>
    </row>
    <row s="1619" customFormat="1" customHeight="1" ht="16.5">
      <c r="A80" s="1183"/>
      <c r="B80" s="924"/>
      <c r="C80" s="1461"/>
      <c r="D80" s="1461"/>
      <c r="E80" s="794">
        <v>17.1</v>
      </c>
      <c r="F80" s="919" cm="1" t="str">
        <f t="array" ref="F80:F80">OFFSET(G80,-1,-1)</f>
        <v>1</v>
      </c>
      <c r="G80" s="1461"/>
      <c r="H80" s="172" t="s">
        <v>564</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565</v>
      </c>
      <c r="AC80" s="207" t="s">
        <v>566</v>
      </c>
      <c r="AD80" s="206" t="s">
        <v>490</v>
      </c>
      <c r="AE80" s="1715"/>
      <c r="AF80" s="366"/>
      <c r="AG80" s="366"/>
      <c r="AH80" s="366"/>
      <c r="AI80" s="366"/>
      <c r="AJ80" s="1715"/>
      <c r="AK80" s="1715"/>
      <c r="AL80" s="1715"/>
      <c r="AM80" s="1715"/>
      <c r="AN80" s="1715"/>
      <c r="AO80" s="366"/>
      <c r="AP80" s="366"/>
      <c r="AQ80" s="366"/>
      <c r="AR80" s="366"/>
      <c r="AS80" s="366"/>
      <c r="AT80" s="1715"/>
      <c r="AU80" s="1715"/>
      <c r="AV80" s="1715"/>
      <c r="AW80" s="1715"/>
      <c r="AX80" s="1715"/>
      <c r="AY80" s="217"/>
      <c r="AZ80" s="217"/>
      <c r="BA80" s="1158" t="s">
        <v>567</v>
      </c>
      <c r="BB80" s="1212"/>
      <c r="BC80" s="1212"/>
      <c r="BD80" s="1162"/>
      <c r="BE80" s="1162"/>
    </row>
    <row s="1619" customFormat="1" customHeight="1" ht="16.5">
      <c r="A81" s="1183"/>
      <c r="B81" s="924"/>
      <c r="C81" s="1461"/>
      <c r="D81" s="1461"/>
      <c r="E81" s="794">
        <v>17.1</v>
      </c>
      <c r="F81" s="919" cm="1" t="str">
        <f t="array" ref="F81:F81">OFFSET(G81,-1,-1)</f>
        <v>1</v>
      </c>
      <c r="G81" s="1461"/>
      <c r="H81" s="172" t="s">
        <v>568</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569</v>
      </c>
      <c r="AC81" s="207" t="s">
        <v>570</v>
      </c>
      <c r="AD81" s="206" t="s">
        <v>490</v>
      </c>
      <c r="AE81" s="1715"/>
      <c r="AF81" s="366"/>
      <c r="AG81" s="366"/>
      <c r="AH81" s="366"/>
      <c r="AI81" s="366"/>
      <c r="AJ81" s="1715"/>
      <c r="AK81" s="1715"/>
      <c r="AL81" s="1715"/>
      <c r="AM81" s="1715"/>
      <c r="AN81" s="1715"/>
      <c r="AO81" s="366"/>
      <c r="AP81" s="366"/>
      <c r="AQ81" s="366"/>
      <c r="AR81" s="366"/>
      <c r="AS81" s="366"/>
      <c r="AT81" s="1715"/>
      <c r="AU81" s="1715"/>
      <c r="AV81" s="1715"/>
      <c r="AW81" s="1715"/>
      <c r="AX81" s="1715"/>
      <c r="AY81" s="217"/>
      <c r="AZ81" s="217"/>
      <c r="BA81" s="1158" t="s">
        <v>571</v>
      </c>
      <c r="BB81" s="1212"/>
      <c r="BC81" s="1212"/>
      <c r="BD81" s="1162"/>
      <c r="BE81" s="1162"/>
    </row>
    <row s="963" customFormat="1" customHeight="1" ht="10.5">
      <c r="A82" s="212"/>
      <c r="B82" s="212"/>
      <c r="C82" s="212"/>
      <c r="D82" s="212"/>
      <c r="E82" s="800">
        <v>11.4</v>
      </c>
      <c r="F82" s="919" cm="1" t="str">
        <f t="array" ref="F82:F82">Y82</f>
        <v>2</v>
      </c>
      <c r="G82" s="212"/>
      <c r="H82" s="212"/>
      <c r="I82" s="212"/>
      <c r="J82" s="212"/>
      <c r="K82" s="212"/>
      <c r="L82" s="212"/>
      <c r="M82" s="212"/>
      <c r="N82" s="212"/>
      <c r="O82" s="212"/>
      <c r="P82" s="212"/>
      <c r="Q82" s="212"/>
      <c r="R82" s="212"/>
      <c r="S82" s="212"/>
      <c r="T82" s="212"/>
      <c r="U82" s="920">
        <f>F82&gt;0</f>
        <v>1</v>
      </c>
      <c r="V82" s="212"/>
      <c r="W82" s="168" cm="1" t="str">
        <f t="array" ref="W82:W82">'Расчет УЕ'!$AB$67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X82" s="212"/>
      <c r="Y82" s="168" t="s">
        <v>343</v>
      </c>
      <c r="Z82" s="212"/>
      <c r="AA82" s="212"/>
      <c r="AB82" s="260" cm="1" t="str">
        <f t="array" ref="AB82:AB82">IF(ISBLANK('Расчет УЕ'!$AB$67),"",'Расчет УЕ'!$AB$67)</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82" s="257"/>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12"/>
      <c r="AZ82" s="212"/>
      <c r="BA82" s="1158"/>
      <c r="BB82" s="1164"/>
      <c r="BC82" s="1164"/>
      <c r="BD82" s="1165"/>
      <c r="BE82" s="1165"/>
    </row>
    <row s="1619" customFormat="1" customHeight="1" ht="10.5">
      <c r="A83" s="1183"/>
      <c r="B83" s="924"/>
      <c r="C83" s="1461"/>
      <c r="D83" s="1461"/>
      <c r="E83" s="794">
        <v>11.4</v>
      </c>
      <c r="F83" s="919" cm="1" t="str">
        <f t="array" ref="F83:F83">OFFSET(G83,-1,-1)</f>
        <v>2</v>
      </c>
      <c r="G83" s="1461"/>
      <c r="H83" s="1461"/>
      <c r="I83" s="1461"/>
      <c r="J83" s="1461"/>
      <c r="K83" s="1461"/>
      <c r="L83" s="1461"/>
      <c r="M83" s="1461"/>
      <c r="N83" s="1461"/>
      <c r="O83" s="1461"/>
      <c r="P83" s="1461"/>
      <c r="Q83" s="919"/>
      <c r="R83" s="919"/>
      <c r="S83" s="1461"/>
      <c r="T83" s="1461"/>
      <c r="U83" s="920">
        <f>F83&gt;0</f>
        <v>1</v>
      </c>
      <c r="V83" s="1461"/>
      <c r="W83" s="1461"/>
      <c r="X83" s="1461"/>
      <c r="Y83" s="1461"/>
      <c r="Z83" s="1461"/>
      <c r="AA83" s="217"/>
      <c r="AB83" s="344"/>
      <c r="AC83" s="345" t="s">
        <v>491</v>
      </c>
      <c r="AD83" s="346"/>
      <c r="AE83" s="376"/>
      <c r="AF83" s="376"/>
      <c r="AG83" s="376"/>
      <c r="AH83" s="376"/>
      <c r="AI83" s="376"/>
      <c r="AJ83" s="376"/>
      <c r="AK83" s="376"/>
      <c r="AL83" s="376"/>
      <c r="AM83" s="376"/>
      <c r="AN83" s="376"/>
      <c r="AO83" s="376"/>
      <c r="AP83" s="376"/>
      <c r="AQ83" s="376"/>
      <c r="AR83" s="376"/>
      <c r="AS83" s="376"/>
      <c r="AT83" s="376"/>
      <c r="AU83" s="376"/>
      <c r="AV83" s="376"/>
      <c r="AW83" s="376"/>
      <c r="AX83" s="376"/>
      <c r="AY83" s="217"/>
      <c r="AZ83" s="217"/>
      <c r="BA83" s="1212"/>
      <c r="BB83" s="1212"/>
      <c r="BC83" s="1212"/>
      <c r="BD83" s="1162"/>
      <c r="BE83" s="1162"/>
    </row>
    <row s="1619" customFormat="1" customHeight="1" ht="16.5">
      <c r="A84" s="1183"/>
      <c r="B84" s="924"/>
      <c r="C84" s="1461"/>
      <c r="D84" s="1461"/>
      <c r="E84" s="794">
        <v>17.1</v>
      </c>
      <c r="F84" s="919" cm="1" t="str">
        <f t="array" ref="F84:F84">OFFSET(G84,-1,-1)</f>
        <v>2</v>
      </c>
      <c r="G84" s="919" t="s">
        <v>492</v>
      </c>
      <c r="H84" s="172" t="s">
        <v>493</v>
      </c>
      <c r="I84" s="1461"/>
      <c r="J84" s="1461"/>
      <c r="K84" s="1461"/>
      <c r="L84" s="1461"/>
      <c r="M84" s="1461"/>
      <c r="N84" s="1461"/>
      <c r="O84" s="1461"/>
      <c r="P84" s="1461"/>
      <c r="Q84" s="919"/>
      <c r="R84" s="919"/>
      <c r="S84" s="1461"/>
      <c r="T84" s="1461"/>
      <c r="U84" s="1056">
        <f>AND(F84&gt;0,method_reg&lt;&gt;"Метод экономически обоснованных расходов")</f>
        <v>1</v>
      </c>
      <c r="V84" s="1461"/>
      <c r="W84" s="1461"/>
      <c r="X84" s="1461"/>
      <c r="Y84" s="1461"/>
      <c r="Z84" s="1461"/>
      <c r="AA84" s="217"/>
      <c r="AB84" s="203">
        <v>1</v>
      </c>
      <c r="AC84" s="204" t="s">
        <v>494</v>
      </c>
      <c r="AD84" s="206" t="s">
        <v>490</v>
      </c>
      <c r="AE84" s="1715">
        <v>1</v>
      </c>
      <c r="AF84" s="366">
        <v>1</v>
      </c>
      <c r="AG84" s="366">
        <v>1</v>
      </c>
      <c r="AH84" s="366">
        <v>1</v>
      </c>
      <c r="AI84" s="366">
        <v>1</v>
      </c>
      <c r="AJ84" s="1715">
        <v>1</v>
      </c>
      <c r="AK84" s="1715">
        <v>1</v>
      </c>
      <c r="AL84" s="1715">
        <v>1</v>
      </c>
      <c r="AM84" s="1715">
        <v>1</v>
      </c>
      <c r="AN84" s="1715">
        <v>1</v>
      </c>
      <c r="AO84" s="366">
        <v>1</v>
      </c>
      <c r="AP84" s="366">
        <v>1</v>
      </c>
      <c r="AQ84" s="366">
        <v>1</v>
      </c>
      <c r="AR84" s="366">
        <v>1</v>
      </c>
      <c r="AS84" s="366">
        <v>1</v>
      </c>
      <c r="AT84" s="1715">
        <v>1</v>
      </c>
      <c r="AU84" s="1715">
        <v>1</v>
      </c>
      <c r="AV84" s="1715">
        <v>1</v>
      </c>
      <c r="AW84" s="1715">
        <v>1</v>
      </c>
      <c r="AX84" s="1715">
        <v>1</v>
      </c>
      <c r="AY84" s="217"/>
      <c r="AZ84" s="217"/>
      <c r="BA84" s="1158" t="s">
        <v>495</v>
      </c>
      <c r="BB84" s="1212"/>
      <c r="BC84" s="1212"/>
      <c r="BD84" s="1162"/>
      <c r="BE84" s="1162"/>
    </row>
    <row s="1619" customFormat="1" customHeight="1" ht="29.25">
      <c r="A85" s="1183"/>
      <c r="B85" s="924"/>
      <c r="C85" s="1461"/>
      <c r="D85" s="1461"/>
      <c r="E85" s="794">
        <v>30</v>
      </c>
      <c r="F85" s="919" cm="1" t="str">
        <f t="array" ref="F85:F85">OFFSET(G85,-1,-1)</f>
        <v>2</v>
      </c>
      <c r="G85" s="1461"/>
      <c r="H85" s="172" t="s">
        <v>496</v>
      </c>
      <c r="I85" s="1461"/>
      <c r="J85" s="1461"/>
      <c r="K85" s="1461"/>
      <c r="L85" s="1461"/>
      <c r="M85" s="1461"/>
      <c r="N85" s="1461"/>
      <c r="O85" s="1461"/>
      <c r="P85" s="1461"/>
      <c r="Q85" s="919"/>
      <c r="R85" s="919"/>
      <c r="S85" s="1461"/>
      <c r="T85" s="1461"/>
      <c r="U85" s="1056">
        <f>AND(F85&gt;0,method_reg&lt;&gt;"Метод экономически обоснованных расходов")</f>
        <v>1</v>
      </c>
      <c r="V85" s="1461"/>
      <c r="W85" s="1461"/>
      <c r="X85" s="1461"/>
      <c r="Y85" s="1461"/>
      <c r="Z85" s="1461"/>
      <c r="AA85" s="217"/>
      <c r="AB85" s="834" t="s">
        <v>343</v>
      </c>
      <c r="AC85" s="835" t="s">
        <v>497</v>
      </c>
      <c r="AD85" s="836"/>
      <c r="AE85" s="67"/>
      <c r="AF85" s="67"/>
      <c r="AG85" s="67"/>
      <c r="AH85" s="67"/>
      <c r="AI85" s="67"/>
      <c r="AJ85" s="67"/>
      <c r="AK85" s="67"/>
      <c r="AL85" s="67"/>
      <c r="AM85" s="67"/>
      <c r="AN85" s="67"/>
      <c r="AO85" s="67"/>
      <c r="AP85" s="67"/>
      <c r="AQ85" s="67"/>
      <c r="AR85" s="67"/>
      <c r="AS85" s="67"/>
      <c r="AT85" s="67"/>
      <c r="AU85" s="67"/>
      <c r="AV85" s="67"/>
      <c r="AW85" s="67"/>
      <c r="AX85" s="67"/>
      <c r="AY85" s="217"/>
      <c r="AZ85" s="217"/>
      <c r="BA85" s="1212"/>
      <c r="BB85" s="1212"/>
      <c r="BC85" s="1212"/>
      <c r="BD85" s="1162"/>
      <c r="BE85" s="1162"/>
    </row>
    <row s="1619" customFormat="1" customHeight="1" ht="17.25" hidden="1">
      <c r="A86" s="1183"/>
      <c r="B86" s="924"/>
      <c r="C86" s="1461"/>
      <c r="D86" s="1461"/>
      <c r="E86" s="794">
        <v>0</v>
      </c>
      <c r="F86" s="919" cm="1" t="str">
        <f t="array" ref="F86:F86">OFFSET(G86,-1,-1)</f>
        <v>2</v>
      </c>
      <c r="G86" s="1461"/>
      <c r="H86" s="1461"/>
      <c r="I86" s="1461"/>
      <c r="J86" s="1461"/>
      <c r="K86" s="1461"/>
      <c r="L86" s="1461"/>
      <c r="M86" s="1461"/>
      <c r="N86" s="1461"/>
      <c r="O86" s="1461"/>
      <c r="P86" s="1461"/>
      <c r="Q86" s="919"/>
      <c r="R86" s="919"/>
      <c r="S86" s="1461"/>
      <c r="T86" s="1461"/>
      <c r="U86" s="1056">
        <f>AND(F86&gt;0,method_reg&lt;&gt;"Метод экономически обоснованных расходов")</f>
        <v>1</v>
      </c>
      <c r="V86" s="1461"/>
      <c r="W86" s="1461"/>
      <c r="X86" s="1461"/>
      <c r="Y86" s="1461"/>
      <c r="Z86" s="1461"/>
      <c r="AA86" s="217"/>
      <c r="AB86" s="837"/>
      <c r="AC86" s="835"/>
      <c r="AD86" s="836"/>
      <c r="AE86" s="67"/>
      <c r="AF86" s="67"/>
      <c r="AG86" s="67"/>
      <c r="AH86" s="67"/>
      <c r="AI86" s="67"/>
      <c r="AJ86" s="67"/>
      <c r="AK86" s="67"/>
      <c r="AL86" s="67"/>
      <c r="AM86" s="67"/>
      <c r="AN86" s="67"/>
      <c r="AO86" s="67"/>
      <c r="AP86" s="67"/>
      <c r="AQ86" s="67"/>
      <c r="AR86" s="67"/>
      <c r="AS86" s="67"/>
      <c r="AT86" s="67"/>
      <c r="AU86" s="67"/>
      <c r="AV86" s="67"/>
      <c r="AW86" s="67"/>
      <c r="AX86" s="67"/>
      <c r="AY86" s="217"/>
      <c r="AZ86" s="217"/>
      <c r="BA86" s="1212"/>
      <c r="BB86" s="1212"/>
      <c r="BC86" s="1212"/>
      <c r="BD86" s="1162"/>
      <c r="BE86" s="1162"/>
    </row>
    <row s="1619" customFormat="1" customHeight="1" ht="16.5" hidden="1">
      <c r="A87" s="1183"/>
      <c r="B87" s="924"/>
      <c r="C87" s="1461"/>
      <c r="D87" s="1461"/>
      <c r="E87" s="794">
        <v>17.1</v>
      </c>
      <c r="F87" s="919" cm="1" t="str">
        <f t="array" ref="F87:F87">OFFSET(G87,-1,-1)</f>
        <v>2</v>
      </c>
      <c r="G87" s="1461"/>
      <c r="H87" s="1461"/>
      <c r="I87" s="1461"/>
      <c r="J87" s="1461"/>
      <c r="K87" s="1461"/>
      <c r="L87" s="1461"/>
      <c r="M87" s="1461"/>
      <c r="N87" s="1461"/>
      <c r="O87" s="1461"/>
      <c r="P87" s="1461"/>
      <c r="Q87" s="919"/>
      <c r="R87" s="919"/>
      <c r="S87" s="1461"/>
      <c r="T87" s="1461"/>
      <c r="U87" s="1056">
        <f>AND(F87&gt;0,AB87&lt;&gt;"2.0",method_reg&lt;&gt;"Метод экономически обоснованных расходов")</f>
        <v>0</v>
      </c>
      <c r="V87" s="1461"/>
      <c r="W87" s="1461"/>
      <c r="X87" s="172" t="s">
        <v>233</v>
      </c>
      <c r="Y87" s="1461"/>
      <c r="Z87" s="1461"/>
      <c r="AA87" s="914" t="s">
        <v>217</v>
      </c>
      <c r="AB87" s="892" t="s">
        <v>498</v>
      </c>
      <c r="AC87" s="68"/>
      <c r="AD87" s="893" t="s">
        <v>490</v>
      </c>
      <c r="AE87" s="69"/>
      <c r="AF87" s="1124"/>
      <c r="AG87" s="1124"/>
      <c r="AH87" s="1124"/>
      <c r="AI87" s="1124"/>
      <c r="AJ87" s="69"/>
      <c r="AK87" s="69"/>
      <c r="AL87" s="69"/>
      <c r="AM87" s="69"/>
      <c r="AN87" s="69"/>
      <c r="AO87" s="1124"/>
      <c r="AP87" s="1124"/>
      <c r="AQ87" s="1124"/>
      <c r="AR87" s="1124"/>
      <c r="AS87" s="1124"/>
      <c r="AT87" s="69"/>
      <c r="AU87" s="69"/>
      <c r="AV87" s="69"/>
      <c r="AW87" s="69"/>
      <c r="AX87" s="69"/>
      <c r="AY87" s="217"/>
      <c r="AZ87" s="217"/>
      <c r="BA87" s="1158" t="s">
        <v>499</v>
      </c>
      <c r="BB87" s="1158" t="s">
        <v>500</v>
      </c>
      <c r="BC87" s="1158" cm="1" t="str">
        <f t="array" ref="BC87:BC87">AC87</f>
        <v>0</v>
      </c>
      <c r="BD87" s="1162"/>
      <c r="BE87" s="1162" t="b">
        <v>1</v>
      </c>
    </row>
    <row s="1619" customFormat="1" customHeight="1" ht="16.5">
      <c r="A88" s="1183"/>
      <c r="B88" s="924"/>
      <c r="C88" s="1461"/>
      <c r="D88" s="1461"/>
      <c r="E88" s="794">
        <v>17.1</v>
      </c>
      <c r="F88" s="919" cm="1" t="str">
        <f t="array" ref="F88:F88">OFFSET(G88,-1,-1)</f>
        <v>2</v>
      </c>
      <c r="G88" s="1461"/>
      <c r="H88" s="1461"/>
      <c r="I88" s="1461"/>
      <c r="J88" s="1461"/>
      <c r="K88" s="1461"/>
      <c r="L88" s="1461"/>
      <c r="M88" s="1461"/>
      <c r="N88" s="1461"/>
      <c r="O88" s="1461"/>
      <c r="P88" s="1461"/>
      <c r="Q88" s="919"/>
      <c r="R88" s="919"/>
      <c r="S88" s="1461"/>
      <c r="T88" s="1461"/>
      <c r="U88" s="1056">
        <f>AND(F88&gt;0,method_reg&lt;&gt;"Метод экономически обоснованных расходов")</f>
        <v>1</v>
      </c>
      <c r="V88" s="1461"/>
      <c r="W88" s="1461"/>
      <c r="X88" s="970" t="s">
        <v>501</v>
      </c>
      <c r="Y88" s="1461"/>
      <c r="Z88" s="1461"/>
      <c r="AA88" s="217"/>
      <c r="AB88" s="299"/>
      <c r="AC88" s="732" t="s">
        <v>235</v>
      </c>
      <c r="AD88" s="300"/>
      <c r="AE88" s="300"/>
      <c r="AF88" s="300"/>
      <c r="AG88" s="300"/>
      <c r="AH88" s="300"/>
      <c r="AI88" s="300"/>
      <c r="AJ88" s="300"/>
      <c r="AK88" s="300"/>
      <c r="AL88" s="300"/>
      <c r="AM88" s="300"/>
      <c r="AN88" s="300"/>
      <c r="AO88" s="300"/>
      <c r="AP88" s="300"/>
      <c r="AQ88" s="300"/>
      <c r="AR88" s="300"/>
      <c r="AS88" s="300"/>
      <c r="AT88" s="300"/>
      <c r="AU88" s="300"/>
      <c r="AV88" s="300"/>
      <c r="AW88" s="300"/>
      <c r="AX88" s="301"/>
      <c r="AY88" s="217"/>
      <c r="AZ88" s="217"/>
      <c r="BA88" s="1212"/>
      <c r="BB88" s="1212"/>
      <c r="BC88" s="1212"/>
      <c r="BD88" s="1162" t="s">
        <v>500</v>
      </c>
      <c r="BE88" s="1162"/>
    </row>
    <row s="1619" customFormat="1" customHeight="1" ht="16.5">
      <c r="A89" s="1183"/>
      <c r="B89" s="924"/>
      <c r="C89" s="1461"/>
      <c r="D89" s="1461"/>
      <c r="E89" s="794">
        <v>17.1</v>
      </c>
      <c r="F89" s="919" cm="1" t="str">
        <f t="array" ref="F89:F89">OFFSET(G89,-1,-1)</f>
        <v>2</v>
      </c>
      <c r="G89" s="919" t="s">
        <v>502</v>
      </c>
      <c r="H89" s="172" t="s">
        <v>503</v>
      </c>
      <c r="I89" s="1461"/>
      <c r="J89" s="1461"/>
      <c r="K89" s="1461"/>
      <c r="L89" s="1461"/>
      <c r="M89" s="1461"/>
      <c r="N89" s="1461"/>
      <c r="O89" s="1461"/>
      <c r="P89" s="1461"/>
      <c r="Q89" s="919"/>
      <c r="R89" s="919"/>
      <c r="S89" s="1461"/>
      <c r="T89" s="1461"/>
      <c r="U89" s="920">
        <f>F89&gt;0</f>
        <v>1</v>
      </c>
      <c r="V89" s="1461"/>
      <c r="W89" s="1461"/>
      <c r="X89" s="1461"/>
      <c r="Y89" s="1461"/>
      <c r="Z89" s="1461"/>
      <c r="AA89" s="217"/>
      <c r="AB89" s="894">
        <v>3</v>
      </c>
      <c r="AC89" s="895" t="s">
        <v>504</v>
      </c>
      <c r="AD89" s="896" t="s">
        <v>490</v>
      </c>
      <c r="AE89" s="1717"/>
      <c r="AF89" s="1123">
        <v>4</v>
      </c>
      <c r="AG89" s="1123">
        <v>4</v>
      </c>
      <c r="AH89" s="1123">
        <v>4</v>
      </c>
      <c r="AI89" s="1123">
        <v>4</v>
      </c>
      <c r="AJ89" s="1717"/>
      <c r="AK89" s="1717"/>
      <c r="AL89" s="1717"/>
      <c r="AM89" s="1717"/>
      <c r="AN89" s="1717"/>
      <c r="AO89" s="1123">
        <v>5.1</v>
      </c>
      <c r="AP89" s="1123">
        <v>4</v>
      </c>
      <c r="AQ89" s="1123">
        <v>4</v>
      </c>
      <c r="AR89" s="1123">
        <v>4</v>
      </c>
      <c r="AS89" s="1123">
        <v>4</v>
      </c>
      <c r="AT89" s="1717"/>
      <c r="AU89" s="1717"/>
      <c r="AV89" s="1717"/>
      <c r="AW89" s="1717"/>
      <c r="AX89" s="1717"/>
      <c r="AY89" s="217"/>
      <c r="AZ89" s="217"/>
      <c r="BA89" s="1158" t="s">
        <v>505</v>
      </c>
      <c r="BB89" s="1212"/>
      <c r="BC89" s="1212"/>
      <c r="BD89" s="1162"/>
      <c r="BE89" s="1162"/>
    </row>
    <row s="1619" customFormat="1" customHeight="1" ht="16.5">
      <c r="A90" s="1183"/>
      <c r="B90" s="924"/>
      <c r="C90" s="1461"/>
      <c r="D90" s="1461"/>
      <c r="E90" s="794">
        <v>17.1</v>
      </c>
      <c r="F90" s="919" cm="1" t="str">
        <f t="array" ref="F90:F90">OFFSET(G90,-1,-1)</f>
        <v>2</v>
      </c>
      <c r="G90" s="1461"/>
      <c r="H90" s="172" t="s">
        <v>506</v>
      </c>
      <c r="I90" s="1461"/>
      <c r="J90" s="1461"/>
      <c r="K90" s="1461"/>
      <c r="L90" s="1461"/>
      <c r="M90" s="1461"/>
      <c r="N90" s="1461"/>
      <c r="O90" s="1461"/>
      <c r="P90" s="1461"/>
      <c r="Q90" s="919"/>
      <c r="R90" s="919"/>
      <c r="S90" s="1461"/>
      <c r="T90" s="1461"/>
      <c r="U90" s="920">
        <f>F90&gt;0</f>
        <v>1</v>
      </c>
      <c r="V90" s="1461"/>
      <c r="W90" s="1461"/>
      <c r="X90" s="1461"/>
      <c r="Y90" s="1461"/>
      <c r="Z90" s="1461"/>
      <c r="AA90" s="217"/>
      <c r="AB90" s="832">
        <v>4</v>
      </c>
      <c r="AC90" s="839" t="s">
        <v>507</v>
      </c>
      <c r="AD90" s="840" t="s">
        <v>490</v>
      </c>
      <c r="AE90" s="1715"/>
      <c r="AF90" s="366">
        <v>9.1</v>
      </c>
      <c r="AG90" s="366">
        <v>4.9</v>
      </c>
      <c r="AH90" s="366">
        <v>4</v>
      </c>
      <c r="AI90" s="366">
        <v>4</v>
      </c>
      <c r="AJ90" s="1715"/>
      <c r="AK90" s="1715"/>
      <c r="AL90" s="1715"/>
      <c r="AM90" s="1715"/>
      <c r="AN90" s="1715"/>
      <c r="AO90" s="366">
        <v>13.2</v>
      </c>
      <c r="AP90" s="366">
        <v>9.1</v>
      </c>
      <c r="AQ90" s="366">
        <v>4.9</v>
      </c>
      <c r="AR90" s="366">
        <v>4</v>
      </c>
      <c r="AS90" s="366">
        <v>4</v>
      </c>
      <c r="AT90" s="1715"/>
      <c r="AU90" s="1715"/>
      <c r="AV90" s="1715"/>
      <c r="AW90" s="1715"/>
      <c r="AX90" s="1715"/>
      <c r="AY90" s="217"/>
      <c r="AZ90" s="217"/>
      <c r="BA90" s="1158" t="s">
        <v>508</v>
      </c>
      <c r="BB90" s="1212"/>
      <c r="BC90" s="1212"/>
      <c r="BD90" s="1162"/>
      <c r="BE90" s="1162"/>
    </row>
    <row s="1619" customFormat="1" customHeight="1" ht="29.25">
      <c r="A91" s="1183"/>
      <c r="B91" s="924"/>
      <c r="C91" s="1461"/>
      <c r="D91" s="1461"/>
      <c r="E91" s="794">
        <v>30</v>
      </c>
      <c r="F91" s="919" cm="1" t="str">
        <f t="array" ref="F91:F91">OFFSET(G91,-1,-1)</f>
        <v>2</v>
      </c>
      <c r="G91" s="1461"/>
      <c r="H91" s="172" t="s">
        <v>509</v>
      </c>
      <c r="I91" s="1461"/>
      <c r="J91" s="1461"/>
      <c r="K91" s="1461"/>
      <c r="L91" s="1461"/>
      <c r="M91" s="1461"/>
      <c r="N91" s="1461"/>
      <c r="O91" s="1461"/>
      <c r="P91" s="1461"/>
      <c r="Q91" s="919"/>
      <c r="R91" s="919"/>
      <c r="S91" s="1461"/>
      <c r="T91" s="1461"/>
      <c r="U91" s="920">
        <f>F91&gt;0</f>
        <v>1</v>
      </c>
      <c r="V91" s="1461"/>
      <c r="W91" s="1461"/>
      <c r="X91" s="1461"/>
      <c r="Y91" s="1461"/>
      <c r="Z91" s="1461"/>
      <c r="AA91" s="217"/>
      <c r="AB91" s="832">
        <v>5</v>
      </c>
      <c r="AC91" s="841" t="s">
        <v>510</v>
      </c>
      <c r="AD91" s="840" t="s">
        <v>490</v>
      </c>
      <c r="AE91" s="1715"/>
      <c r="AF91" s="366"/>
      <c r="AG91" s="366"/>
      <c r="AH91" s="366"/>
      <c r="AI91" s="366"/>
      <c r="AJ91" s="1715"/>
      <c r="AK91" s="1715"/>
      <c r="AL91" s="1715"/>
      <c r="AM91" s="1715"/>
      <c r="AN91" s="1715"/>
      <c r="AO91" s="366"/>
      <c r="AP91" s="366"/>
      <c r="AQ91" s="366"/>
      <c r="AR91" s="366"/>
      <c r="AS91" s="366"/>
      <c r="AT91" s="1715"/>
      <c r="AU91" s="1715"/>
      <c r="AV91" s="1715"/>
      <c r="AW91" s="1715"/>
      <c r="AX91" s="1715"/>
      <c r="AY91" s="217"/>
      <c r="AZ91" s="217"/>
      <c r="BA91" s="1158" t="s">
        <v>511</v>
      </c>
      <c r="BB91" s="1212"/>
      <c r="BC91" s="1212"/>
      <c r="BD91" s="1162"/>
      <c r="BE91" s="1162"/>
    </row>
    <row s="1619" customFormat="1" customHeight="1" ht="16.5">
      <c r="A92" s="1183"/>
      <c r="B92" s="924"/>
      <c r="C92" s="1461"/>
      <c r="D92" s="1461"/>
      <c r="E92" s="794">
        <v>17.1</v>
      </c>
      <c r="F92" s="919" cm="1" t="str">
        <f t="array" ref="F92:F92">OFFSET(G92,-1,-1)</f>
        <v>2</v>
      </c>
      <c r="G92" s="1461"/>
      <c r="H92" s="172" t="s">
        <v>512</v>
      </c>
      <c r="I92" s="1461"/>
      <c r="J92" s="1461"/>
      <c r="K92" s="1461"/>
      <c r="L92" s="1461"/>
      <c r="M92" s="1461"/>
      <c r="N92" s="1461"/>
      <c r="O92" s="1461"/>
      <c r="P92" s="1461"/>
      <c r="Q92" s="919"/>
      <c r="R92" s="919"/>
      <c r="S92" s="1461"/>
      <c r="T92" s="1461"/>
      <c r="U92" s="920">
        <f>F92&gt;0</f>
        <v>1</v>
      </c>
      <c r="V92" s="1461"/>
      <c r="W92" s="1461"/>
      <c r="X92" s="1461"/>
      <c r="Y92" s="1461"/>
      <c r="Z92" s="1461"/>
      <c r="AA92" s="217"/>
      <c r="AB92" s="832">
        <v>6</v>
      </c>
      <c r="AC92" s="841" t="s">
        <v>513</v>
      </c>
      <c r="AD92" s="840" t="s">
        <v>490</v>
      </c>
      <c r="AE92" s="1715"/>
      <c r="AF92" s="366"/>
      <c r="AG92" s="366"/>
      <c r="AH92" s="366"/>
      <c r="AI92" s="366"/>
      <c r="AJ92" s="1715"/>
      <c r="AK92" s="1715"/>
      <c r="AL92" s="1715"/>
      <c r="AM92" s="1715"/>
      <c r="AN92" s="1715"/>
      <c r="AO92" s="366"/>
      <c r="AP92" s="366"/>
      <c r="AQ92" s="366"/>
      <c r="AR92" s="366"/>
      <c r="AS92" s="366"/>
      <c r="AT92" s="1715"/>
      <c r="AU92" s="1715"/>
      <c r="AV92" s="1715"/>
      <c r="AW92" s="1715"/>
      <c r="AX92" s="1715"/>
      <c r="AY92" s="217"/>
      <c r="AZ92" s="217"/>
      <c r="BA92" s="1158" t="s">
        <v>514</v>
      </c>
      <c r="BB92" s="1212"/>
      <c r="BC92" s="1212"/>
      <c r="BD92" s="1162"/>
      <c r="BE92" s="1162"/>
    </row>
    <row s="1619" customFormat="1" customHeight="1" ht="16.5">
      <c r="A93" s="1183"/>
      <c r="B93" s="924"/>
      <c r="C93" s="1461"/>
      <c r="D93" s="1461"/>
      <c r="E93" s="794">
        <v>17.1</v>
      </c>
      <c r="F93" s="919" cm="1" t="str">
        <f t="array" ref="F93:F93">OFFSET(G93,-1,-1)</f>
        <v>2</v>
      </c>
      <c r="G93" s="1461"/>
      <c r="H93" s="172" t="s">
        <v>515</v>
      </c>
      <c r="I93" s="1461"/>
      <c r="J93" s="1461"/>
      <c r="K93" s="1461"/>
      <c r="L93" s="1461"/>
      <c r="M93" s="1461"/>
      <c r="N93" s="1461"/>
      <c r="O93" s="1461"/>
      <c r="P93" s="1461"/>
      <c r="Q93" s="919"/>
      <c r="R93" s="919"/>
      <c r="S93" s="1461"/>
      <c r="T93" s="1461"/>
      <c r="U93" s="920">
        <f>F93&gt;0</f>
        <v>1</v>
      </c>
      <c r="V93" s="1461"/>
      <c r="W93" s="1461"/>
      <c r="X93" s="1461"/>
      <c r="Y93" s="1461"/>
      <c r="Z93" s="1461"/>
      <c r="AA93" s="217"/>
      <c r="AB93" s="832">
        <v>7</v>
      </c>
      <c r="AC93" s="841" t="s">
        <v>516</v>
      </c>
      <c r="AD93" s="840" t="s">
        <v>490</v>
      </c>
      <c r="AE93" s="1715"/>
      <c r="AF93" s="366"/>
      <c r="AG93" s="366"/>
      <c r="AH93" s="366"/>
      <c r="AI93" s="366"/>
      <c r="AJ93" s="1715"/>
      <c r="AK93" s="1715"/>
      <c r="AL93" s="1715"/>
      <c r="AM93" s="1715"/>
      <c r="AN93" s="1715"/>
      <c r="AO93" s="366"/>
      <c r="AP93" s="366"/>
      <c r="AQ93" s="366"/>
      <c r="AR93" s="366"/>
      <c r="AS93" s="366"/>
      <c r="AT93" s="1715"/>
      <c r="AU93" s="1715"/>
      <c r="AV93" s="1715"/>
      <c r="AW93" s="1715"/>
      <c r="AX93" s="1715"/>
      <c r="AY93" s="217"/>
      <c r="AZ93" s="217"/>
      <c r="BA93" s="1158" t="s">
        <v>517</v>
      </c>
      <c r="BB93" s="1212"/>
      <c r="BC93" s="1212"/>
      <c r="BD93" s="1162"/>
      <c r="BE93" s="1162"/>
    </row>
    <row s="1619" customFormat="1" customHeight="1" ht="16.5">
      <c r="A94" s="1183"/>
      <c r="B94" s="924"/>
      <c r="C94" s="1461"/>
      <c r="D94" s="1461"/>
      <c r="E94" s="794">
        <v>17.1</v>
      </c>
      <c r="F94" s="919" cm="1" t="str">
        <f t="array" ref="F94:F94">OFFSET(G94,-1,-1)</f>
        <v>2</v>
      </c>
      <c r="G94" s="1461"/>
      <c r="H94" s="172" t="s">
        <v>518</v>
      </c>
      <c r="I94" s="1461"/>
      <c r="J94" s="1461"/>
      <c r="K94" s="1461"/>
      <c r="L94" s="1461"/>
      <c r="M94" s="1461"/>
      <c r="N94" s="1461"/>
      <c r="O94" s="1461"/>
      <c r="P94" s="1461"/>
      <c r="Q94" s="919"/>
      <c r="R94" s="919"/>
      <c r="S94" s="1461"/>
      <c r="T94" s="1461"/>
      <c r="U94" s="920">
        <f>F94&gt;0</f>
        <v>1</v>
      </c>
      <c r="V94" s="1461"/>
      <c r="W94" s="1461"/>
      <c r="X94" s="1461"/>
      <c r="Y94" s="1461"/>
      <c r="Z94" s="1461"/>
      <c r="AA94" s="217"/>
      <c r="AB94" s="832">
        <v>8</v>
      </c>
      <c r="AC94" s="841" t="s">
        <v>519</v>
      </c>
      <c r="AD94" s="840" t="s">
        <v>490</v>
      </c>
      <c r="AE94" s="1715"/>
      <c r="AF94" s="366"/>
      <c r="AG94" s="366"/>
      <c r="AH94" s="366"/>
      <c r="AI94" s="366"/>
      <c r="AJ94" s="1715"/>
      <c r="AK94" s="1715"/>
      <c r="AL94" s="1715"/>
      <c r="AM94" s="1715"/>
      <c r="AN94" s="1715"/>
      <c r="AO94" s="366"/>
      <c r="AP94" s="366"/>
      <c r="AQ94" s="366"/>
      <c r="AR94" s="366"/>
      <c r="AS94" s="366"/>
      <c r="AT94" s="1715"/>
      <c r="AU94" s="1715"/>
      <c r="AV94" s="1715"/>
      <c r="AW94" s="1715"/>
      <c r="AX94" s="1715"/>
      <c r="AY94" s="217"/>
      <c r="AZ94" s="217"/>
      <c r="BA94" s="1158" t="s">
        <v>520</v>
      </c>
      <c r="BB94" s="1212"/>
      <c r="BC94" s="1212"/>
      <c r="BD94" s="1162"/>
      <c r="BE94" s="1162"/>
    </row>
    <row s="1619" customFormat="1" customHeight="1" ht="16.5">
      <c r="A95" s="1183"/>
      <c r="B95" s="924"/>
      <c r="C95" s="1461"/>
      <c r="D95" s="1461"/>
      <c r="E95" s="794">
        <v>17.1</v>
      </c>
      <c r="F95" s="919" cm="1" t="str">
        <f t="array" ref="F95:F95">OFFSET(G95,-1,-1)</f>
        <v>2</v>
      </c>
      <c r="G95" s="1461"/>
      <c r="H95" s="172" t="s">
        <v>521</v>
      </c>
      <c r="I95" s="1461"/>
      <c r="J95" s="1461"/>
      <c r="K95" s="1461"/>
      <c r="L95" s="1461"/>
      <c r="M95" s="1461"/>
      <c r="N95" s="1461"/>
      <c r="O95" s="1461"/>
      <c r="P95" s="1461"/>
      <c r="Q95" s="919"/>
      <c r="R95" s="919"/>
      <c r="S95" s="1461"/>
      <c r="T95" s="1461"/>
      <c r="U95" s="920">
        <f>F95&gt;0</f>
        <v>1</v>
      </c>
      <c r="V95" s="1461"/>
      <c r="W95" s="1461"/>
      <c r="X95" s="1461"/>
      <c r="Y95" s="1461"/>
      <c r="Z95" s="1461"/>
      <c r="AA95" s="217"/>
      <c r="AB95" s="832">
        <v>9</v>
      </c>
      <c r="AC95" s="841" t="s">
        <v>522</v>
      </c>
      <c r="AD95" s="169" t="s">
        <v>523</v>
      </c>
      <c r="AE95" s="1715">
        <f>7900</f>
        <v>7900</v>
      </c>
      <c r="AF95" s="366">
        <f>7900</f>
        <v>7900</v>
      </c>
      <c r="AG95" s="366">
        <f>7900</f>
        <v>7900</v>
      </c>
      <c r="AH95" s="366">
        <f>7900</f>
        <v>7900</v>
      </c>
      <c r="AI95" s="366">
        <f>7900</f>
        <v>7900</v>
      </c>
      <c r="AJ95" s="1715">
        <f>7900</f>
        <v>7900</v>
      </c>
      <c r="AK95" s="1715">
        <f>7900</f>
        <v>7900</v>
      </c>
      <c r="AL95" s="1715">
        <f>7900</f>
        <v>7900</v>
      </c>
      <c r="AM95" s="1715">
        <f>7900</f>
        <v>7900</v>
      </c>
      <c r="AN95" s="1715">
        <f>7900</f>
        <v>7900</v>
      </c>
      <c r="AO95" s="366">
        <f>7900</f>
        <v>7900</v>
      </c>
      <c r="AP95" s="366">
        <f>7900</f>
        <v>7900</v>
      </c>
      <c r="AQ95" s="366">
        <f>7900</f>
        <v>7900</v>
      </c>
      <c r="AR95" s="366">
        <f>7900</f>
        <v>7900</v>
      </c>
      <c r="AS95" s="366">
        <f>7900</f>
        <v>7900</v>
      </c>
      <c r="AT95" s="1715">
        <f>7900</f>
        <v>7900</v>
      </c>
      <c r="AU95" s="1715">
        <f>7900</f>
        <v>7900</v>
      </c>
      <c r="AV95" s="1715">
        <f>7900</f>
        <v>7900</v>
      </c>
      <c r="AW95" s="1715">
        <f>7900</f>
        <v>7900</v>
      </c>
      <c r="AX95" s="1715">
        <f>7900</f>
        <v>7900</v>
      </c>
      <c r="AY95" s="217"/>
      <c r="AZ95" s="217"/>
      <c r="BA95" s="1158" t="s">
        <v>524</v>
      </c>
      <c r="BB95" s="1212"/>
      <c r="BC95" s="1212"/>
      <c r="BD95" s="1162"/>
      <c r="BE95" s="1162"/>
    </row>
    <row s="1619" customFormat="1" customHeight="1" ht="16.5">
      <c r="A96" s="1183"/>
      <c r="B96" s="924"/>
      <c r="C96" s="1461"/>
      <c r="D96" s="1461"/>
      <c r="E96" s="794">
        <v>17.1</v>
      </c>
      <c r="F96" s="919" cm="1" t="str">
        <f t="array" ref="F96:F96">OFFSET(G96,-1,-1)</f>
        <v>2</v>
      </c>
      <c r="G96" s="1461"/>
      <c r="H96" s="172" t="s">
        <v>525</v>
      </c>
      <c r="I96" s="1461"/>
      <c r="J96" s="1461"/>
      <c r="K96" s="1461"/>
      <c r="L96" s="1461"/>
      <c r="M96" s="1461"/>
      <c r="N96" s="1461"/>
      <c r="O96" s="1461"/>
      <c r="P96" s="1461"/>
      <c r="Q96" s="919"/>
      <c r="R96" s="919"/>
      <c r="S96" s="1461"/>
      <c r="T96" s="1461"/>
      <c r="U96" s="920">
        <f>F96&gt;0</f>
        <v>1</v>
      </c>
      <c r="V96" s="1461"/>
      <c r="W96" s="1461"/>
      <c r="X96" s="1461"/>
      <c r="Y96" s="1461"/>
      <c r="Z96" s="1461"/>
      <c r="AA96" s="217"/>
      <c r="AB96" s="832">
        <v>10</v>
      </c>
      <c r="AC96" s="841" t="s">
        <v>526</v>
      </c>
      <c r="AD96" s="169" t="s">
        <v>527</v>
      </c>
      <c r="AE96" s="1715"/>
      <c r="AF96" s="366"/>
      <c r="AG96" s="366"/>
      <c r="AH96" s="366"/>
      <c r="AI96" s="366"/>
      <c r="AJ96" s="1715"/>
      <c r="AK96" s="1715"/>
      <c r="AL96" s="1715"/>
      <c r="AM96" s="1715"/>
      <c r="AN96" s="1715"/>
      <c r="AO96" s="366"/>
      <c r="AP96" s="366"/>
      <c r="AQ96" s="366"/>
      <c r="AR96" s="366"/>
      <c r="AS96" s="366"/>
      <c r="AT96" s="1715"/>
      <c r="AU96" s="1715"/>
      <c r="AV96" s="1715"/>
      <c r="AW96" s="1715"/>
      <c r="AX96" s="1715"/>
      <c r="AY96" s="217"/>
      <c r="AZ96" s="217"/>
      <c r="BA96" s="1158" t="s">
        <v>528</v>
      </c>
      <c r="BB96" s="1212"/>
      <c r="BC96" s="1212"/>
      <c r="BD96" s="1162"/>
      <c r="BE96" s="1162"/>
    </row>
    <row s="1619" customFormat="1" customHeight="1" ht="16.5">
      <c r="A97" s="1183"/>
      <c r="B97" s="924"/>
      <c r="C97" s="1461"/>
      <c r="D97" s="1461"/>
      <c r="E97" s="794">
        <v>17.1</v>
      </c>
      <c r="F97" s="919" cm="1" t="str">
        <f t="array" ref="F97:F97">OFFSET(G97,-1,-1)</f>
        <v>2</v>
      </c>
      <c r="G97" s="1461"/>
      <c r="H97" s="172" t="s">
        <v>529</v>
      </c>
      <c r="I97" s="1461"/>
      <c r="J97" s="1461"/>
      <c r="K97" s="1461"/>
      <c r="L97" s="1461"/>
      <c r="M97" s="1461"/>
      <c r="N97" s="1461"/>
      <c r="O97" s="1461"/>
      <c r="P97" s="1461"/>
      <c r="Q97" s="919"/>
      <c r="R97" s="919"/>
      <c r="S97" s="1461"/>
      <c r="T97" s="1461"/>
      <c r="U97" s="920">
        <f>F97&gt;0</f>
        <v>1</v>
      </c>
      <c r="V97" s="1461"/>
      <c r="W97" s="1461"/>
      <c r="X97" s="1461"/>
      <c r="Y97" s="1461"/>
      <c r="Z97" s="1461"/>
      <c r="AA97" s="217"/>
      <c r="AB97" s="832">
        <v>11</v>
      </c>
      <c r="AC97" s="841" t="s">
        <v>530</v>
      </c>
      <c r="AD97" s="169" t="s">
        <v>531</v>
      </c>
      <c r="AE97" s="1715">
        <f>7000</f>
        <v>7000</v>
      </c>
      <c r="AF97" s="366">
        <f>7000</f>
        <v>7000</v>
      </c>
      <c r="AG97" s="366">
        <f>7000</f>
        <v>7000</v>
      </c>
      <c r="AH97" s="366">
        <f>7000</f>
        <v>7000</v>
      </c>
      <c r="AI97" s="366">
        <f>7000</f>
        <v>7000</v>
      </c>
      <c r="AJ97" s="1715">
        <f>7000</f>
        <v>7000</v>
      </c>
      <c r="AK97" s="1715">
        <f>7000</f>
        <v>7000</v>
      </c>
      <c r="AL97" s="1715">
        <f>7000</f>
        <v>7000</v>
      </c>
      <c r="AM97" s="1715">
        <f>7000</f>
        <v>7000</v>
      </c>
      <c r="AN97" s="1715">
        <f>7000</f>
        <v>7000</v>
      </c>
      <c r="AO97" s="366">
        <f>7000</f>
        <v>7000</v>
      </c>
      <c r="AP97" s="366">
        <f>7000</f>
        <v>7000</v>
      </c>
      <c r="AQ97" s="366">
        <f>7000</f>
        <v>7000</v>
      </c>
      <c r="AR97" s="366">
        <f>7000</f>
        <v>7000</v>
      </c>
      <c r="AS97" s="366">
        <f>7000</f>
        <v>7000</v>
      </c>
      <c r="AT97" s="1715">
        <f>7000</f>
        <v>7000</v>
      </c>
      <c r="AU97" s="1715">
        <f>7000</f>
        <v>7000</v>
      </c>
      <c r="AV97" s="1715">
        <f>7000</f>
        <v>7000</v>
      </c>
      <c r="AW97" s="1715">
        <f>7000</f>
        <v>7000</v>
      </c>
      <c r="AX97" s="1715">
        <f>7000</f>
        <v>7000</v>
      </c>
      <c r="AY97" s="217"/>
      <c r="AZ97" s="217"/>
      <c r="BA97" s="1158" t="s">
        <v>532</v>
      </c>
      <c r="BB97" s="1212"/>
      <c r="BC97" s="1212"/>
      <c r="BD97" s="1162"/>
      <c r="BE97" s="1162"/>
    </row>
    <row s="1619" customFormat="1" customHeight="1" ht="16.5">
      <c r="A98" s="1183"/>
      <c r="B98" s="924"/>
      <c r="C98" s="1461"/>
      <c r="D98" s="1461"/>
      <c r="E98" s="794">
        <v>17.1</v>
      </c>
      <c r="F98" s="919" cm="1" t="str">
        <f t="array" ref="F98:F98">OFFSET(G98,-1,-1)</f>
        <v>2</v>
      </c>
      <c r="G98" s="1461"/>
      <c r="H98" s="172" t="s">
        <v>533</v>
      </c>
      <c r="I98" s="1461"/>
      <c r="J98" s="1461"/>
      <c r="K98" s="1461"/>
      <c r="L98" s="1461"/>
      <c r="M98" s="1461"/>
      <c r="N98" s="1461"/>
      <c r="O98" s="1461"/>
      <c r="P98" s="1461"/>
      <c r="Q98" s="919"/>
      <c r="R98" s="919"/>
      <c r="S98" s="1461"/>
      <c r="T98" s="1461"/>
      <c r="U98" s="920">
        <f>F98&gt;0</f>
        <v>1</v>
      </c>
      <c r="V98" s="1461"/>
      <c r="W98" s="1461"/>
      <c r="X98" s="1461"/>
      <c r="Y98" s="1461"/>
      <c r="Z98" s="1461"/>
      <c r="AA98" s="217"/>
      <c r="AB98" s="832">
        <v>12</v>
      </c>
      <c r="AC98" s="841" t="s">
        <v>534</v>
      </c>
      <c r="AD98" s="840" t="s">
        <v>490</v>
      </c>
      <c r="AE98" s="1715"/>
      <c r="AF98" s="366">
        <v>4.4</v>
      </c>
      <c r="AG98" s="366">
        <v>2.7</v>
      </c>
      <c r="AH98" s="366">
        <v>2.7</v>
      </c>
      <c r="AI98" s="366">
        <v>2.7</v>
      </c>
      <c r="AJ98" s="1715"/>
      <c r="AK98" s="1715"/>
      <c r="AL98" s="1715"/>
      <c r="AM98" s="1715"/>
      <c r="AN98" s="1715"/>
      <c r="AO98" s="366">
        <v>1.5</v>
      </c>
      <c r="AP98" s="366">
        <v>4.4</v>
      </c>
      <c r="AQ98" s="366">
        <v>2.7</v>
      </c>
      <c r="AR98" s="366">
        <v>2.7</v>
      </c>
      <c r="AS98" s="366">
        <v>2.7</v>
      </c>
      <c r="AT98" s="1715"/>
      <c r="AU98" s="1715"/>
      <c r="AV98" s="1715"/>
      <c r="AW98" s="1715"/>
      <c r="AX98" s="1715"/>
      <c r="AY98" s="217"/>
      <c r="AZ98" s="217"/>
      <c r="BA98" s="1158" t="s">
        <v>535</v>
      </c>
      <c r="BB98" s="1212"/>
      <c r="BC98" s="1212"/>
      <c r="BD98" s="1162"/>
      <c r="BE98" s="1162"/>
    </row>
    <row s="1619" customFormat="1" customHeight="1" ht="16.5">
      <c r="A99" s="1183"/>
      <c r="B99" s="924"/>
      <c r="C99" s="1461"/>
      <c r="D99" s="1461"/>
      <c r="E99" s="794">
        <v>17.1</v>
      </c>
      <c r="F99" s="919" cm="1" t="str">
        <f t="array" ref="F99:F99">OFFSET(G99,-1,-1)</f>
        <v>2</v>
      </c>
      <c r="G99" s="1461"/>
      <c r="H99" s="172" t="s">
        <v>536</v>
      </c>
      <c r="I99" s="1461"/>
      <c r="J99" s="1461"/>
      <c r="K99" s="1461"/>
      <c r="L99" s="1461"/>
      <c r="M99" s="1461"/>
      <c r="N99" s="1461"/>
      <c r="O99" s="1461"/>
      <c r="P99" s="1461"/>
      <c r="Q99" s="919"/>
      <c r="R99" s="919"/>
      <c r="S99" s="1461"/>
      <c r="T99" s="1461"/>
      <c r="U99" s="920">
        <f>F99&gt;0</f>
        <v>1</v>
      </c>
      <c r="V99" s="1461"/>
      <c r="W99" s="1461"/>
      <c r="X99" s="1461"/>
      <c r="Y99" s="1461"/>
      <c r="Z99" s="1461"/>
      <c r="AA99" s="217"/>
      <c r="AB99" s="832">
        <v>13</v>
      </c>
      <c r="AC99" s="841" t="s">
        <v>537</v>
      </c>
      <c r="AD99" s="840" t="s">
        <v>490</v>
      </c>
      <c r="AE99" s="1715"/>
      <c r="AF99" s="366"/>
      <c r="AG99" s="366"/>
      <c r="AH99" s="366"/>
      <c r="AI99" s="366"/>
      <c r="AJ99" s="1715"/>
      <c r="AK99" s="1715"/>
      <c r="AL99" s="1715"/>
      <c r="AM99" s="1715"/>
      <c r="AN99" s="1715"/>
      <c r="AO99" s="366"/>
      <c r="AP99" s="366"/>
      <c r="AQ99" s="366"/>
      <c r="AR99" s="366"/>
      <c r="AS99" s="366"/>
      <c r="AT99" s="1715"/>
      <c r="AU99" s="1715"/>
      <c r="AV99" s="1715"/>
      <c r="AW99" s="1715"/>
      <c r="AX99" s="1715"/>
      <c r="AY99" s="217"/>
      <c r="AZ99" s="217"/>
      <c r="BA99" s="1158" t="s">
        <v>538</v>
      </c>
      <c r="BB99" s="1212"/>
      <c r="BC99" s="1212"/>
      <c r="BD99" s="1162"/>
      <c r="BE99" s="1162"/>
    </row>
    <row s="1619" customFormat="1" customHeight="1" ht="16.5">
      <c r="A100" s="1183"/>
      <c r="B100" s="924"/>
      <c r="C100" s="1461"/>
      <c r="D100" s="1461"/>
      <c r="E100" s="794">
        <v>17.1</v>
      </c>
      <c r="F100" s="919" cm="1" t="str">
        <f t="array" ref="F100:F100">OFFSET(G100,-1,-1)</f>
        <v>2</v>
      </c>
      <c r="G100" s="1461"/>
      <c r="H100" s="172" t="s">
        <v>539</v>
      </c>
      <c r="I100" s="1461"/>
      <c r="J100" s="1461"/>
      <c r="K100" s="1461"/>
      <c r="L100" s="1461"/>
      <c r="M100" s="1461"/>
      <c r="N100" s="1461"/>
      <c r="O100" s="1461"/>
      <c r="P100" s="1461"/>
      <c r="Q100" s="919"/>
      <c r="R100" s="919"/>
      <c r="S100" s="1461"/>
      <c r="T100" s="1461"/>
      <c r="U100" s="920">
        <f>F100&gt;0</f>
        <v>1</v>
      </c>
      <c r="V100" s="1461"/>
      <c r="W100" s="1461"/>
      <c r="X100" s="1461"/>
      <c r="Y100" s="1461"/>
      <c r="Z100" s="1461"/>
      <c r="AA100" s="217"/>
      <c r="AB100" s="832">
        <v>14</v>
      </c>
      <c r="AC100" s="841" t="s">
        <v>540</v>
      </c>
      <c r="AD100" s="840" t="s">
        <v>490</v>
      </c>
      <c r="AE100" s="1715"/>
      <c r="AF100" s="366"/>
      <c r="AG100" s="366"/>
      <c r="AH100" s="366"/>
      <c r="AI100" s="366"/>
      <c r="AJ100" s="1715"/>
      <c r="AK100" s="1715"/>
      <c r="AL100" s="1715"/>
      <c r="AM100" s="1715"/>
      <c r="AN100" s="1715"/>
      <c r="AO100" s="366"/>
      <c r="AP100" s="366"/>
      <c r="AQ100" s="366"/>
      <c r="AR100" s="366"/>
      <c r="AS100" s="366"/>
      <c r="AT100" s="1715"/>
      <c r="AU100" s="1715"/>
      <c r="AV100" s="1715"/>
      <c r="AW100" s="1715"/>
      <c r="AX100" s="1715"/>
      <c r="AY100" s="217"/>
      <c r="AZ100" s="217"/>
      <c r="BA100" s="1158" t="s">
        <v>541</v>
      </c>
      <c r="BB100" s="1212"/>
      <c r="BC100" s="1212"/>
      <c r="BD100" s="1162"/>
      <c r="BE100" s="1162"/>
    </row>
    <row s="1619" customFormat="1" customHeight="1" ht="16.5">
      <c r="A101" s="1183"/>
      <c r="B101" s="924"/>
      <c r="C101" s="1461"/>
      <c r="D101" s="1461"/>
      <c r="E101" s="794">
        <v>17.1</v>
      </c>
      <c r="F101" s="919" cm="1" t="str">
        <f t="array" ref="F101:F101">OFFSET(G101,-1,-1)</f>
        <v>2</v>
      </c>
      <c r="G101" s="1461"/>
      <c r="H101" s="172" t="s">
        <v>542</v>
      </c>
      <c r="I101" s="1461"/>
      <c r="J101" s="1461"/>
      <c r="K101" s="1461"/>
      <c r="L101" s="1461"/>
      <c r="M101" s="1461"/>
      <c r="N101" s="1461"/>
      <c r="O101" s="1461"/>
      <c r="P101" s="1461"/>
      <c r="Q101" s="919"/>
      <c r="R101" s="919"/>
      <c r="S101" s="1461"/>
      <c r="T101" s="1461"/>
      <c r="U101" s="920">
        <f>F101&gt;0</f>
        <v>1</v>
      </c>
      <c r="V101" s="1461"/>
      <c r="W101" s="1461"/>
      <c r="X101" s="1461"/>
      <c r="Y101" s="1461"/>
      <c r="Z101" s="1461"/>
      <c r="AA101" s="217"/>
      <c r="AB101" s="832">
        <v>15</v>
      </c>
      <c r="AC101" s="841" t="s">
        <v>543</v>
      </c>
      <c r="AD101" s="840" t="s">
        <v>490</v>
      </c>
      <c r="AE101" s="1715"/>
      <c r="AF101" s="366"/>
      <c r="AG101" s="366"/>
      <c r="AH101" s="366"/>
      <c r="AI101" s="366"/>
      <c r="AJ101" s="1715"/>
      <c r="AK101" s="1715"/>
      <c r="AL101" s="1715"/>
      <c r="AM101" s="1715"/>
      <c r="AN101" s="1715"/>
      <c r="AO101" s="366"/>
      <c r="AP101" s="366"/>
      <c r="AQ101" s="366"/>
      <c r="AR101" s="366"/>
      <c r="AS101" s="366"/>
      <c r="AT101" s="1715"/>
      <c r="AU101" s="1715"/>
      <c r="AV101" s="1715"/>
      <c r="AW101" s="1715"/>
      <c r="AX101" s="1715"/>
      <c r="AY101" s="217"/>
      <c r="AZ101" s="217"/>
      <c r="BA101" s="1158" t="s">
        <v>544</v>
      </c>
      <c r="BB101" s="1212"/>
      <c r="BC101" s="1212"/>
      <c r="BD101" s="1162"/>
      <c r="BE101" s="1162"/>
    </row>
    <row s="1619" customFormat="1" customHeight="1" ht="16.5">
      <c r="A102" s="1183"/>
      <c r="B102" s="924"/>
      <c r="C102" s="1461"/>
      <c r="D102" s="1461"/>
      <c r="E102" s="794">
        <v>17.1</v>
      </c>
      <c r="F102" s="919" cm="1" t="str">
        <f t="array" ref="F102:F102">OFFSET(G102,-1,-1)</f>
        <v>2</v>
      </c>
      <c r="G102" s="919" t="s">
        <v>545</v>
      </c>
      <c r="H102" s="172" t="s">
        <v>546</v>
      </c>
      <c r="I102" s="1461"/>
      <c r="J102" s="1461"/>
      <c r="K102" s="1461"/>
      <c r="L102" s="1461"/>
      <c r="M102" s="1461"/>
      <c r="N102" s="1461"/>
      <c r="O102" s="1461"/>
      <c r="P102" s="1461"/>
      <c r="Q102" s="919"/>
      <c r="R102" s="919"/>
      <c r="S102" s="1461"/>
      <c r="T102" s="1461"/>
      <c r="U102" s="1056">
        <f>AND(F102&gt;0,method_reg&lt;&gt;"Метод экономически обоснованных расходов")</f>
        <v>1</v>
      </c>
      <c r="V102" s="1461"/>
      <c r="W102" s="1461"/>
      <c r="X102" s="1461"/>
      <c r="Y102" s="1461"/>
      <c r="Z102" s="1461"/>
      <c r="AA102" s="217"/>
      <c r="AB102" s="832">
        <v>16</v>
      </c>
      <c r="AC102" s="843" t="s">
        <v>547</v>
      </c>
      <c r="AD102" s="206"/>
      <c r="AE102" s="1715"/>
      <c r="AF102" s="366"/>
      <c r="AG102" s="366"/>
      <c r="AH102" s="366"/>
      <c r="AI102" s="366"/>
      <c r="AJ102" s="1715"/>
      <c r="AK102" s="1715"/>
      <c r="AL102" s="1715"/>
      <c r="AM102" s="1715"/>
      <c r="AN102" s="1715"/>
      <c r="AO102" s="366"/>
      <c r="AP102" s="366"/>
      <c r="AQ102" s="366"/>
      <c r="AR102" s="366"/>
      <c r="AS102" s="366"/>
      <c r="AT102" s="1715"/>
      <c r="AU102" s="1715"/>
      <c r="AV102" s="1715"/>
      <c r="AW102" s="1715"/>
      <c r="AX102" s="1715"/>
      <c r="AY102" s="217"/>
      <c r="AZ102" s="217"/>
      <c r="BA102" s="1158" t="s">
        <v>548</v>
      </c>
      <c r="BB102" s="1212"/>
      <c r="BC102" s="1212"/>
      <c r="BD102" s="1162"/>
      <c r="BE102" s="1162"/>
    </row>
    <row s="1619" customFormat="1" customHeight="1" ht="29.25">
      <c r="A103" s="1183"/>
      <c r="B103" s="924"/>
      <c r="C103" s="1461"/>
      <c r="D103" s="1461"/>
      <c r="E103" s="794">
        <v>30</v>
      </c>
      <c r="F103" s="919" cm="1" t="str">
        <f t="array" ref="F103:F103">OFFSET(G103,-1,-1)</f>
        <v>2</v>
      </c>
      <c r="G103" s="919" t="s">
        <v>549</v>
      </c>
      <c r="H103" s="172" t="s">
        <v>550</v>
      </c>
      <c r="I103" s="1461"/>
      <c r="J103" s="1461"/>
      <c r="K103" s="1461"/>
      <c r="L103" s="1461"/>
      <c r="M103" s="1461"/>
      <c r="N103" s="1461"/>
      <c r="O103" s="1461"/>
      <c r="P103" s="1461"/>
      <c r="Q103" s="919"/>
      <c r="R103" s="919"/>
      <c r="S103" s="1461"/>
      <c r="T103" s="1461"/>
      <c r="U103" s="1056">
        <f>AND(F103&gt;0,method_reg&lt;&gt;"Метод экономически обоснованных расходов")</f>
        <v>1</v>
      </c>
      <c r="V103" s="1461"/>
      <c r="W103" s="1461"/>
      <c r="X103" s="1461"/>
      <c r="Y103" s="1461"/>
      <c r="Z103" s="1461"/>
      <c r="AA103" s="217"/>
      <c r="AB103" s="832">
        <v>17</v>
      </c>
      <c r="AC103" s="207" t="s">
        <v>551</v>
      </c>
      <c r="AD103" s="833"/>
      <c r="AE103" s="1715">
        <f>0.75</f>
        <v>0.75</v>
      </c>
      <c r="AF103" s="366">
        <f>0.75</f>
        <v>0.75</v>
      </c>
      <c r="AG103" s="366">
        <f>0.75</f>
        <v>0.75</v>
      </c>
      <c r="AH103" s="366">
        <f>0.75</f>
        <v>0.75</v>
      </c>
      <c r="AI103" s="366">
        <f>0.75</f>
        <v>0.75</v>
      </c>
      <c r="AJ103" s="1715">
        <f>0.75</f>
        <v>0.75</v>
      </c>
      <c r="AK103" s="1715">
        <f>0.75</f>
        <v>0.75</v>
      </c>
      <c r="AL103" s="1715">
        <f>0.75</f>
        <v>0.75</v>
      </c>
      <c r="AM103" s="1715">
        <f>0.75</f>
        <v>0.75</v>
      </c>
      <c r="AN103" s="1715">
        <f>0.75</f>
        <v>0.75</v>
      </c>
      <c r="AO103" s="366">
        <f>0.75</f>
        <v>0.75</v>
      </c>
      <c r="AP103" s="366">
        <f>0.75</f>
        <v>0.75</v>
      </c>
      <c r="AQ103" s="366">
        <f>0.75</f>
        <v>0.75</v>
      </c>
      <c r="AR103" s="366">
        <f>0.75</f>
        <v>0.75</v>
      </c>
      <c r="AS103" s="366">
        <f>0.75</f>
        <v>0.75</v>
      </c>
      <c r="AT103" s="1715">
        <f>0.75</f>
        <v>0.75</v>
      </c>
      <c r="AU103" s="1715">
        <f>0.75</f>
        <v>0.75</v>
      </c>
      <c r="AV103" s="1715">
        <f>0.75</f>
        <v>0.75</v>
      </c>
      <c r="AW103" s="1715">
        <f>0.75</f>
        <v>0.75</v>
      </c>
      <c r="AX103" s="1715">
        <f>0.75</f>
        <v>0.75</v>
      </c>
      <c r="AY103" s="217"/>
      <c r="AZ103" s="217"/>
      <c r="BA103" s="1158" t="s">
        <v>552</v>
      </c>
      <c r="BB103" s="1212"/>
      <c r="BC103" s="1212"/>
      <c r="BD103" s="1162"/>
      <c r="BE103" s="1162"/>
    </row>
    <row s="1619" customFormat="1" customHeight="1" ht="16.5">
      <c r="A104" s="1183"/>
      <c r="B104" s="924"/>
      <c r="C104" s="1461"/>
      <c r="D104" s="1461"/>
      <c r="E104" s="794">
        <v>17.1</v>
      </c>
      <c r="F104" s="919" cm="1" t="str">
        <f t="array" ref="F104:F104">OFFSET(G104,-1,-1)</f>
        <v>2</v>
      </c>
      <c r="G104" s="1461"/>
      <c r="H104" s="1461"/>
      <c r="I104" s="1461"/>
      <c r="J104" s="1461"/>
      <c r="K104" s="1461"/>
      <c r="L104" s="1461"/>
      <c r="M104" s="1461"/>
      <c r="N104" s="1461"/>
      <c r="O104" s="1461"/>
      <c r="P104" s="1461"/>
      <c r="Q104" s="919"/>
      <c r="R104" s="919"/>
      <c r="S104" s="1461"/>
      <c r="T104" s="1461"/>
      <c r="U104" s="920">
        <f>F104&gt;0</f>
        <v>1</v>
      </c>
      <c r="V104" s="1461"/>
      <c r="W104" s="1461"/>
      <c r="X104" s="1461"/>
      <c r="Y104" s="1461"/>
      <c r="Z104" s="1461"/>
      <c r="AA104" s="217"/>
      <c r="AB104" s="1050" t="s">
        <v>553</v>
      </c>
      <c r="AC104" s="345" t="s">
        <v>554</v>
      </c>
      <c r="AD104" s="346"/>
      <c r="AE104" s="348"/>
      <c r="AF104" s="348"/>
      <c r="AG104" s="348"/>
      <c r="AH104" s="348"/>
      <c r="AI104" s="348"/>
      <c r="AJ104" s="348"/>
      <c r="AK104" s="348"/>
      <c r="AL104" s="348"/>
      <c r="AM104" s="348"/>
      <c r="AN104" s="348"/>
      <c r="AO104" s="348"/>
      <c r="AP104" s="348"/>
      <c r="AQ104" s="348"/>
      <c r="AR104" s="348"/>
      <c r="AS104" s="348"/>
      <c r="AT104" s="348"/>
      <c r="AU104" s="348"/>
      <c r="AV104" s="348"/>
      <c r="AW104" s="348"/>
      <c r="AX104" s="348"/>
      <c r="AY104" s="217"/>
      <c r="AZ104" s="217"/>
      <c r="BA104" s="1212"/>
      <c r="BB104" s="1212"/>
      <c r="BC104" s="1212"/>
      <c r="BD104" s="1162"/>
      <c r="BE104" s="1162"/>
    </row>
    <row s="1619" customFormat="1" customHeight="1" ht="16.5">
      <c r="A105" s="1183"/>
      <c r="B105" s="924"/>
      <c r="C105" s="1461"/>
      <c r="D105" s="1461"/>
      <c r="E105" s="794">
        <v>17.1</v>
      </c>
      <c r="F105" s="919" cm="1" t="str">
        <f t="array" ref="F105:F105">OFFSET(G105,-1,-1)</f>
        <v>2</v>
      </c>
      <c r="G105" s="919" t="s">
        <v>555</v>
      </c>
      <c r="H105" s="172" t="s">
        <v>556</v>
      </c>
      <c r="I105" s="1461"/>
      <c r="J105" s="1461"/>
      <c r="K105" s="1461"/>
      <c r="L105" s="1461"/>
      <c r="M105" s="1461"/>
      <c r="N105" s="1461"/>
      <c r="O105" s="1461"/>
      <c r="P105" s="1461"/>
      <c r="Q105" s="919"/>
      <c r="R105" s="919"/>
      <c r="S105" s="1461"/>
      <c r="T105" s="1461"/>
      <c r="U105" s="920">
        <f>F105&gt;0</f>
        <v>1</v>
      </c>
      <c r="V105" s="1461"/>
      <c r="W105" s="1461"/>
      <c r="X105" s="1461"/>
      <c r="Y105" s="1461"/>
      <c r="Z105" s="1461"/>
      <c r="AA105" s="217"/>
      <c r="AB105" s="477" t="s">
        <v>557</v>
      </c>
      <c r="AC105" s="205" t="s">
        <v>558</v>
      </c>
      <c r="AD105" s="206" t="s">
        <v>490</v>
      </c>
      <c r="AE105" s="1715"/>
      <c r="AF105" s="366">
        <v>30.4</v>
      </c>
      <c r="AG105" s="366">
        <v>30.4</v>
      </c>
      <c r="AH105" s="366">
        <v>30.4</v>
      </c>
      <c r="AI105" s="366">
        <v>30.4</v>
      </c>
      <c r="AJ105" s="1715">
        <v>30.4</v>
      </c>
      <c r="AK105" s="1715">
        <v>30.4</v>
      </c>
      <c r="AL105" s="1715">
        <v>30.4</v>
      </c>
      <c r="AM105" s="1715">
        <v>30.4</v>
      </c>
      <c r="AN105" s="1715">
        <v>30.4</v>
      </c>
      <c r="AO105" s="366">
        <v>30.4</v>
      </c>
      <c r="AP105" s="366">
        <v>30.4</v>
      </c>
      <c r="AQ105" s="366">
        <v>30.4</v>
      </c>
      <c r="AR105" s="366">
        <v>30.4</v>
      </c>
      <c r="AS105" s="366">
        <v>30.4</v>
      </c>
      <c r="AT105" s="1715"/>
      <c r="AU105" s="1715"/>
      <c r="AV105" s="1715"/>
      <c r="AW105" s="1715"/>
      <c r="AX105" s="1715"/>
      <c r="AY105" s="217"/>
      <c r="AZ105" s="217"/>
      <c r="BA105" s="1158" t="s">
        <v>559</v>
      </c>
      <c r="BB105" s="1212"/>
      <c r="BC105" s="1212"/>
      <c r="BD105" s="1162"/>
      <c r="BE105" s="1162"/>
    </row>
    <row s="1619" customFormat="1" customHeight="1" ht="16.5">
      <c r="A106" s="1183"/>
      <c r="B106" s="924"/>
      <c r="C106" s="1461"/>
      <c r="D106" s="1461"/>
      <c r="E106" s="794">
        <v>17.1</v>
      </c>
      <c r="F106" s="919" cm="1" t="str">
        <f t="array" ref="F106:F106">OFFSET(G106,-1,-1)</f>
        <v>2</v>
      </c>
      <c r="G106" s="1461"/>
      <c r="H106" s="172" t="s">
        <v>560</v>
      </c>
      <c r="I106" s="1461"/>
      <c r="J106" s="1461"/>
      <c r="K106" s="1461"/>
      <c r="L106" s="1461"/>
      <c r="M106" s="1461"/>
      <c r="N106" s="1461"/>
      <c r="O106" s="1461"/>
      <c r="P106" s="1461"/>
      <c r="Q106" s="919"/>
      <c r="R106" s="919"/>
      <c r="S106" s="1461"/>
      <c r="T106" s="1461"/>
      <c r="U106" s="920">
        <f>F106&gt;0</f>
        <v>1</v>
      </c>
      <c r="V106" s="1461"/>
      <c r="W106" s="1461"/>
      <c r="X106" s="1461"/>
      <c r="Y106" s="1461"/>
      <c r="Z106" s="1461"/>
      <c r="AA106" s="217"/>
      <c r="AB106" s="477" t="s">
        <v>561</v>
      </c>
      <c r="AC106" s="207" t="s">
        <v>562</v>
      </c>
      <c r="AD106" s="206" t="s">
        <v>490</v>
      </c>
      <c r="AE106" s="1715"/>
      <c r="AF106" s="366">
        <v>2.2</v>
      </c>
      <c r="AG106" s="366">
        <v>2.2</v>
      </c>
      <c r="AH106" s="366">
        <v>2.2</v>
      </c>
      <c r="AI106" s="366">
        <v>2.2</v>
      </c>
      <c r="AJ106" s="1715">
        <v>2.2</v>
      </c>
      <c r="AK106" s="1715">
        <v>2.2</v>
      </c>
      <c r="AL106" s="1715">
        <v>2.2</v>
      </c>
      <c r="AM106" s="1715">
        <v>2.2</v>
      </c>
      <c r="AN106" s="1715">
        <v>2.2</v>
      </c>
      <c r="AO106" s="366">
        <v>2.2</v>
      </c>
      <c r="AP106" s="366">
        <v>2.2</v>
      </c>
      <c r="AQ106" s="366">
        <v>2.2</v>
      </c>
      <c r="AR106" s="366">
        <v>2.2</v>
      </c>
      <c r="AS106" s="366">
        <v>2.2</v>
      </c>
      <c r="AT106" s="1715"/>
      <c r="AU106" s="1715"/>
      <c r="AV106" s="1715"/>
      <c r="AW106" s="1715"/>
      <c r="AX106" s="1715"/>
      <c r="AY106" s="217"/>
      <c r="AZ106" s="217"/>
      <c r="BA106" s="1158" t="s">
        <v>563</v>
      </c>
      <c r="BB106" s="1212"/>
      <c r="BC106" s="1212"/>
      <c r="BD106" s="1162"/>
      <c r="BE106" s="1162"/>
    </row>
    <row s="1619" customFormat="1" customHeight="1" ht="16.5">
      <c r="A107" s="1183"/>
      <c r="B107" s="924"/>
      <c r="C107" s="1461"/>
      <c r="D107" s="1461"/>
      <c r="E107" s="794">
        <v>17.1</v>
      </c>
      <c r="F107" s="919" cm="1" t="str">
        <f t="array" ref="F107:F107">OFFSET(G107,-1,-1)</f>
        <v>2</v>
      </c>
      <c r="G107" s="1461"/>
      <c r="H107" s="172" t="s">
        <v>564</v>
      </c>
      <c r="I107" s="1461"/>
      <c r="J107" s="1461"/>
      <c r="K107" s="1461"/>
      <c r="L107" s="1461"/>
      <c r="M107" s="1461"/>
      <c r="N107" s="1461"/>
      <c r="O107" s="1461"/>
      <c r="P107" s="1461"/>
      <c r="Q107" s="919"/>
      <c r="R107" s="919"/>
      <c r="S107" s="1461"/>
      <c r="T107" s="1461"/>
      <c r="U107" s="920">
        <f>F107&gt;0</f>
        <v>1</v>
      </c>
      <c r="V107" s="1461"/>
      <c r="W107" s="1461"/>
      <c r="X107" s="1461"/>
      <c r="Y107" s="1461"/>
      <c r="Z107" s="1461"/>
      <c r="AA107" s="217"/>
      <c r="AB107" s="477" t="s">
        <v>565</v>
      </c>
      <c r="AC107" s="207" t="s">
        <v>566</v>
      </c>
      <c r="AD107" s="206" t="s">
        <v>490</v>
      </c>
      <c r="AE107" s="1715"/>
      <c r="AF107" s="366"/>
      <c r="AG107" s="366"/>
      <c r="AH107" s="366"/>
      <c r="AI107" s="366"/>
      <c r="AJ107" s="1715"/>
      <c r="AK107" s="1715"/>
      <c r="AL107" s="1715"/>
      <c r="AM107" s="1715"/>
      <c r="AN107" s="1715"/>
      <c r="AO107" s="366"/>
      <c r="AP107" s="366"/>
      <c r="AQ107" s="366"/>
      <c r="AR107" s="366"/>
      <c r="AS107" s="366"/>
      <c r="AT107" s="1715"/>
      <c r="AU107" s="1715"/>
      <c r="AV107" s="1715"/>
      <c r="AW107" s="1715"/>
      <c r="AX107" s="1715"/>
      <c r="AY107" s="217"/>
      <c r="AZ107" s="217"/>
      <c r="BA107" s="1158" t="s">
        <v>567</v>
      </c>
      <c r="BB107" s="1212"/>
      <c r="BC107" s="1212"/>
      <c r="BD107" s="1162"/>
      <c r="BE107" s="1162"/>
    </row>
    <row s="1619" customFormat="1" customHeight="1" ht="16.5">
      <c r="A108" s="1183"/>
      <c r="B108" s="924"/>
      <c r="C108" s="1461"/>
      <c r="D108" s="1461"/>
      <c r="E108" s="794">
        <v>17.1</v>
      </c>
      <c r="F108" s="919" cm="1" t="str">
        <f t="array" ref="F108:F108">OFFSET(G108,-1,-1)</f>
        <v>2</v>
      </c>
      <c r="G108" s="1461"/>
      <c r="H108" s="172" t="s">
        <v>568</v>
      </c>
      <c r="I108" s="1461"/>
      <c r="J108" s="1461"/>
      <c r="K108" s="1461"/>
      <c r="L108" s="1461"/>
      <c r="M108" s="1461"/>
      <c r="N108" s="1461"/>
      <c r="O108" s="1461"/>
      <c r="P108" s="1461"/>
      <c r="Q108" s="919"/>
      <c r="R108" s="919"/>
      <c r="S108" s="1461"/>
      <c r="T108" s="1461"/>
      <c r="U108" s="920">
        <f>F108&gt;0</f>
        <v>1</v>
      </c>
      <c r="V108" s="1461"/>
      <c r="W108" s="1461"/>
      <c r="X108" s="1461"/>
      <c r="Y108" s="1461"/>
      <c r="Z108" s="1461"/>
      <c r="AA108" s="217"/>
      <c r="AB108" s="477" t="s">
        <v>569</v>
      </c>
      <c r="AC108" s="207" t="s">
        <v>570</v>
      </c>
      <c r="AD108" s="206" t="s">
        <v>490</v>
      </c>
      <c r="AE108" s="1715"/>
      <c r="AF108" s="366"/>
      <c r="AG108" s="366"/>
      <c r="AH108" s="366"/>
      <c r="AI108" s="366"/>
      <c r="AJ108" s="1715"/>
      <c r="AK108" s="1715"/>
      <c r="AL108" s="1715"/>
      <c r="AM108" s="1715"/>
      <c r="AN108" s="1715"/>
      <c r="AO108" s="366"/>
      <c r="AP108" s="366"/>
      <c r="AQ108" s="366"/>
      <c r="AR108" s="366"/>
      <c r="AS108" s="366"/>
      <c r="AT108" s="1715"/>
      <c r="AU108" s="1715"/>
      <c r="AV108" s="1715"/>
      <c r="AW108" s="1715"/>
      <c r="AX108" s="1715"/>
      <c r="AY108" s="217"/>
      <c r="AZ108" s="217"/>
      <c r="BA108" s="1158" t="s">
        <v>571</v>
      </c>
      <c r="BB108" s="1212"/>
      <c r="BC108" s="1212"/>
      <c r="BD108" s="1162"/>
      <c r="BE108" s="1162"/>
    </row>
    <row customHeight="1" ht="11.115">
      <c r="E109" s="794">
        <v>11.4</v>
      </c>
      <c r="V109" s="172" t="s">
        <v>235</v>
      </c>
      <c r="W109" s="168" t="s">
        <v>572</v>
      </c>
      <c r="AC109" s="198"/>
      <c r="AF109" s="217"/>
      <c r="AG109" s="217"/>
      <c r="AH109" s="217"/>
      <c r="AI109" s="217"/>
      <c r="AJ109" s="217"/>
      <c r="AK109" s="217"/>
      <c r="AL109" s="217"/>
      <c r="AM109" s="217"/>
      <c r="AN109" s="217"/>
      <c r="AO109" s="217"/>
      <c r="AP109" s="217"/>
      <c r="AQ109" s="217"/>
      <c r="AR109" s="217"/>
      <c r="AS109" s="217"/>
      <c r="AT109" s="217"/>
      <c r="AU109" s="217"/>
      <c r="AV109" s="217"/>
      <c r="AW109" s="217"/>
      <c r="AX109" s="217"/>
      <c r="AY109" s="198"/>
    </row>
    <row customHeight="1" ht="11.115" hidden="1">
      <c r="E110" s="794">
        <v>11.4</v>
      </c>
      <c r="AC110" s="198"/>
      <c r="AF110" s="217"/>
      <c r="AG110" s="217"/>
      <c r="AH110" s="217"/>
      <c r="AI110" s="217"/>
      <c r="AJ110" s="217"/>
      <c r="AK110" s="217"/>
      <c r="AL110" s="217"/>
      <c r="AM110" s="217"/>
      <c r="AN110" s="217"/>
      <c r="AO110" s="217"/>
      <c r="AP110" s="217"/>
      <c r="AQ110" s="217"/>
      <c r="AR110" s="217"/>
      <c r="AS110" s="217"/>
      <c r="AT110" s="217"/>
      <c r="AU110" s="217"/>
      <c r="AV110" s="217"/>
      <c r="AW110" s="217"/>
      <c r="AX110" s="217"/>
    </row>
  </sheetData>
  <sheetProtection formatColumns="0" formatRows="0" insertRows="0" deleteColumns="0" deleteRows="0" sort="0" autoFilter="0" insertColumns="1"/>
  <mergeCells count="9">
    <mergeCell ref="AB24:AB25"/>
    <mergeCell ref="AC24:AC25"/>
    <mergeCell ref="AD24:AD25"/>
    <mergeCell ref="Z28:Z54"/>
    <mergeCell ref="Y28:Y54"/>
    <mergeCell ref="Z55:Z81"/>
    <mergeCell ref="Y55:Y81"/>
    <mergeCell ref="Z82:Z108"/>
    <mergeCell ref="Y82:Y108"/>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AE85 AF85 AG85 AH85 AI85 AJ85 AK85 AL85 AM85 AN85 AO85 AP85 AQ85 AR85 AS85 AT85 AU85 AV85 AW85 AX85 AE86 AF86 AG86 AH86 AI86 AJ86 AK86 AL86 AM86 AN86 AO86 AP86 AQ86 AR86 AS86 AT86 AU86 AV86 AW86 AX86">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X84 AX87 AX89:AX103 AX105:AX108 AW51:AW54 AW57 AW60 AW62:AW76 AW78:AW81 AW84 AW87 AW89:AW103 AW105:AW108 AV51:AV54 AV57 AV60 AV62:AV76 AV78:AV81 AV84 AV87 AV89:AV103 AV105:AV108 AU51:AU54 AU57 AU60 AU62:AU76 AU78:AU81 AU84 AU87 AU89:AU103 AU105:AU108 AT51:AT54 AT57 AT60 AT62:AT76 AT78:AT81 AT84 AT87 AT89:AT103 AT105:AT108 AS51:AS54 AS57 AS60 AS62:AS76 AS78:AS81 AS84 AS87 AS89:AS103 AS105:AS108 AR51:AR54 AR57 AR60 AR62:AR76 AR78:AR81 AR84 AR87 AR89:AR103 AR105:AR108 AQ51:AQ54 AQ57 AQ60 AQ62:AQ76 AQ78:AQ81 AQ84 AQ87 AQ89:AQ103 AQ105:AQ108 AP51:AP54 AP57 AP60 AP62:AP76 AP78:AP81 AP84 AP87 AP89:AP103 AP105:AP108 AO51:AO54 AO57 AO60 AO62:AO76 AO78:AO81 AO84 AO87 AO89:AO103 AO105:AO108 AN51:AN54 AN57 AN60 AN62:AN76 AN78:AN81 AN84 AN87 AN89:AN103 AN105:AN108 AM51:AM54 AM57 AM60 AM62:AM76 AM78:AM81 AM84 AM87 AM89:AM103 AM105:AM108 AL51:AL54 AL57 AL60 AL62:AL76 AL78:AL81 AL84 AL87 AL89:AL103 AL105:AL108 AK51:AK54 AK57 AK60 AK62:AK76 AK78:AK81 AK84 AK87 AK89:AK103 AK105:AK108 AJ51:AJ54 AJ57 AJ60 AJ62:AJ76 AJ78:AJ81 AJ84 AJ87 AJ89:AJ103 AJ105:AJ108 AI51:AI54 AI57 AI60 AI62:AI76 AI78:AI81 AI84 AI87 AI89:AI103 AI105:AI108 AH51:AH54 AH57 AH60 AH62:AH76 AH78:AH81 AH84 AH87 AH89:AH103 AH105:AH108 AG51:AG54 AG57 AG60 AG62:AG76 AG78:AG81 AG84 AG87 AG89:AG103 AG105:AG108 AF51:AF54 AF57 AF60 AF62:AF76 AF78:AF81 AF84 AF87 AF89:AF103 AF105:AF108 AE51:AE54 AE57 AE60 AE62:AE76 AE78:AE81 AE84 AE87 AE89:AE103 AE105:AE108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5D1D4-9BED-1398-06B2-06951F3913F8}" mc:Ignorable="x14ac xr xr2 xr3">
  <sheetPr>
    <tabColor theme="3" tint="0.6"/>
    <outlinePr summaryRight="0" summaryBelow="0"/>
    <pageSetUpPr fitToPage="1"/>
  </sheetPr>
  <dimension ref="A1:BB50"/>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36" style="217" width="15.1328125" customWidth="1"/>
    <col min="37" max="41" style="217" width="15.1328125" hidden="1" customWidth="1"/>
    <col min="42" max="46" style="217" width="15.1328125" customWidth="1"/>
    <col min="47" max="51" style="217" width="15.1328125" hidden="1"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377</v>
      </c>
    </row>
    <row s="924" customFormat="1" customHeight="1" ht="12" hidden="1">
      <c r="B2" s="907" t="s">
        <v>15</v>
      </c>
      <c r="AC2" s="789"/>
      <c r="AD2" s="789"/>
      <c r="AG2" s="806">
        <f>AG6&lt;=last_year_vis</f>
        <v>1</v>
      </c>
      <c r="AH2" s="806">
        <f>AH6&lt;=last_year_vis</f>
        <v>1</v>
      </c>
      <c r="AI2" s="806">
        <f>AI6&lt;=last_year_vis</f>
        <v>1</v>
      </c>
      <c r="AJ2" s="806">
        <f>AJ6&lt;=last_year_vis</f>
        <v>1</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1</v>
      </c>
      <c r="AU2" s="806">
        <f>AU6&lt;=last_year_vis</f>
        <v>0</v>
      </c>
      <c r="AV2" s="806">
        <f>AV6&lt;=last_year_vis</f>
        <v>0</v>
      </c>
      <c r="AW2" s="806">
        <f>AW6&lt;=last_year_vis</f>
        <v>0</v>
      </c>
      <c r="AX2" s="806">
        <f>AX6&lt;=last_year_vis</f>
        <v>0</v>
      </c>
      <c r="AY2" s="806">
        <f>AY6&lt;=last_year_vis</f>
        <v>0</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2026</v>
      </c>
      <c r="AG6" s="172">
        <f>first_year+1</f>
        <v>2027</v>
      </c>
      <c r="AH6" s="172">
        <f>first_year+2</f>
        <v>2028</v>
      </c>
      <c r="AI6" s="172">
        <f>first_year+3</f>
        <v>2029</v>
      </c>
      <c r="AJ6" s="172">
        <f>first_year+4</f>
        <v>2030</v>
      </c>
      <c r="AK6" s="172">
        <f>first_year+5</f>
        <v>2031</v>
      </c>
      <c r="AL6" s="172">
        <f>first_year+6</f>
        <v>2032</v>
      </c>
      <c r="AM6" s="172">
        <f>first_year+7</f>
        <v>2033</v>
      </c>
      <c r="AN6" s="172">
        <f>first_year+8</f>
        <v>2034</v>
      </c>
      <c r="AO6" s="172">
        <f>first_year+9</f>
        <v>2035</v>
      </c>
      <c r="AP6" s="172" cm="1" t="str">
        <f t="array" ref="AP6:AP6">first_year</f>
        <v>2026</v>
      </c>
      <c r="AQ6" s="172">
        <f>first_year+1</f>
        <v>2027</v>
      </c>
      <c r="AR6" s="172">
        <f>first_year+2</f>
        <v>2028</v>
      </c>
      <c r="AS6" s="172">
        <f>first_year+3</f>
        <v>2029</v>
      </c>
      <c r="AT6" s="172">
        <f>first_year+4</f>
        <v>2030</v>
      </c>
      <c r="AU6" s="172">
        <f>first_year+5</f>
        <v>2031</v>
      </c>
      <c r="AV6" s="172">
        <f>first_year+6</f>
        <v>2032</v>
      </c>
      <c r="AW6" s="172">
        <f>first_year+7</f>
        <v>2033</v>
      </c>
      <c r="AX6" s="172">
        <f>first_year+8</f>
        <v>2034</v>
      </c>
      <c r="AY6" s="172">
        <f>first_year+9</f>
        <v>2035</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B8" s="1145"/>
    </row>
    <row s="1146" customFormat="1" customHeight="1" ht="12" hidden="1">
      <c r="A9" s="1145" t="s">
        <v>430</v>
      </c>
      <c r="B9" s="1148"/>
      <c r="E9" s="1148"/>
      <c r="Q9" s="1166"/>
      <c r="R9" s="1166"/>
      <c r="AB9" s="1147"/>
      <c r="AF9" s="1146" cm="1" t="str">
        <f t="array" ref="AF9:AF9">first_year</f>
        <v>2026</v>
      </c>
      <c r="AG9" s="1146">
        <f>first_year+1</f>
        <v>2027</v>
      </c>
      <c r="AH9" s="1146">
        <f>first_year+2</f>
        <v>2028</v>
      </c>
      <c r="AI9" s="1146">
        <f>first_year+3</f>
        <v>2029</v>
      </c>
      <c r="AJ9" s="1146">
        <f>first_year+4</f>
        <v>2030</v>
      </c>
      <c r="AK9" s="1146">
        <f>first_year+5</f>
        <v>2031</v>
      </c>
      <c r="AL9" s="1146">
        <f>first_year+6</f>
        <v>2032</v>
      </c>
      <c r="AM9" s="1146">
        <f>first_year+7</f>
        <v>2033</v>
      </c>
      <c r="AN9" s="1146">
        <f>first_year+8</f>
        <v>2034</v>
      </c>
      <c r="AO9" s="1146">
        <f>first_year+9</f>
        <v>2035</v>
      </c>
      <c r="AP9" s="1146" cm="1" t="str">
        <f t="array" ref="AP9:AP9">first_year</f>
        <v>2026</v>
      </c>
      <c r="AQ9" s="1146">
        <f>first_year+1</f>
        <v>2027</v>
      </c>
      <c r="AR9" s="1146">
        <f>first_year+2</f>
        <v>2028</v>
      </c>
      <c r="AS9" s="1146">
        <f>first_year+3</f>
        <v>2029</v>
      </c>
      <c r="AT9" s="1146">
        <f>first_year+4</f>
        <v>2030</v>
      </c>
      <c r="AU9" s="1146">
        <f>first_year+5</f>
        <v>2031</v>
      </c>
      <c r="AV9" s="1146">
        <f>first_year+6</f>
        <v>2032</v>
      </c>
      <c r="AW9" s="1146">
        <f>first_year+7</f>
        <v>2033</v>
      </c>
      <c r="AX9" s="1146">
        <f>first_year+8</f>
        <v>2034</v>
      </c>
      <c r="AY9" s="1146">
        <f>first_year+9</f>
        <v>2035</v>
      </c>
      <c r="BB9" s="1145"/>
    </row>
    <row s="1146" customFormat="1" customHeight="1" ht="12" hidden="1">
      <c r="A10" s="1145" t="s">
        <v>431</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Кузбасский территориальный участок ЗСД по тепловодоснабжению - СП ЦД по тепловодоснабжению - филиал ОАО "РЖД" (ИНН:7708503727, КПП:540775040) / ДПР: 2026-2030</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390</v>
      </c>
      <c r="AC24" s="1465" t="s">
        <v>488</v>
      </c>
      <c r="AD24" s="1466" t="s">
        <v>573</v>
      </c>
      <c r="AE24" s="1465" t="s">
        <v>434</v>
      </c>
      <c r="AF24" s="1357" t="str">
        <f>first_year&amp;" год"</f>
        <v>2026 год</v>
      </c>
      <c r="AG24" s="1357" t="str">
        <f>first_year+1&amp;" год"</f>
        <v>2027 год</v>
      </c>
      <c r="AH24" s="1357" t="str">
        <f>first_year+2&amp;" год"</f>
        <v>2028 год</v>
      </c>
      <c r="AI24" s="1357" t="str">
        <f>first_year+3&amp;" год"</f>
        <v>2029 год</v>
      </c>
      <c r="AJ24" s="1357" t="str">
        <f>first_year+4&amp;" год"</f>
        <v>2030 год</v>
      </c>
      <c r="AK24" s="1353" t="str">
        <f>first_year+5&amp;" год"</f>
        <v>2031 год</v>
      </c>
      <c r="AL24" s="1353" t="str">
        <f>first_year+6&amp;" год"</f>
        <v>2032 год</v>
      </c>
      <c r="AM24" s="1353" t="str">
        <f>first_year+7&amp;" год"</f>
        <v>2033 год</v>
      </c>
      <c r="AN24" s="1353" t="str">
        <f>first_year+8&amp;" год"</f>
        <v>2034 год</v>
      </c>
      <c r="AO24" s="1353" t="str">
        <f>first_year+9&amp;" год"</f>
        <v>2035 год</v>
      </c>
      <c r="AP24" s="167" t="str">
        <f>first_year&amp;" год"</f>
        <v>2026 год</v>
      </c>
      <c r="AQ24" s="167" t="str">
        <f>first_year+1&amp;" год"</f>
        <v>2027 год</v>
      </c>
      <c r="AR24" s="167" t="str">
        <f>first_year+2&amp;" год"</f>
        <v>2028 год</v>
      </c>
      <c r="AS24" s="167" t="str">
        <f>first_year+3&amp;" год"</f>
        <v>2029 год</v>
      </c>
      <c r="AT24" s="167" t="str">
        <f>first_year+4&amp;" год"</f>
        <v>2030 год</v>
      </c>
      <c r="AU24" s="167" t="str">
        <f>first_year+5&amp;" год"</f>
        <v>2031 год</v>
      </c>
      <c r="AV24" s="167" t="str">
        <f>first_year+6&amp;" год"</f>
        <v>2032 год</v>
      </c>
      <c r="AW24" s="167" t="str">
        <f>first_year+7&amp;" год"</f>
        <v>2033 год</v>
      </c>
      <c r="AX24" s="167" t="str">
        <f>first_year+8&amp;" год"</f>
        <v>2034 год</v>
      </c>
      <c r="AY24" s="171" t="str">
        <f>first_year+9&amp;" год"</f>
        <v>2035 год</v>
      </c>
    </row>
    <row customHeight="1" ht="67.275">
      <c r="E25" s="794">
        <v>69</v>
      </c>
      <c r="AB25" s="1466"/>
      <c r="AC25" s="1465"/>
      <c r="AD25" s="1469"/>
      <c r="AE25" s="1465"/>
      <c r="AF25" s="1354" t="s">
        <v>408</v>
      </c>
      <c r="AG25" s="1354" t="s">
        <v>408</v>
      </c>
      <c r="AH25" s="1354" t="s">
        <v>408</v>
      </c>
      <c r="AI25" s="1354" t="s">
        <v>408</v>
      </c>
      <c r="AJ25" s="1354" t="s">
        <v>408</v>
      </c>
      <c r="AK25" s="1354" t="s">
        <v>408</v>
      </c>
      <c r="AL25" s="1354" t="s">
        <v>408</v>
      </c>
      <c r="AM25" s="1354" t="s">
        <v>408</v>
      </c>
      <c r="AN25" s="1354" t="s">
        <v>408</v>
      </c>
      <c r="AO25" s="1354" t="s">
        <v>408</v>
      </c>
      <c r="AP25" s="410" t="s">
        <v>407</v>
      </c>
      <c r="AQ25" s="410" t="s">
        <v>407</v>
      </c>
      <c r="AR25" s="410" t="s">
        <v>407</v>
      </c>
      <c r="AS25" s="410" t="s">
        <v>407</v>
      </c>
      <c r="AT25" s="410" t="s">
        <v>407</v>
      </c>
      <c r="AU25" s="410" t="s">
        <v>407</v>
      </c>
      <c r="AV25" s="410" t="s">
        <v>407</v>
      </c>
      <c r="AW25" s="410" t="s">
        <v>407</v>
      </c>
      <c r="AX25" s="410" t="s">
        <v>407</v>
      </c>
      <c r="AY25" s="166" t="s">
        <v>407</v>
      </c>
    </row>
    <row customHeight="1" ht="23.400000000000002">
      <c r="E26" s="794">
        <v>24</v>
      </c>
      <c r="AB26" s="154"/>
      <c r="AC26" s="831" t="s">
        <v>489</v>
      </c>
      <c r="AD26" s="831"/>
      <c r="AE26" s="206" t="s">
        <v>490</v>
      </c>
      <c r="AF26" s="842"/>
      <c r="AG26" s="842"/>
      <c r="AH26" s="842"/>
      <c r="AI26" s="842"/>
      <c r="AJ26" s="842"/>
      <c r="AK26" s="1723"/>
      <c r="AL26" s="1723"/>
      <c r="AM26" s="1723"/>
      <c r="AN26" s="1723"/>
      <c r="AO26" s="1723"/>
      <c r="AP26" s="842"/>
      <c r="AQ26" s="842"/>
      <c r="AR26" s="842"/>
      <c r="AS26" s="842"/>
      <c r="AT26" s="842"/>
      <c r="AU26" s="1723"/>
      <c r="AV26" s="1723"/>
      <c r="AW26" s="1723"/>
      <c r="AX26" s="1723"/>
      <c r="AY26" s="1724"/>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309</v>
      </c>
      <c r="Y28" s="168">
        <v>0</v>
      </c>
      <c r="AB28" s="260" cm="1" t="str">
        <f t="array" ref="AB28:AB28">INDEX('Общие сведения'!$AG$169:$AG$218,MATCH($F28,'Общие сведения'!$Z$169:$Z$218,0))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491</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493</v>
      </c>
      <c r="U30" s="920">
        <f>F30&gt;0</f>
        <v>0</v>
      </c>
      <c r="AB30" s="151">
        <v>1</v>
      </c>
      <c r="AC30" s="320" t="s">
        <v>574</v>
      </c>
      <c r="AD30" s="170" t="s">
        <v>575</v>
      </c>
      <c r="AE30" s="206" t="s">
        <v>490</v>
      </c>
      <c r="AF30" s="71"/>
      <c r="AG30" s="842"/>
      <c r="AH30" s="842"/>
      <c r="AI30" s="842"/>
      <c r="AJ30" s="842"/>
      <c r="AK30" s="71"/>
      <c r="AL30" s="71"/>
      <c r="AM30" s="71"/>
      <c r="AN30" s="71"/>
      <c r="AO30" s="71"/>
      <c r="AP30" s="842"/>
      <c r="AQ30" s="842"/>
      <c r="AR30" s="842"/>
      <c r="AS30" s="842"/>
      <c r="AT30" s="842"/>
      <c r="AU30" s="71"/>
      <c r="AV30" s="71"/>
      <c r="AW30" s="71"/>
      <c r="AX30" s="71"/>
      <c r="AY30" s="71"/>
      <c r="BB30" s="1196" t="s">
        <v>576</v>
      </c>
    </row>
    <row customHeight="1" ht="16.672500000000003" hidden="1">
      <c r="E31" s="794">
        <v>17.1</v>
      </c>
      <c r="F31" s="919" cm="1" t="str">
        <f t="array" ref="F31:F31">OFFSET(G31,-1,-1)</f>
        <v>0</v>
      </c>
      <c r="H31" s="172" t="s">
        <v>506</v>
      </c>
      <c r="U31" s="920">
        <f>F31&gt;0</f>
        <v>0</v>
      </c>
      <c r="AB31" s="151">
        <v>2</v>
      </c>
      <c r="AC31" s="320"/>
      <c r="AD31" s="170" t="s">
        <v>577</v>
      </c>
      <c r="AE31" s="206" t="s">
        <v>490</v>
      </c>
      <c r="AF31" s="1127"/>
      <c r="AG31" s="842" cm="1" t="str">
        <f t="array" ref="AG31:AG31">AG30</f>
        <v>0</v>
      </c>
      <c r="AH31" s="1128">
        <f>(1+AG31)*(1+AH30)-1</f>
        <v>0</v>
      </c>
      <c r="AI31" s="1128">
        <f>(1+AH31)*(1+AI30)-1</f>
        <v>0</v>
      </c>
      <c r="AJ31" s="1128">
        <f>(1+AI31)*(1+AJ30)-1</f>
        <v>0</v>
      </c>
      <c r="AK31" s="72">
        <f>(1+AJ31)*(1+AK30)-1</f>
        <v>0</v>
      </c>
      <c r="AL31" s="72">
        <f>(1+AK31)*(1+AL30)-1</f>
        <v>0</v>
      </c>
      <c r="AM31" s="72">
        <f>(1+AL31)*(1+AM30)-1</f>
        <v>0</v>
      </c>
      <c r="AN31" s="72">
        <f>(1+AM31)*(1+AN30)-1</f>
        <v>0</v>
      </c>
      <c r="AO31" s="72">
        <f>(1+AN31)*(1+AO30)-1</f>
        <v>0</v>
      </c>
      <c r="AP31" s="1127"/>
      <c r="AQ31" s="842" cm="1" t="str">
        <f t="array" ref="AQ31:AQ31">AQ30</f>
        <v>0</v>
      </c>
      <c r="AR31" s="1128">
        <f>(1+AQ31)*(1+AR30)-1</f>
        <v>0</v>
      </c>
      <c r="AS31" s="1128">
        <f>(1+AR31)*(1+AS30)-1</f>
        <v>0</v>
      </c>
      <c r="AT31" s="1128">
        <f>(1+AS31)*(1+AT30)-1</f>
        <v>0</v>
      </c>
      <c r="AU31" s="72">
        <f>(1+AT31)*(1+AU30)-1</f>
        <v>0</v>
      </c>
      <c r="AV31" s="72">
        <f>(1+AU31)*(1+AV30)-1</f>
        <v>0</v>
      </c>
      <c r="AW31" s="72">
        <f>(1+AV31)*(1+AW30)-1</f>
        <v>0</v>
      </c>
      <c r="AX31" s="72">
        <f>(1+AW31)*(1+AX30)-1</f>
        <v>0</v>
      </c>
      <c r="AY31" s="72">
        <f>(1+AX31)*(1+AY30)-1</f>
        <v>0</v>
      </c>
      <c r="BB31" s="1196" t="s">
        <v>578</v>
      </c>
    </row>
    <row customHeight="1" ht="16.672500000000003" hidden="1">
      <c r="E32" s="794">
        <v>17.1</v>
      </c>
      <c r="F32" s="919" cm="1" t="str">
        <f t="array" ref="F32:F32">OFFSET(G32,-1,-1)</f>
        <v>0</v>
      </c>
      <c r="H32" s="172" t="s">
        <v>509</v>
      </c>
      <c r="U32" s="920">
        <f>F32&gt;0</f>
        <v>0</v>
      </c>
      <c r="AB32" s="151">
        <v>3</v>
      </c>
      <c r="AC32" s="320" t="s">
        <v>579</v>
      </c>
      <c r="AD32" s="170" t="s">
        <v>575</v>
      </c>
      <c r="AE32" s="206" t="s">
        <v>490</v>
      </c>
      <c r="AF32" s="71"/>
      <c r="AG32" s="842"/>
      <c r="AH32" s="842"/>
      <c r="AI32" s="842"/>
      <c r="AJ32" s="842"/>
      <c r="AK32" s="71"/>
      <c r="AL32" s="71"/>
      <c r="AM32" s="71"/>
      <c r="AN32" s="71"/>
      <c r="AO32" s="71"/>
      <c r="AP32" s="842"/>
      <c r="AQ32" s="842"/>
      <c r="AR32" s="842"/>
      <c r="AS32" s="842"/>
      <c r="AT32" s="842"/>
      <c r="AU32" s="71"/>
      <c r="AV32" s="71"/>
      <c r="AW32" s="71"/>
      <c r="AX32" s="71"/>
      <c r="AY32" s="71"/>
      <c r="BB32" s="1196" t="s">
        <v>580</v>
      </c>
    </row>
    <row customHeight="1" ht="16.672500000000003" hidden="1">
      <c r="E33" s="794">
        <v>17.1</v>
      </c>
      <c r="F33" s="919" cm="1" t="str">
        <f t="array" ref="F33:F33">OFFSET(G33,-1,-1)</f>
        <v>0</v>
      </c>
      <c r="H33" s="172" t="s">
        <v>512</v>
      </c>
      <c r="U33" s="920">
        <f>F33&gt;0</f>
        <v>0</v>
      </c>
      <c r="AB33" s="151">
        <v>4</v>
      </c>
      <c r="AC33" s="320"/>
      <c r="AD33" s="170" t="s">
        <v>577</v>
      </c>
      <c r="AE33" s="206" t="s">
        <v>490</v>
      </c>
      <c r="AF33" s="1127"/>
      <c r="AG33" s="842" cm="1" t="str">
        <f t="array" ref="AG33:AG33">AG32</f>
        <v>0</v>
      </c>
      <c r="AH33" s="1128">
        <f>(1+AG33)*(1+AH32)-1</f>
        <v>0</v>
      </c>
      <c r="AI33" s="1128">
        <f>(1+AH33)*(1+AI32)-1</f>
        <v>0</v>
      </c>
      <c r="AJ33" s="1128">
        <f>(1+AI33)*(1+AJ32)-1</f>
        <v>0</v>
      </c>
      <c r="AK33" s="72">
        <f>(1+AJ33)*(1+AK32)-1</f>
        <v>0</v>
      </c>
      <c r="AL33" s="72">
        <f>(1+AK33)*(1+AL32)-1</f>
        <v>0</v>
      </c>
      <c r="AM33" s="72">
        <f>(1+AL33)*(1+AM32)-1</f>
        <v>0</v>
      </c>
      <c r="AN33" s="72">
        <f>(1+AM33)*(1+AN32)-1</f>
        <v>0</v>
      </c>
      <c r="AO33" s="72">
        <f>(1+AN33)*(1+AO32)-1</f>
        <v>0</v>
      </c>
      <c r="AP33" s="1127"/>
      <c r="AQ33" s="842" cm="1" t="str">
        <f t="array" ref="AQ33:AQ33">AQ32</f>
        <v>0</v>
      </c>
      <c r="AR33" s="1128">
        <f>(1+AQ33)*(1+AR32)-1</f>
        <v>0</v>
      </c>
      <c r="AS33" s="1128">
        <f>(1+AR33)*(1+AS32)-1</f>
        <v>0</v>
      </c>
      <c r="AT33" s="1128">
        <f>(1+AS33)*(1+AT32)-1</f>
        <v>0</v>
      </c>
      <c r="AU33" s="72">
        <f>(1+AT33)*(1+AU32)-1</f>
        <v>0</v>
      </c>
      <c r="AV33" s="72">
        <f>(1+AU33)*(1+AV32)-1</f>
        <v>0</v>
      </c>
      <c r="AW33" s="72">
        <f>(1+AV33)*(1+AW32)-1</f>
        <v>0</v>
      </c>
      <c r="AX33" s="72">
        <f>(1+AW33)*(1+AX32)-1</f>
        <v>0</v>
      </c>
      <c r="AY33" s="72">
        <f>(1+AX33)*(1+AY32)-1</f>
        <v>0</v>
      </c>
      <c r="BB33" s="1196" t="s">
        <v>581</v>
      </c>
    </row>
    <row customHeight="1" ht="16.672500000000003" hidden="1">
      <c r="E34" s="794">
        <v>17.1</v>
      </c>
      <c r="F34" s="919" cm="1" t="str">
        <f t="array" ref="F34:F34">OFFSET(G34,-1,-1)</f>
        <v>0</v>
      </c>
      <c r="H34" s="172" t="s">
        <v>515</v>
      </c>
      <c r="U34" s="920">
        <f>F34&gt;0</f>
        <v>0</v>
      </c>
      <c r="AB34" s="151">
        <v>5</v>
      </c>
      <c r="AC34" s="320" t="s">
        <v>582</v>
      </c>
      <c r="AD34" s="320"/>
      <c r="AE34" s="206" t="s">
        <v>490</v>
      </c>
      <c r="AF34" s="71"/>
      <c r="AG34" s="842"/>
      <c r="AH34" s="842"/>
      <c r="AI34" s="842"/>
      <c r="AJ34" s="842"/>
      <c r="AK34" s="71"/>
      <c r="AL34" s="71"/>
      <c r="AM34" s="71"/>
      <c r="AN34" s="71"/>
      <c r="AO34" s="71"/>
      <c r="AP34" s="842"/>
      <c r="AQ34" s="842"/>
      <c r="AR34" s="842"/>
      <c r="AS34" s="842"/>
      <c r="AT34" s="842"/>
      <c r="AU34" s="71"/>
      <c r="AV34" s="71"/>
      <c r="AW34" s="71"/>
      <c r="AX34" s="71"/>
      <c r="AY34" s="71"/>
      <c r="BB34" s="1196" t="s">
        <v>583</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X35" s="212"/>
      <c r="Y35" s="168" t="s">
        <v>335</v>
      </c>
      <c r="Z35" s="212"/>
      <c r="AA35" s="212"/>
      <c r="AB35" s="260" cm="1" t="str">
        <f t="array" ref="AB35:AB35">IF(ISBLANK(Сценарии!$AB$55),"",Сценарии!$AB$55)</f>
        <v>Тариф 1 (Теплоснабжение) - Тариф на тепловую энергию (мощность), поставляемую потребителям (Тариф: Носитель - горячая вода (Т); Носитель - горячая вода (Т))</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19"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491</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19" customFormat="1" customHeight="1" ht="16.5">
      <c r="A37" s="1461"/>
      <c r="B37" s="924"/>
      <c r="C37" s="1461"/>
      <c r="D37" s="1461"/>
      <c r="E37" s="794">
        <v>17.1</v>
      </c>
      <c r="F37" s="919" cm="1" t="str">
        <f t="array" ref="F37:F37">OFFSET(G37,-1,-1)</f>
        <v>1</v>
      </c>
      <c r="G37" s="1461"/>
      <c r="H37" s="172" t="s">
        <v>493</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584</v>
      </c>
      <c r="AD37" s="170" t="s">
        <v>575</v>
      </c>
      <c r="AE37" s="206" t="s">
        <v>490</v>
      </c>
      <c r="AF37" s="1725"/>
      <c r="AG37" s="842"/>
      <c r="AH37" s="842"/>
      <c r="AI37" s="842"/>
      <c r="AJ37" s="842"/>
      <c r="AK37" s="1725"/>
      <c r="AL37" s="1725"/>
      <c r="AM37" s="1725"/>
      <c r="AN37" s="1725"/>
      <c r="AO37" s="1725"/>
      <c r="AP37" s="842"/>
      <c r="AQ37" s="842"/>
      <c r="AR37" s="842"/>
      <c r="AS37" s="842"/>
      <c r="AT37" s="842"/>
      <c r="AU37" s="1725"/>
      <c r="AV37" s="1725"/>
      <c r="AW37" s="1725"/>
      <c r="AX37" s="1725"/>
      <c r="AY37" s="1725"/>
      <c r="AZ37" s="217"/>
      <c r="BA37" s="217"/>
      <c r="BB37" s="1196" t="s">
        <v>576</v>
      </c>
    </row>
    <row s="1619" customFormat="1" customHeight="1" ht="16.5">
      <c r="A38" s="1461"/>
      <c r="B38" s="924"/>
      <c r="C38" s="1461"/>
      <c r="D38" s="1461"/>
      <c r="E38" s="794">
        <v>17.1</v>
      </c>
      <c r="F38" s="919" cm="1" t="str">
        <f t="array" ref="F38:F38">OFFSET(G38,-1,-1)</f>
        <v>1</v>
      </c>
      <c r="G38" s="1461"/>
      <c r="H38" s="172" t="s">
        <v>506</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577</v>
      </c>
      <c r="AE38" s="206" t="s">
        <v>490</v>
      </c>
      <c r="AF38" s="1127"/>
      <c r="AG38" s="842" cm="1" t="str">
        <f t="array" ref="AG38:AG38">AG37</f>
        <v>0</v>
      </c>
      <c r="AH38" s="1128">
        <f>(1+AG38)*(1+AH37)-1</f>
        <v>0</v>
      </c>
      <c r="AI38" s="1128">
        <f>(1+AH38)*(1+AI37)-1</f>
        <v>0</v>
      </c>
      <c r="AJ38" s="1128">
        <f>(1+AI38)*(1+AJ37)-1</f>
        <v>0</v>
      </c>
      <c r="AK38" s="1727">
        <f>(1+AJ38)*(1+AK37)-1</f>
        <v>0</v>
      </c>
      <c r="AL38" s="1727">
        <f>(1+AK38)*(1+AL37)-1</f>
        <v>0</v>
      </c>
      <c r="AM38" s="1727">
        <f>(1+AL38)*(1+AM37)-1</f>
        <v>0</v>
      </c>
      <c r="AN38" s="1727">
        <f>(1+AM38)*(1+AN37)-1</f>
        <v>0</v>
      </c>
      <c r="AO38" s="1727">
        <f>(1+AN38)*(1+AO37)-1</f>
        <v>0</v>
      </c>
      <c r="AP38" s="1127"/>
      <c r="AQ38" s="842" cm="1" t="str">
        <f t="array" ref="AQ38:AQ38">AQ37</f>
        <v>0</v>
      </c>
      <c r="AR38" s="1128">
        <f>(1+AQ38)*(1+AR37)-1</f>
        <v>0</v>
      </c>
      <c r="AS38" s="1128">
        <f>(1+AR38)*(1+AS37)-1</f>
        <v>0</v>
      </c>
      <c r="AT38" s="1128">
        <f>(1+AS38)*(1+AT37)-1</f>
        <v>0</v>
      </c>
      <c r="AU38" s="1727">
        <f>(1+AT38)*(1+AU37)-1</f>
        <v>0</v>
      </c>
      <c r="AV38" s="1727">
        <f>(1+AU38)*(1+AV37)-1</f>
        <v>0</v>
      </c>
      <c r="AW38" s="1727">
        <f>(1+AV38)*(1+AW37)-1</f>
        <v>0</v>
      </c>
      <c r="AX38" s="1727">
        <f>(1+AW38)*(1+AX37)-1</f>
        <v>0</v>
      </c>
      <c r="AY38" s="1727">
        <f>(1+AX38)*(1+AY37)-1</f>
        <v>0</v>
      </c>
      <c r="AZ38" s="217"/>
      <c r="BA38" s="217"/>
      <c r="BB38" s="1196" t="s">
        <v>578</v>
      </c>
    </row>
    <row s="1619" customFormat="1" customHeight="1" ht="16.5">
      <c r="A39" s="1461"/>
      <c r="B39" s="924"/>
      <c r="C39" s="1461"/>
      <c r="D39" s="1461"/>
      <c r="E39" s="794">
        <v>17.1</v>
      </c>
      <c r="F39" s="919" cm="1" t="str">
        <f t="array" ref="F39:F39">OFFSET(G39,-1,-1)</f>
        <v>1</v>
      </c>
      <c r="G39" s="1461"/>
      <c r="H39" s="172" t="s">
        <v>509</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579</v>
      </c>
      <c r="AD39" s="170" t="s">
        <v>575</v>
      </c>
      <c r="AE39" s="206" t="s">
        <v>490</v>
      </c>
      <c r="AF39" s="1725"/>
      <c r="AG39" s="842"/>
      <c r="AH39" s="842"/>
      <c r="AI39" s="842"/>
      <c r="AJ39" s="842"/>
      <c r="AK39" s="1725"/>
      <c r="AL39" s="1725"/>
      <c r="AM39" s="1725"/>
      <c r="AN39" s="1725"/>
      <c r="AO39" s="1725"/>
      <c r="AP39" s="842"/>
      <c r="AQ39" s="842"/>
      <c r="AR39" s="842"/>
      <c r="AS39" s="842"/>
      <c r="AT39" s="842"/>
      <c r="AU39" s="1725"/>
      <c r="AV39" s="1725"/>
      <c r="AW39" s="1725"/>
      <c r="AX39" s="1725"/>
      <c r="AY39" s="1725"/>
      <c r="AZ39" s="217"/>
      <c r="BA39" s="217"/>
      <c r="BB39" s="1196" t="s">
        <v>580</v>
      </c>
    </row>
    <row s="1619" customFormat="1" customHeight="1" ht="16.5">
      <c r="A40" s="1461"/>
      <c r="B40" s="924"/>
      <c r="C40" s="1461"/>
      <c r="D40" s="1461"/>
      <c r="E40" s="794">
        <v>17.1</v>
      </c>
      <c r="F40" s="919" cm="1" t="str">
        <f t="array" ref="F40:F40">OFFSET(G40,-1,-1)</f>
        <v>1</v>
      </c>
      <c r="G40" s="1461"/>
      <c r="H40" s="172" t="s">
        <v>512</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577</v>
      </c>
      <c r="AE40" s="206" t="s">
        <v>490</v>
      </c>
      <c r="AF40" s="1127"/>
      <c r="AG40" s="842" cm="1" t="str">
        <f t="array" ref="AG40:AG40">AG39</f>
        <v>0</v>
      </c>
      <c r="AH40" s="1128">
        <f>(1+AG40)*(1+AH39)-1</f>
        <v>0</v>
      </c>
      <c r="AI40" s="1128">
        <f>(1+AH40)*(1+AI39)-1</f>
        <v>0</v>
      </c>
      <c r="AJ40" s="1128">
        <f>(1+AI40)*(1+AJ39)-1</f>
        <v>0</v>
      </c>
      <c r="AK40" s="1727">
        <f>(1+AJ40)*(1+AK39)-1</f>
        <v>0</v>
      </c>
      <c r="AL40" s="1727">
        <f>(1+AK40)*(1+AL39)-1</f>
        <v>0</v>
      </c>
      <c r="AM40" s="1727">
        <f>(1+AL40)*(1+AM39)-1</f>
        <v>0</v>
      </c>
      <c r="AN40" s="1727">
        <f>(1+AM40)*(1+AN39)-1</f>
        <v>0</v>
      </c>
      <c r="AO40" s="1727">
        <f>(1+AN40)*(1+AO39)-1</f>
        <v>0</v>
      </c>
      <c r="AP40" s="1127"/>
      <c r="AQ40" s="842" cm="1" t="str">
        <f t="array" ref="AQ40:AQ40">AQ39</f>
        <v>0</v>
      </c>
      <c r="AR40" s="1128">
        <f>(1+AQ40)*(1+AR39)-1</f>
        <v>0</v>
      </c>
      <c r="AS40" s="1128">
        <f>(1+AR40)*(1+AS39)-1</f>
        <v>0</v>
      </c>
      <c r="AT40" s="1128">
        <f>(1+AS40)*(1+AT39)-1</f>
        <v>0</v>
      </c>
      <c r="AU40" s="1727">
        <f>(1+AT40)*(1+AU39)-1</f>
        <v>0</v>
      </c>
      <c r="AV40" s="1727">
        <f>(1+AU40)*(1+AV39)-1</f>
        <v>0</v>
      </c>
      <c r="AW40" s="1727">
        <f>(1+AV40)*(1+AW39)-1</f>
        <v>0</v>
      </c>
      <c r="AX40" s="1727">
        <f>(1+AW40)*(1+AX39)-1</f>
        <v>0</v>
      </c>
      <c r="AY40" s="1727">
        <f>(1+AX40)*(1+AY39)-1</f>
        <v>0</v>
      </c>
      <c r="AZ40" s="217"/>
      <c r="BA40" s="217"/>
      <c r="BB40" s="1196" t="s">
        <v>581</v>
      </c>
    </row>
    <row s="1619" customFormat="1" customHeight="1" ht="16.5">
      <c r="A41" s="1461"/>
      <c r="B41" s="924"/>
      <c r="C41" s="1461"/>
      <c r="D41" s="1461"/>
      <c r="E41" s="794">
        <v>17.1</v>
      </c>
      <c r="F41" s="919" cm="1" t="str">
        <f t="array" ref="F41:F41">OFFSET(G41,-1,-1)</f>
        <v>1</v>
      </c>
      <c r="G41" s="1461"/>
      <c r="H41" s="172" t="s">
        <v>515</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582</v>
      </c>
      <c r="AD41" s="320"/>
      <c r="AE41" s="206" t="s">
        <v>490</v>
      </c>
      <c r="AF41" s="1725"/>
      <c r="AG41" s="842"/>
      <c r="AH41" s="842"/>
      <c r="AI41" s="842"/>
      <c r="AJ41" s="842"/>
      <c r="AK41" s="1725"/>
      <c r="AL41" s="1725"/>
      <c r="AM41" s="1725"/>
      <c r="AN41" s="1725"/>
      <c r="AO41" s="1725"/>
      <c r="AP41" s="842"/>
      <c r="AQ41" s="842"/>
      <c r="AR41" s="842"/>
      <c r="AS41" s="842"/>
      <c r="AT41" s="842"/>
      <c r="AU41" s="1725"/>
      <c r="AV41" s="1725"/>
      <c r="AW41" s="1725"/>
      <c r="AX41" s="1725"/>
      <c r="AY41" s="1725"/>
      <c r="AZ41" s="217"/>
      <c r="BA41" s="217"/>
      <c r="BB41" s="1196" t="s">
        <v>583</v>
      </c>
    </row>
    <row s="963" customFormat="1" customHeight="1" ht="10.5">
      <c r="A42" s="212"/>
      <c r="B42" s="212"/>
      <c r="C42" s="212"/>
      <c r="D42" s="212"/>
      <c r="E42" s="800">
        <v>11.4</v>
      </c>
      <c r="F42" s="919" cm="1" t="str">
        <f t="array" ref="F42:F42">Y42</f>
        <v>2</v>
      </c>
      <c r="G42" s="212"/>
      <c r="H42" s="212"/>
      <c r="I42" s="212"/>
      <c r="J42" s="212"/>
      <c r="K42" s="212"/>
      <c r="L42" s="212"/>
      <c r="M42" s="212"/>
      <c r="N42" s="212"/>
      <c r="O42" s="212"/>
      <c r="P42" s="212"/>
      <c r="Q42" s="212"/>
      <c r="R42" s="212"/>
      <c r="S42" s="212"/>
      <c r="T42" s="212"/>
      <c r="U42" s="920">
        <f>F42&gt;0</f>
        <v>1</v>
      </c>
      <c r="V42" s="212"/>
      <c r="W42" s="168" cm="1" t="str">
        <f t="array" ref="W42:W42">Сценарии!$AB$82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X42" s="212"/>
      <c r="Y42" s="168" t="s">
        <v>343</v>
      </c>
      <c r="Z42" s="212"/>
      <c r="AA42" s="212"/>
      <c r="AB42" s="260" cm="1" t="str">
        <f t="array" ref="AB42:AB42">IF(ISBLANK(Сценарии!$AB$82),"",Сценарии!$AB$82)</f>
        <v>Тариф 2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(Тариф: Носитель - горячая вода (Т); Носитель - горячая вода (Т))</v>
      </c>
      <c r="AC42" s="257"/>
      <c r="AD42" s="257"/>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12"/>
      <c r="BA42" s="212"/>
      <c r="BB42" s="1145"/>
    </row>
    <row s="1619" customFormat="1" customHeight="1" ht="10.5">
      <c r="A43" s="1461"/>
      <c r="B43" s="924"/>
      <c r="C43" s="1461"/>
      <c r="D43" s="1461"/>
      <c r="E43" s="794">
        <v>11.4</v>
      </c>
      <c r="F43" s="919" cm="1" t="str">
        <f t="array" ref="F43:F43">OFFSET(G43,-1,-1)</f>
        <v>2</v>
      </c>
      <c r="G43" s="1461"/>
      <c r="H43" s="1461"/>
      <c r="I43" s="1461"/>
      <c r="J43" s="1461"/>
      <c r="K43" s="1461"/>
      <c r="L43" s="1461"/>
      <c r="M43" s="1461"/>
      <c r="N43" s="1461"/>
      <c r="O43" s="1461"/>
      <c r="P43" s="1461"/>
      <c r="Q43" s="919"/>
      <c r="R43" s="919"/>
      <c r="S43" s="1461"/>
      <c r="T43" s="1461"/>
      <c r="U43" s="920">
        <f>F43&gt;0</f>
        <v>1</v>
      </c>
      <c r="V43" s="1461"/>
      <c r="W43" s="1461"/>
      <c r="X43" s="1461"/>
      <c r="Y43" s="1461"/>
      <c r="Z43" s="1461"/>
      <c r="AA43" s="217"/>
      <c r="AB43" s="344"/>
      <c r="AC43" s="345" t="s">
        <v>491</v>
      </c>
      <c r="AD43" s="345"/>
      <c r="AE43" s="346"/>
      <c r="AF43" s="376"/>
      <c r="AG43" s="376"/>
      <c r="AH43" s="376"/>
      <c r="AI43" s="376"/>
      <c r="AJ43" s="376"/>
      <c r="AK43" s="376"/>
      <c r="AL43" s="376"/>
      <c r="AM43" s="376"/>
      <c r="AN43" s="376"/>
      <c r="AO43" s="376"/>
      <c r="AP43" s="376"/>
      <c r="AQ43" s="376"/>
      <c r="AR43" s="376"/>
      <c r="AS43" s="376"/>
      <c r="AT43" s="376"/>
      <c r="AU43" s="376"/>
      <c r="AV43" s="376"/>
      <c r="AW43" s="376"/>
      <c r="AX43" s="376"/>
      <c r="AY43" s="376"/>
      <c r="AZ43" s="217"/>
      <c r="BA43" s="217"/>
      <c r="BB43" s="1196"/>
    </row>
    <row s="1619" customFormat="1" customHeight="1" ht="16.5">
      <c r="A44" s="1461"/>
      <c r="B44" s="924"/>
      <c r="C44" s="1461"/>
      <c r="D44" s="1461"/>
      <c r="E44" s="794">
        <v>17.1</v>
      </c>
      <c r="F44" s="919" cm="1" t="str">
        <f t="array" ref="F44:F44">OFFSET(G44,-1,-1)</f>
        <v>2</v>
      </c>
      <c r="G44" s="1461"/>
      <c r="H44" s="172" t="s">
        <v>493</v>
      </c>
      <c r="I44" s="1461"/>
      <c r="J44" s="1461"/>
      <c r="K44" s="1461"/>
      <c r="L44" s="1461"/>
      <c r="M44" s="1461"/>
      <c r="N44" s="1461"/>
      <c r="O44" s="1461"/>
      <c r="P44" s="1461"/>
      <c r="Q44" s="919"/>
      <c r="R44" s="919"/>
      <c r="S44" s="1461"/>
      <c r="T44" s="1461"/>
      <c r="U44" s="920">
        <f>F44&gt;0</f>
        <v>1</v>
      </c>
      <c r="V44" s="1461"/>
      <c r="W44" s="1461"/>
      <c r="X44" s="1461"/>
      <c r="Y44" s="1461"/>
      <c r="Z44" s="1461"/>
      <c r="AA44" s="217"/>
      <c r="AB44" s="151">
        <v>1</v>
      </c>
      <c r="AC44" s="320" t="s">
        <v>584</v>
      </c>
      <c r="AD44" s="170" t="s">
        <v>575</v>
      </c>
      <c r="AE44" s="206" t="s">
        <v>490</v>
      </c>
      <c r="AF44" s="1725"/>
      <c r="AG44" s="842"/>
      <c r="AH44" s="842"/>
      <c r="AI44" s="842"/>
      <c r="AJ44" s="842"/>
      <c r="AK44" s="1725"/>
      <c r="AL44" s="1725"/>
      <c r="AM44" s="1725"/>
      <c r="AN44" s="1725"/>
      <c r="AO44" s="1725"/>
      <c r="AP44" s="842"/>
      <c r="AQ44" s="842"/>
      <c r="AR44" s="842"/>
      <c r="AS44" s="842"/>
      <c r="AT44" s="842"/>
      <c r="AU44" s="1725"/>
      <c r="AV44" s="1725"/>
      <c r="AW44" s="1725"/>
      <c r="AX44" s="1725"/>
      <c r="AY44" s="1725"/>
      <c r="AZ44" s="217"/>
      <c r="BA44" s="217"/>
      <c r="BB44" s="1196" t="s">
        <v>576</v>
      </c>
    </row>
    <row s="1619" customFormat="1" customHeight="1" ht="16.5">
      <c r="A45" s="1461"/>
      <c r="B45" s="924"/>
      <c r="C45" s="1461"/>
      <c r="D45" s="1461"/>
      <c r="E45" s="794">
        <v>17.1</v>
      </c>
      <c r="F45" s="919" cm="1" t="str">
        <f t="array" ref="F45:F45">OFFSET(G45,-1,-1)</f>
        <v>2</v>
      </c>
      <c r="G45" s="1461"/>
      <c r="H45" s="172" t="s">
        <v>506</v>
      </c>
      <c r="I45" s="1461"/>
      <c r="J45" s="1461"/>
      <c r="K45" s="1461"/>
      <c r="L45" s="1461"/>
      <c r="M45" s="1461"/>
      <c r="N45" s="1461"/>
      <c r="O45" s="1461"/>
      <c r="P45" s="1461"/>
      <c r="Q45" s="919"/>
      <c r="R45" s="919"/>
      <c r="S45" s="1461"/>
      <c r="T45" s="1461"/>
      <c r="U45" s="920">
        <f>F45&gt;0</f>
        <v>1</v>
      </c>
      <c r="V45" s="1461"/>
      <c r="W45" s="1461"/>
      <c r="X45" s="1461"/>
      <c r="Y45" s="1461"/>
      <c r="Z45" s="1461"/>
      <c r="AA45" s="217"/>
      <c r="AB45" s="151">
        <v>2</v>
      </c>
      <c r="AC45" s="320"/>
      <c r="AD45" s="170" t="s">
        <v>577</v>
      </c>
      <c r="AE45" s="206" t="s">
        <v>490</v>
      </c>
      <c r="AF45" s="1127"/>
      <c r="AG45" s="842" cm="1" t="str">
        <f t="array" ref="AG45:AG45">AG44</f>
        <v>0</v>
      </c>
      <c r="AH45" s="1128">
        <f>(1+AG45)*(1+AH44)-1</f>
        <v>0</v>
      </c>
      <c r="AI45" s="1128">
        <f>(1+AH45)*(1+AI44)-1</f>
        <v>0</v>
      </c>
      <c r="AJ45" s="1128">
        <f>(1+AI45)*(1+AJ44)-1</f>
        <v>0</v>
      </c>
      <c r="AK45" s="1727">
        <f>(1+AJ45)*(1+AK44)-1</f>
        <v>0</v>
      </c>
      <c r="AL45" s="1727">
        <f>(1+AK45)*(1+AL44)-1</f>
        <v>0</v>
      </c>
      <c r="AM45" s="1727">
        <f>(1+AL45)*(1+AM44)-1</f>
        <v>0</v>
      </c>
      <c r="AN45" s="1727">
        <f>(1+AM45)*(1+AN44)-1</f>
        <v>0</v>
      </c>
      <c r="AO45" s="1727">
        <f>(1+AN45)*(1+AO44)-1</f>
        <v>0</v>
      </c>
      <c r="AP45" s="1127"/>
      <c r="AQ45" s="842" cm="1" t="str">
        <f t="array" ref="AQ45:AQ45">AQ44</f>
        <v>0</v>
      </c>
      <c r="AR45" s="1128">
        <f>(1+AQ45)*(1+AR44)-1</f>
        <v>0</v>
      </c>
      <c r="AS45" s="1128">
        <f>(1+AR45)*(1+AS44)-1</f>
        <v>0</v>
      </c>
      <c r="AT45" s="1128">
        <f>(1+AS45)*(1+AT44)-1</f>
        <v>0</v>
      </c>
      <c r="AU45" s="1727">
        <f>(1+AT45)*(1+AU44)-1</f>
        <v>0</v>
      </c>
      <c r="AV45" s="1727">
        <f>(1+AU45)*(1+AV44)-1</f>
        <v>0</v>
      </c>
      <c r="AW45" s="1727">
        <f>(1+AV45)*(1+AW44)-1</f>
        <v>0</v>
      </c>
      <c r="AX45" s="1727">
        <f>(1+AW45)*(1+AX44)-1</f>
        <v>0</v>
      </c>
      <c r="AY45" s="1727">
        <f>(1+AX45)*(1+AY44)-1</f>
        <v>0</v>
      </c>
      <c r="AZ45" s="217"/>
      <c r="BA45" s="217"/>
      <c r="BB45" s="1196" t="s">
        <v>578</v>
      </c>
    </row>
    <row s="1619" customFormat="1" customHeight="1" ht="16.5">
      <c r="A46" s="1461"/>
      <c r="B46" s="924"/>
      <c r="C46" s="1461"/>
      <c r="D46" s="1461"/>
      <c r="E46" s="794">
        <v>17.1</v>
      </c>
      <c r="F46" s="919" cm="1" t="str">
        <f t="array" ref="F46:F46">OFFSET(G46,-1,-1)</f>
        <v>2</v>
      </c>
      <c r="G46" s="1461"/>
      <c r="H46" s="172" t="s">
        <v>509</v>
      </c>
      <c r="I46" s="1461"/>
      <c r="J46" s="1461"/>
      <c r="K46" s="1461"/>
      <c r="L46" s="1461"/>
      <c r="M46" s="1461"/>
      <c r="N46" s="1461"/>
      <c r="O46" s="1461"/>
      <c r="P46" s="1461"/>
      <c r="Q46" s="919"/>
      <c r="R46" s="919"/>
      <c r="S46" s="1461"/>
      <c r="T46" s="1461"/>
      <c r="U46" s="920">
        <f>F46&gt;0</f>
        <v>1</v>
      </c>
      <c r="V46" s="1461"/>
      <c r="W46" s="1461"/>
      <c r="X46" s="1461"/>
      <c r="Y46" s="1461"/>
      <c r="Z46" s="1461"/>
      <c r="AA46" s="217"/>
      <c r="AB46" s="151">
        <v>3</v>
      </c>
      <c r="AC46" s="320" t="s">
        <v>579</v>
      </c>
      <c r="AD46" s="170" t="s">
        <v>575</v>
      </c>
      <c r="AE46" s="206" t="s">
        <v>490</v>
      </c>
      <c r="AF46" s="1725"/>
      <c r="AG46" s="842"/>
      <c r="AH46" s="842"/>
      <c r="AI46" s="842"/>
      <c r="AJ46" s="842"/>
      <c r="AK46" s="1725"/>
      <c r="AL46" s="1725"/>
      <c r="AM46" s="1725"/>
      <c r="AN46" s="1725"/>
      <c r="AO46" s="1725"/>
      <c r="AP46" s="842"/>
      <c r="AQ46" s="842"/>
      <c r="AR46" s="842"/>
      <c r="AS46" s="842"/>
      <c r="AT46" s="842"/>
      <c r="AU46" s="1725"/>
      <c r="AV46" s="1725"/>
      <c r="AW46" s="1725"/>
      <c r="AX46" s="1725"/>
      <c r="AY46" s="1725"/>
      <c r="AZ46" s="217"/>
      <c r="BA46" s="217"/>
      <c r="BB46" s="1196" t="s">
        <v>580</v>
      </c>
    </row>
    <row s="1619" customFormat="1" customHeight="1" ht="16.5">
      <c r="A47" s="1461"/>
      <c r="B47" s="924"/>
      <c r="C47" s="1461"/>
      <c r="D47" s="1461"/>
      <c r="E47" s="794">
        <v>17.1</v>
      </c>
      <c r="F47" s="919" cm="1" t="str">
        <f t="array" ref="F47:F47">OFFSET(G47,-1,-1)</f>
        <v>2</v>
      </c>
      <c r="G47" s="1461"/>
      <c r="H47" s="172" t="s">
        <v>512</v>
      </c>
      <c r="I47" s="1461"/>
      <c r="J47" s="1461"/>
      <c r="K47" s="1461"/>
      <c r="L47" s="1461"/>
      <c r="M47" s="1461"/>
      <c r="N47" s="1461"/>
      <c r="O47" s="1461"/>
      <c r="P47" s="1461"/>
      <c r="Q47" s="919"/>
      <c r="R47" s="919"/>
      <c r="S47" s="1461"/>
      <c r="T47" s="1461"/>
      <c r="U47" s="920">
        <f>F47&gt;0</f>
        <v>1</v>
      </c>
      <c r="V47" s="1461"/>
      <c r="W47" s="1461"/>
      <c r="X47" s="1461"/>
      <c r="Y47" s="1461"/>
      <c r="Z47" s="1461"/>
      <c r="AA47" s="217"/>
      <c r="AB47" s="151">
        <v>4</v>
      </c>
      <c r="AC47" s="320"/>
      <c r="AD47" s="170" t="s">
        <v>577</v>
      </c>
      <c r="AE47" s="206" t="s">
        <v>490</v>
      </c>
      <c r="AF47" s="1127"/>
      <c r="AG47" s="842" cm="1" t="str">
        <f t="array" ref="AG47:AG47">AG46</f>
        <v>0</v>
      </c>
      <c r="AH47" s="1128">
        <f>(1+AG47)*(1+AH46)-1</f>
        <v>0</v>
      </c>
      <c r="AI47" s="1128">
        <f>(1+AH47)*(1+AI46)-1</f>
        <v>0</v>
      </c>
      <c r="AJ47" s="1128">
        <f>(1+AI47)*(1+AJ46)-1</f>
        <v>0</v>
      </c>
      <c r="AK47" s="1727">
        <f>(1+AJ47)*(1+AK46)-1</f>
        <v>0</v>
      </c>
      <c r="AL47" s="1727">
        <f>(1+AK47)*(1+AL46)-1</f>
        <v>0</v>
      </c>
      <c r="AM47" s="1727">
        <f>(1+AL47)*(1+AM46)-1</f>
        <v>0</v>
      </c>
      <c r="AN47" s="1727">
        <f>(1+AM47)*(1+AN46)-1</f>
        <v>0</v>
      </c>
      <c r="AO47" s="1727">
        <f>(1+AN47)*(1+AO46)-1</f>
        <v>0</v>
      </c>
      <c r="AP47" s="1127"/>
      <c r="AQ47" s="842" cm="1" t="str">
        <f t="array" ref="AQ47:AQ47">AQ46</f>
        <v>0</v>
      </c>
      <c r="AR47" s="1128">
        <f>(1+AQ47)*(1+AR46)-1</f>
        <v>0</v>
      </c>
      <c r="AS47" s="1128">
        <f>(1+AR47)*(1+AS46)-1</f>
        <v>0</v>
      </c>
      <c r="AT47" s="1128">
        <f>(1+AS47)*(1+AT46)-1</f>
        <v>0</v>
      </c>
      <c r="AU47" s="1727">
        <f>(1+AT47)*(1+AU46)-1</f>
        <v>0</v>
      </c>
      <c r="AV47" s="1727">
        <f>(1+AU47)*(1+AV46)-1</f>
        <v>0</v>
      </c>
      <c r="AW47" s="1727">
        <f>(1+AV47)*(1+AW46)-1</f>
        <v>0</v>
      </c>
      <c r="AX47" s="1727">
        <f>(1+AW47)*(1+AX46)-1</f>
        <v>0</v>
      </c>
      <c r="AY47" s="1727">
        <f>(1+AX47)*(1+AY46)-1</f>
        <v>0</v>
      </c>
      <c r="AZ47" s="217"/>
      <c r="BA47" s="217"/>
      <c r="BB47" s="1196" t="s">
        <v>581</v>
      </c>
    </row>
    <row s="1619" customFormat="1" customHeight="1" ht="16.5">
      <c r="A48" s="1461"/>
      <c r="B48" s="924"/>
      <c r="C48" s="1461"/>
      <c r="D48" s="1461"/>
      <c r="E48" s="794">
        <v>17.1</v>
      </c>
      <c r="F48" s="919" cm="1" t="str">
        <f t="array" ref="F48:F48">OFFSET(G48,-1,-1)</f>
        <v>2</v>
      </c>
      <c r="G48" s="1461"/>
      <c r="H48" s="172" t="s">
        <v>515</v>
      </c>
      <c r="I48" s="1461"/>
      <c r="J48" s="1461"/>
      <c r="K48" s="1461"/>
      <c r="L48" s="1461"/>
      <c r="M48" s="1461"/>
      <c r="N48" s="1461"/>
      <c r="O48" s="1461"/>
      <c r="P48" s="1461"/>
      <c r="Q48" s="919"/>
      <c r="R48" s="919"/>
      <c r="S48" s="1461"/>
      <c r="T48" s="1461"/>
      <c r="U48" s="920">
        <f>F48&gt;0</f>
        <v>1</v>
      </c>
      <c r="V48" s="1461"/>
      <c r="W48" s="1461"/>
      <c r="X48" s="1461"/>
      <c r="Y48" s="1461"/>
      <c r="Z48" s="1461"/>
      <c r="AA48" s="217"/>
      <c r="AB48" s="151">
        <v>5</v>
      </c>
      <c r="AC48" s="320" t="s">
        <v>582</v>
      </c>
      <c r="AD48" s="320"/>
      <c r="AE48" s="206" t="s">
        <v>490</v>
      </c>
      <c r="AF48" s="1725"/>
      <c r="AG48" s="842"/>
      <c r="AH48" s="842"/>
      <c r="AI48" s="842"/>
      <c r="AJ48" s="842"/>
      <c r="AK48" s="1725"/>
      <c r="AL48" s="1725"/>
      <c r="AM48" s="1725"/>
      <c r="AN48" s="1725"/>
      <c r="AO48" s="1725"/>
      <c r="AP48" s="842"/>
      <c r="AQ48" s="842"/>
      <c r="AR48" s="842"/>
      <c r="AS48" s="842"/>
      <c r="AT48" s="842"/>
      <c r="AU48" s="1725"/>
      <c r="AV48" s="1725"/>
      <c r="AW48" s="1725"/>
      <c r="AX48" s="1725"/>
      <c r="AY48" s="1725"/>
      <c r="AZ48" s="217"/>
      <c r="BA48" s="217"/>
      <c r="BB48" s="1196" t="s">
        <v>583</v>
      </c>
    </row>
    <row customHeight="1" ht="11.115">
      <c r="E49" s="794">
        <v>11.4</v>
      </c>
      <c r="V49" s="172" t="s">
        <v>235</v>
      </c>
      <c r="W49" s="168" t="s">
        <v>585</v>
      </c>
      <c r="AC49" s="198"/>
      <c r="AD49" s="198"/>
      <c r="AG49" s="217"/>
      <c r="AH49" s="217"/>
      <c r="AI49" s="217"/>
      <c r="AJ49" s="217"/>
      <c r="AK49" s="217"/>
      <c r="AL49" s="217"/>
      <c r="AM49" s="217"/>
      <c r="AN49" s="217"/>
      <c r="AO49" s="217"/>
      <c r="AP49" s="217"/>
      <c r="AQ49" s="217"/>
      <c r="AR49" s="217"/>
      <c r="AS49" s="217"/>
      <c r="AT49" s="217"/>
      <c r="AU49" s="217"/>
      <c r="AV49" s="217"/>
      <c r="AW49" s="217"/>
      <c r="AX49" s="217"/>
      <c r="AY49" s="217"/>
      <c r="AZ49" s="198"/>
    </row>
    <row customHeight="1" ht="11.115" hidden="1">
      <c r="E50" s="794">
        <v>11.4</v>
      </c>
      <c r="AC50" s="198"/>
      <c r="AD50" s="198"/>
      <c r="AG50" s="217"/>
      <c r="AH50" s="217"/>
      <c r="AI50" s="217"/>
      <c r="AJ50" s="217"/>
      <c r="AK50" s="217"/>
      <c r="AL50" s="217"/>
      <c r="AM50" s="217"/>
      <c r="AN50" s="217"/>
      <c r="AO50" s="217"/>
      <c r="AP50" s="217"/>
      <c r="AQ50" s="217"/>
      <c r="AR50" s="217"/>
      <c r="AS50" s="217"/>
      <c r="AT50" s="217"/>
      <c r="AU50" s="217"/>
      <c r="AV50" s="217"/>
      <c r="AW50" s="217"/>
      <c r="AX50" s="217"/>
      <c r="AY50" s="217"/>
    </row>
  </sheetData>
  <sheetProtection formatColumns="0" formatRows="0" insertRows="0" deleteColumns="0" deleteRows="0" sort="0" autoFilter="0" insertColumns="1"/>
  <mergeCells count="19">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 ref="Y42:Y48"/>
    <mergeCell ref="Z42:Z48"/>
    <mergeCell ref="AC44:AC45"/>
    <mergeCell ref="AC46:AC47"/>
    <mergeCell ref="AC48:AD48"/>
  </mergeCells>
  <dataValidations count="2">
    <dataValidation type="decimal" allowBlank="1" showErrorMessage="1" errorTitle="Ошибка" error="Допускается ввод только неотрицательных чисел!" sqref="AF31 AP33 AF33 AP31 AF38 AP38 AF40 AP40 AF45 AP45 AF47 AP47">
      <formula1>0</formula1>
      <formula2>9.99999999999999E+23</formula2>
    </dataValidation>
    <dataValidation type="decimal" allowBlank="1" showErrorMessage="1" errorTitle="Ошибка" error="Допускается ввод только действительных чисел!" sqref="AY34 AY37:AY41 AY44:AY48 AX34 AX37:AX41 AX44:AX48 AW34 AW37:AW41 AW44:AW48 AV34 AV37:AV41 AV44:AV48 AU34 AU37:AU41 AU44:AU48 AT34 AT37:AT41 AT44:AT48 AS34 AS37:AS41 AS44:AS48 AR34 AR37:AR41 AR44:AR48 AQ34 AQ37:AQ41 AQ44:AQ48 AP34 AP37 AP39 AP41 AP44 AP46 AP48 AO34 AO37:AO41 AO44:AO48 AN34 AN37:AN41 AN44:AN48 AM34 AM37:AM41 AM44:AM48 AL34 AL37:AL41 AL44:AL48 AK34 AK37:AK41 AK44:AK48 AJ34 AJ37:AJ41 AJ44:AJ48 AI34 AI37:AI41 AI44:AI48 AH34 AH37:AH41 AH44:AH48 AG34 AG37:AG41 AG44:AG48 AF34 AF37 AF39 AF41 AF44 AF46 AF48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